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queryTables/queryTable1.xml" ContentType="application/vnd.openxmlformats-officedocument.spreadsheetml.query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drawings/drawing2.xml" ContentType="application/vnd.openxmlformats-officedocument.drawing+xml"/>
  <Override PartName="/xl/tables/table77.xml" ContentType="application/vnd.openxmlformats-officedocument.spreadsheetml.table+xml"/>
  <Override PartName="/xl/tables/table78.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9.xml" ContentType="application/vnd.openxmlformats-officedocument.drawing+xml"/>
  <Override PartName="/xl/tables/table110.xml" ContentType="application/vnd.openxmlformats-officedocument.spreadsheetml.table+xml"/>
  <Override PartName="/xl/tables/table111.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tables/table112.xml" ContentType="application/vnd.openxmlformats-officedocument.spreadsheetml.table+xml"/>
  <Override PartName="/xl/tables/table113.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1.xml" ContentType="application/vnd.openxmlformats-officedocument.drawing+xml"/>
  <Override PartName="/xl/tables/table114.xml" ContentType="application/vnd.openxmlformats-officedocument.spreadsheetml.table+xml"/>
  <Override PartName="/xl/tables/table115.xml" ContentType="application/vnd.openxmlformats-officedocument.spreadsheetml.tab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2.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3.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updateLinks="never" codeName="ThisWorkbook" hidePivotFieldList="1" defaultThemeVersion="166925"/>
  <mc:AlternateContent xmlns:mc="http://schemas.openxmlformats.org/markup-compatibility/2006">
    <mc:Choice Requires="x15">
      <x15ac:absPath xmlns:x15ac="http://schemas.microsoft.com/office/spreadsheetml/2010/11/ac" url="J:\Price Monitoring and Regulation\Victorian Default Offer\VDO 2022-23 review\"/>
    </mc:Choice>
  </mc:AlternateContent>
  <xr:revisionPtr revIDLastSave="0" documentId="8_{D6A2EA46-4A2B-4300-8EC1-6DAC8979494D}" xr6:coauthVersionLast="47" xr6:coauthVersionMax="47" xr10:uidLastSave="{00000000-0000-0000-0000-000000000000}"/>
  <workbookProtection workbookAlgorithmName="SHA-512" workbookHashValue="KC1zigV2cEBORVwhMD54JBPCMF30JQXd6OiYPb1WBp8pkvpCW9h8Xf1CEMrMdEXn46IinYKiBVmFhsFxWgfzxg==" workbookSaltValue="pSuo0BBj7TvD0JmMyg3ccQ==" workbookSpinCount="100000" lockStructure="1"/>
  <bookViews>
    <workbookView xWindow="-120" yWindow="-120" windowWidth="29040" windowHeight="15840" tabRatio="638" activeTab="9" xr2:uid="{7D2DFC98-FAB5-43BC-B4E4-A25601635F0E}"/>
  </bookViews>
  <sheets>
    <sheet name="Disclaimer" sheetId="46" r:id="rId1"/>
    <sheet name="Contents" sheetId="4" r:id="rId2"/>
    <sheet name="User Guide" sheetId="40" r:id="rId3"/>
    <sheet name="Information" sheetId="38" state="hidden" r:id="rId4"/>
    <sheet name="Sources" sheetId="41" state="hidden" r:id="rId5"/>
    <sheet name="Version control" sheetId="45" state="hidden" r:id="rId6"/>
    <sheet name="Checks" sheetId="25" state="hidden" r:id="rId7"/>
    <sheet name="Progress tracker" sheetId="75" state="hidden" r:id="rId8"/>
    <sheet name="Change Log" sheetId="24" state="hidden" r:id="rId9"/>
    <sheet name="OP_Rates" sheetId="51" r:id="rId10"/>
    <sheet name="OP_CMAB" sheetId="50" r:id="rId11"/>
    <sheet name="Calc_Rates" sheetId="44" r:id="rId12"/>
    <sheet name="Calc_TU_values" sheetId="49" r:id="rId13"/>
    <sheet name="Calc_TU_rates" sheetId="63" r:id="rId14"/>
    <sheet name="Inputs" sheetId="42" r:id="rId15"/>
    <sheet name="General Assumptions" sheetId="39" r:id="rId16"/>
    <sheet name="CPI" sheetId="48" r:id="rId17"/>
    <sheet name="CH_CostStack_RES" sheetId="52" state="hidden" r:id="rId18"/>
    <sheet name="CH_Bill impacts full year 2" sheetId="55" state="hidden" r:id="rId19"/>
    <sheet name="CH_Bill impacts half year" sheetId="57" state="hidden" r:id="rId20"/>
    <sheet name="CH_Bill impacts 4 monthly" sheetId="61" state="hidden" r:id="rId21"/>
    <sheet name="CH_Bill impacts monthly" sheetId="60" state="hidden" r:id="rId22"/>
    <sheet name="CH_Revised proposal impact" sheetId="62" state="hidden" r:id="rId23"/>
    <sheet name="CH_CY bills 2020 vs 2021" sheetId="58" state="hidden" r:id="rId24"/>
    <sheet name="CH_CostStack_SME" sheetId="53" state="hidden" r:id="rId25"/>
    <sheet name="CH_CostItems_Anytime" sheetId="67" state="hidden" r:id="rId26"/>
    <sheet name="TBL_Comparison" sheetId="74" state="hidden" r:id="rId27"/>
    <sheet name="CH_Bill impact full year" sheetId="73" state="hidden" r:id="rId28"/>
    <sheet name="CH_Bill impact annual" sheetId="70" state="hidden" r:id="rId29"/>
    <sheet name="CH_Bill impact monthly" sheetId="72" state="hidden" r:id="rId30"/>
    <sheet name="CH_CostElements_Anytime" sheetId="65" state="hidden" r:id="rId31"/>
    <sheet name="Lookup refs" sheetId="47" state="hidden" r:id="rId32"/>
    <sheet name="Blank_WkSheet" sheetId="17" state="hidden" r:id="rId33"/>
  </sheets>
  <externalReferences>
    <externalReference r:id="rId34"/>
  </externalReferences>
  <definedNames>
    <definedName name="AUD">'General Assumptions'!$D$12</definedName>
    <definedName name="DiY" localSheetId="28">'[1]General Assumptions'!$D$7</definedName>
    <definedName name="DiY">'General Assumptions'!$D$7</definedName>
    <definedName name="ExternalData_1" localSheetId="15" hidden="1">'General Assumptions'!$C$22:$D$27</definedName>
    <definedName name="FM_Prop" localSheetId="28">'[1]CH_Bill impacts 4 monthly'!$D$39</definedName>
    <definedName name="FM_Prop">'CH_Bill impacts 4 monthly'!$D$39</definedName>
    <definedName name="GST" localSheetId="28">'[1]General Assumptions'!$D$15</definedName>
    <definedName name="GST">'General Assumptions'!$D$15</definedName>
    <definedName name="H1_Prop" localSheetId="28">'[1]CH_Bill impacts half year'!$D$39</definedName>
    <definedName name="H1_Prop" localSheetId="20">'CH_Bill impacts 4 monthly'!$D$39</definedName>
    <definedName name="H1_Prop">'CH_Bill impacts half year'!$D$39</definedName>
    <definedName name="H2_Prop" localSheetId="28">'[1]CH_Bill impacts half year'!$E$39</definedName>
    <definedName name="H2_Prop">'CH_Bill impacts half year'!$E$39</definedName>
    <definedName name="M4_Prop" localSheetId="28">'[1]CH_CY bills 2020 vs 2021'!$E$110</definedName>
    <definedName name="M4_Prop">'CH_CY bills 2020 vs 2021'!$E$110</definedName>
    <definedName name="M8_Prop" localSheetId="28">'[1]CH_CY bills 2020 vs 2021'!$D$110</definedName>
    <definedName name="M8_Prop">'CH_CY bills 2020 vs 2021'!$D$110</definedName>
    <definedName name="MiQ">'General Assumptions'!$D$9</definedName>
    <definedName name="MiY" localSheetId="28">'[1]General Assumptions'!$D$8</definedName>
    <definedName name="MiY">'General Assumptions'!$D$8</definedName>
    <definedName name="TU_ENV_CostMths" localSheetId="28">[1]Inputs!$D$246</definedName>
    <definedName name="TU_ENV_RateMths" localSheetId="28">[1]Inputs!$D$248</definedName>
    <definedName name="TU_NET_CostMths" localSheetId="28">[1]Inputs!$D$232</definedName>
    <definedName name="TU_NET_RateMths" localSheetId="28">[1]Inputs!$D$234</definedName>
    <definedName name="TU_Prop" localSheetId="28">'[1]CH_CY bills 2020 vs 2021'!$D$111</definedName>
    <definedName name="TU_Prop">'CH_CY bills 2020 vs 2021'!$D$111</definedName>
    <definedName name="TUC_EndDate" localSheetId="28">[1]Inputs!$D$238</definedName>
    <definedName name="TUC_StartDate" localSheetId="28">[1]Inputs!$D$236</definedName>
    <definedName name="TUProp_CLLoad_1">Calc_TU_values!$F$91</definedName>
    <definedName name="TUProp_CLLoad_2">Calc_TU_values!$F$322</definedName>
    <definedName name="TUProp_Days_1" localSheetId="28">[1]Calc_TU_values!$D$79</definedName>
    <definedName name="TUProp_Days_1">Calc_TU_values!$D$79</definedName>
    <definedName name="TUProp_Days_2" localSheetId="28">[1]Calc_TU_values!$D$310</definedName>
    <definedName name="TUProp_Days_2">Calc_TU_values!$D$310</definedName>
    <definedName name="TUR_EndDate" localSheetId="28">[1]Inputs!$D$244</definedName>
    <definedName name="TUR_StartDate" localSheetId="28">[1]Inputs!$D$242</definedName>
    <definedName name="WACC" localSheetId="28">[1]Inputs!$D$230</definedName>
    <definedName name="WACC">Inputs!$D$245</definedName>
    <definedName name="WACC_adj_1" localSheetId="28">[1]Calc_TU_values!$D$82</definedName>
    <definedName name="WACC_adj_1">Calc_TU_values!$D$81</definedName>
    <definedName name="WACC_adj_2" localSheetId="28">[1]Calc_TU_values!$D$312</definedName>
    <definedName name="WACC_adj_2">Calc_TU_values!$D$312</definedName>
    <definedName name="WiY" localSheetId="28">'[1]General Assumptions'!$D$10</definedName>
    <definedName name="WiY">'General Assumptions'!$D$10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57" i="44" l="1"/>
  <c r="G155" i="44"/>
  <c r="G152" i="44"/>
  <c r="F59" i="63" a="1"/>
  <c r="F59" i="63" s="1"/>
  <c r="D24" i="48"/>
  <c r="W58" i="74" l="1"/>
  <c r="W49" i="74"/>
  <c r="W18" i="74"/>
  <c r="W9" i="74"/>
  <c r="M49" i="74"/>
  <c r="L87" i="67" l="1"/>
  <c r="K82" i="67"/>
  <c r="K81" i="67"/>
  <c r="J82" i="67"/>
  <c r="J81" i="67"/>
  <c r="G82" i="67" a="1"/>
  <c r="G82" i="67" s="1"/>
  <c r="G83" i="67" a="1"/>
  <c r="G83" i="67"/>
  <c r="G81" i="67" a="1"/>
  <c r="G81" i="67" s="1"/>
  <c r="L15" i="67"/>
  <c r="L14" i="67"/>
  <c r="K10" i="67"/>
  <c r="K9" i="67"/>
  <c r="J10" i="67"/>
  <c r="J9" i="67"/>
  <c r="G10" i="67" a="1"/>
  <c r="G10" i="67" s="1"/>
  <c r="G11" i="67" a="1"/>
  <c r="G11" i="67" s="1"/>
  <c r="G12" i="67" a="1"/>
  <c r="G12" i="67" s="1"/>
  <c r="G9" i="67" a="1"/>
  <c r="G9" i="67" s="1"/>
  <c r="G156" i="44"/>
  <c r="G154" i="44"/>
  <c r="G153" i="44"/>
  <c r="G150" i="44"/>
  <c r="K238" i="42" l="1"/>
  <c r="L238" i="42"/>
  <c r="C11" i="63" l="1"/>
  <c r="N186" i="42"/>
  <c r="N185" i="42"/>
  <c r="N181" i="42"/>
  <c r="E149" i="44"/>
  <c r="G148" i="44"/>
  <c r="E157" i="44"/>
  <c r="E156" i="44"/>
  <c r="E406" i="44"/>
  <c r="E405" i="44"/>
  <c r="G405" i="44"/>
  <c r="H405" i="44" s="1"/>
  <c r="I405" i="44" s="1"/>
  <c r="G406" i="44"/>
  <c r="H406" i="44" s="1"/>
  <c r="I406" i="44" s="1"/>
  <c r="F398" i="44"/>
  <c r="E398" i="44"/>
  <c r="G398" i="44"/>
  <c r="H398" i="44" s="1"/>
  <c r="I398" i="44" s="1"/>
  <c r="G149" i="44"/>
  <c r="H149" i="44" s="1"/>
  <c r="I149" i="44" s="1"/>
  <c r="L44" i="52" l="1"/>
  <c r="C34" i="52" s="1"/>
  <c r="D44" i="52"/>
  <c r="C35" i="52" s="1"/>
  <c r="C38" i="52" l="1"/>
  <c r="C37" i="52"/>
  <c r="G151" i="44"/>
  <c r="H151" i="44" s="1"/>
  <c r="B3" i="75"/>
  <c r="C2" i="75"/>
  <c r="B5" i="75" l="1"/>
  <c r="E16" i="48"/>
  <c r="E17" i="48"/>
  <c r="D33" i="25"/>
  <c r="L227" i="42"/>
  <c r="K227" i="42"/>
  <c r="L219" i="42" a="1"/>
  <c r="L219" i="42" s="1"/>
  <c r="K219" i="42" a="1"/>
  <c r="K219" i="42" s="1"/>
  <c r="L218" i="42" a="1"/>
  <c r="L218" i="42" s="1"/>
  <c r="K218" i="42" a="1"/>
  <c r="K218" i="42" s="1"/>
  <c r="L217" i="42" a="1"/>
  <c r="L217" i="42" s="1"/>
  <c r="K217" i="42" a="1"/>
  <c r="K217" i="42" s="1"/>
  <c r="L216" i="42" a="1"/>
  <c r="L216" i="42" s="1"/>
  <c r="K216" i="42" a="1"/>
  <c r="K216" i="42" s="1"/>
  <c r="L215" i="42" a="1"/>
  <c r="L215" i="42" s="1"/>
  <c r="K215" i="42" a="1"/>
  <c r="K215" i="42" s="1"/>
  <c r="L214" i="42" a="1"/>
  <c r="L214" i="42" s="1"/>
  <c r="K214" i="42" a="1"/>
  <c r="K214" i="42" s="1"/>
  <c r="L213" i="42" a="1"/>
  <c r="L213" i="42" s="1"/>
  <c r="K213" i="42" a="1"/>
  <c r="K213" i="42" s="1"/>
  <c r="L212" i="42" a="1"/>
  <c r="L212" i="42" s="1"/>
  <c r="K212" i="42" a="1"/>
  <c r="K212" i="42" s="1"/>
  <c r="L211" i="42" a="1"/>
  <c r="L211" i="42" s="1"/>
  <c r="K211" i="42" a="1"/>
  <c r="K211" i="42" s="1"/>
  <c r="L210" i="42" a="1"/>
  <c r="L210" i="42" s="1"/>
  <c r="K210" i="42" a="1"/>
  <c r="K210" i="42" s="1"/>
  <c r="L207" i="42"/>
  <c r="K207" i="42"/>
  <c r="N190" i="42"/>
  <c r="M190" i="42"/>
  <c r="O178" i="42"/>
  <c r="N178" i="42"/>
  <c r="O134" i="42"/>
  <c r="N134" i="42"/>
  <c r="K7" i="41"/>
  <c r="K8" i="41" s="1"/>
  <c r="J7" i="41"/>
  <c r="J8" i="41" s="1"/>
  <c r="U8" i="42"/>
  <c r="T8" i="42"/>
  <c r="S8" i="42"/>
  <c r="R8" i="42"/>
  <c r="J210" i="42" a="1"/>
  <c r="J210" i="42" s="1"/>
  <c r="P190" i="70" l="1"/>
  <c r="P186" i="70"/>
  <c r="P182" i="70"/>
  <c r="P178" i="70"/>
  <c r="P175" i="70"/>
  <c r="P171" i="70"/>
  <c r="P167" i="70"/>
  <c r="P163" i="70"/>
  <c r="P205" i="73"/>
  <c r="P201" i="73"/>
  <c r="P197" i="73"/>
  <c r="P190" i="73"/>
  <c r="P186" i="73"/>
  <c r="P182" i="73"/>
  <c r="P178" i="73"/>
  <c r="P175" i="73"/>
  <c r="P171" i="73"/>
  <c r="P167" i="73"/>
  <c r="P163" i="73"/>
  <c r="P193" i="73"/>
  <c r="M9" i="74" l="1"/>
  <c r="G399" i="44" l="1"/>
  <c r="G400" i="44"/>
  <c r="G401" i="44"/>
  <c r="G402" i="44"/>
  <c r="H402" i="44" s="1"/>
  <c r="G403" i="44"/>
  <c r="H403" i="44" s="1"/>
  <c r="G404" i="44"/>
  <c r="H404" i="44" s="1"/>
  <c r="G397" i="44"/>
  <c r="F148" i="44"/>
  <c r="E148" i="44"/>
  <c r="K49" i="74" l="1"/>
  <c r="O49" i="74"/>
  <c r="I9" i="74" l="1"/>
  <c r="J9" i="74"/>
  <c r="N9" i="74"/>
  <c r="K9" i="74"/>
  <c r="O9" i="74"/>
  <c r="R58" i="74"/>
  <c r="R49" i="74"/>
  <c r="R18" i="74"/>
  <c r="R9" i="74"/>
  <c r="N49" i="74"/>
  <c r="J49" i="74"/>
  <c r="I49" i="74"/>
  <c r="G49" i="74"/>
  <c r="F49" i="74"/>
  <c r="G9" i="74"/>
  <c r="F9" i="74"/>
  <c r="B3" i="74"/>
  <c r="B6" i="74" s="1"/>
  <c r="C2" i="74"/>
  <c r="B46" i="74" l="1"/>
  <c r="N89" i="67"/>
  <c r="R87" i="67" s="1"/>
  <c r="G89" i="67"/>
  <c r="N17" i="67"/>
  <c r="G17" i="67"/>
  <c r="K15" i="67" l="1"/>
  <c r="K14" i="67" s="1"/>
  <c r="K87" i="67"/>
  <c r="K86" i="67" s="1"/>
  <c r="R15" i="67"/>
  <c r="R86" i="67"/>
  <c r="R14" i="67" l="1"/>
  <c r="D15" i="25"/>
  <c r="L14" i="24"/>
  <c r="L15" i="24"/>
  <c r="L16" i="24"/>
  <c r="L17" i="24"/>
  <c r="L18" i="24"/>
  <c r="L19" i="24"/>
  <c r="L20" i="24"/>
  <c r="L21" i="24"/>
  <c r="L22" i="24"/>
  <c r="L23" i="24"/>
  <c r="L24" i="24"/>
  <c r="L25" i="24"/>
  <c r="L26" i="24"/>
  <c r="L27" i="24"/>
  <c r="L13" i="24"/>
  <c r="J6" i="24"/>
  <c r="D9" i="25" s="1"/>
  <c r="H211" i="42" a="1"/>
  <c r="H211" i="42" s="1"/>
  <c r="H65" i="63" l="1" a="1"/>
  <c r="H65" i="63" s="1"/>
  <c r="H101" i="63" s="1"/>
  <c r="H75" i="63" a="1"/>
  <c r="H75" i="63" s="1"/>
  <c r="H111" i="63" s="1"/>
  <c r="H76" i="63" a="1"/>
  <c r="H76" i="63" s="1"/>
  <c r="H112" i="63" s="1"/>
  <c r="H86" i="63" a="1"/>
  <c r="H86" i="63" s="1"/>
  <c r="H122" i="63" s="1"/>
  <c r="H87" i="63" a="1"/>
  <c r="H87" i="63" s="1"/>
  <c r="H123" i="63" s="1"/>
  <c r="I196" i="63" a="1"/>
  <c r="I196" i="63" s="1"/>
  <c r="I232" i="63" s="1"/>
  <c r="J196" i="63" a="1"/>
  <c r="J196" i="63" s="1"/>
  <c r="J232" i="63" s="1"/>
  <c r="K196" i="63" a="1"/>
  <c r="K196" i="63" s="1"/>
  <c r="K232" i="63" s="1"/>
  <c r="L196" i="63" a="1"/>
  <c r="L196" i="63" s="1"/>
  <c r="L232" i="63" s="1"/>
  <c r="I197" i="63" a="1"/>
  <c r="I197" i="63" s="1"/>
  <c r="I233" i="63" s="1"/>
  <c r="J197" i="63" a="1"/>
  <c r="J197" i="63" s="1"/>
  <c r="J233" i="63" s="1"/>
  <c r="K197" i="63" a="1"/>
  <c r="K197" i="63" s="1"/>
  <c r="K233" i="63" s="1"/>
  <c r="L197" i="63" a="1"/>
  <c r="L197" i="63" s="1"/>
  <c r="L233" i="63" s="1"/>
  <c r="I198" i="63" a="1"/>
  <c r="I198" i="63" s="1"/>
  <c r="I234" i="63" s="1"/>
  <c r="J198" i="63" a="1"/>
  <c r="J198" i="63" s="1"/>
  <c r="J234" i="63" s="1"/>
  <c r="K198" i="63" a="1"/>
  <c r="K198" i="63" s="1"/>
  <c r="K234" i="63" s="1"/>
  <c r="L198" i="63" a="1"/>
  <c r="L198" i="63" s="1"/>
  <c r="L234" i="63" s="1"/>
  <c r="I199" i="63" a="1"/>
  <c r="I199" i="63" s="1"/>
  <c r="I235" i="63" s="1"/>
  <c r="J199" i="63" a="1"/>
  <c r="J199" i="63" s="1"/>
  <c r="J235" i="63" s="1"/>
  <c r="K199" i="63" a="1"/>
  <c r="K199" i="63" s="1"/>
  <c r="K235" i="63" s="1"/>
  <c r="L199" i="63" a="1"/>
  <c r="L199" i="63" s="1"/>
  <c r="L235" i="63" s="1"/>
  <c r="I207" i="63" a="1"/>
  <c r="I207" i="63" s="1"/>
  <c r="I243" i="63" s="1"/>
  <c r="J207" i="63" a="1"/>
  <c r="J207" i="63" s="1"/>
  <c r="J243" i="63" s="1"/>
  <c r="K207" i="63" a="1"/>
  <c r="K207" i="63" s="1"/>
  <c r="K243" i="63" s="1"/>
  <c r="L207" i="63" a="1"/>
  <c r="L207" i="63" s="1"/>
  <c r="L243" i="63" s="1"/>
  <c r="I208" i="63" a="1"/>
  <c r="I208" i="63" s="1"/>
  <c r="I244" i="63" s="1"/>
  <c r="J208" i="63" a="1"/>
  <c r="J208" i="63" s="1"/>
  <c r="J244" i="63" s="1"/>
  <c r="K208" i="63" a="1"/>
  <c r="K208" i="63" s="1"/>
  <c r="K244" i="63" s="1"/>
  <c r="L208" i="63" a="1"/>
  <c r="L208" i="63" s="1"/>
  <c r="L244" i="63" s="1"/>
  <c r="I209" i="63" a="1"/>
  <c r="I209" i="63" s="1"/>
  <c r="I245" i="63" s="1"/>
  <c r="J209" i="63" a="1"/>
  <c r="J209" i="63" s="1"/>
  <c r="J245" i="63" s="1"/>
  <c r="K209" i="63" a="1"/>
  <c r="K209" i="63" s="1"/>
  <c r="K245" i="63" s="1"/>
  <c r="L209" i="63" a="1"/>
  <c r="L209" i="63" s="1"/>
  <c r="L245" i="63" s="1"/>
  <c r="I210" i="63" a="1"/>
  <c r="I210" i="63" s="1"/>
  <c r="I246" i="63" s="1"/>
  <c r="J210" i="63" a="1"/>
  <c r="J210" i="63" s="1"/>
  <c r="J246" i="63" s="1"/>
  <c r="K210" i="63" a="1"/>
  <c r="K210" i="63" s="1"/>
  <c r="K246" i="63" s="1"/>
  <c r="L210" i="63" a="1"/>
  <c r="L210" i="63" s="1"/>
  <c r="L246" i="63" s="1"/>
  <c r="I218" i="63" a="1"/>
  <c r="I218" i="63" s="1"/>
  <c r="I254" i="63" s="1"/>
  <c r="J218" i="63" a="1"/>
  <c r="J218" i="63" s="1"/>
  <c r="J254" i="63" s="1"/>
  <c r="K218" i="63" a="1"/>
  <c r="K218" i="63" s="1"/>
  <c r="K254" i="63" s="1"/>
  <c r="L218" i="63" a="1"/>
  <c r="L218" i="63" s="1"/>
  <c r="L254" i="63" s="1"/>
  <c r="I219" i="63" a="1"/>
  <c r="I219" i="63" s="1"/>
  <c r="I255" i="63" s="1"/>
  <c r="J219" i="63" a="1"/>
  <c r="J219" i="63" s="1"/>
  <c r="J255" i="63" s="1"/>
  <c r="K219" i="63" a="1"/>
  <c r="K219" i="63" s="1"/>
  <c r="K255" i="63" s="1"/>
  <c r="L219" i="63" a="1"/>
  <c r="L219" i="63" s="1"/>
  <c r="L255" i="63" s="1"/>
  <c r="I221" i="63" a="1"/>
  <c r="I221" i="63" s="1"/>
  <c r="I257" i="63" s="1"/>
  <c r="J221" i="63" a="1"/>
  <c r="J221" i="63" s="1"/>
  <c r="J257" i="63" s="1"/>
  <c r="K221" i="63" a="1"/>
  <c r="K221" i="63" s="1"/>
  <c r="K257" i="63" s="1"/>
  <c r="L221" i="63" a="1"/>
  <c r="L221" i="63" s="1"/>
  <c r="L257" i="63" s="1"/>
  <c r="I222" i="63" a="1"/>
  <c r="I222" i="63" s="1"/>
  <c r="I258" i="63" s="1"/>
  <c r="J222" i="63" a="1"/>
  <c r="J222" i="63" s="1"/>
  <c r="J258" i="63" s="1"/>
  <c r="K222" i="63" a="1"/>
  <c r="K222" i="63" s="1"/>
  <c r="K258" i="63" s="1"/>
  <c r="L222" i="63" a="1"/>
  <c r="L222" i="63" s="1"/>
  <c r="L258" i="63" s="1"/>
  <c r="H195" i="63" a="1"/>
  <c r="H195" i="63" s="1"/>
  <c r="H231" i="63" s="1"/>
  <c r="H205" i="63" a="1"/>
  <c r="H205" i="63" s="1"/>
  <c r="H241" i="63" s="1"/>
  <c r="H206" i="63" a="1"/>
  <c r="H206" i="63" s="1"/>
  <c r="H242" i="63" s="1"/>
  <c r="H216" i="63" a="1"/>
  <c r="H216" i="63" s="1"/>
  <c r="H252" i="63" s="1"/>
  <c r="H217" i="63" a="1"/>
  <c r="H217" i="63" s="1"/>
  <c r="H253" i="63" s="1"/>
  <c r="H194" i="63" a="1"/>
  <c r="H194" i="63" s="1"/>
  <c r="H230" i="63" s="1"/>
  <c r="I66" i="63" a="1"/>
  <c r="I66" i="63" s="1"/>
  <c r="J66" i="63" a="1"/>
  <c r="J66" i="63" s="1"/>
  <c r="K66" i="63" a="1"/>
  <c r="K66" i="63" s="1"/>
  <c r="L66" i="63" a="1"/>
  <c r="L66" i="63" s="1"/>
  <c r="I67" i="63" a="1"/>
  <c r="I67" i="63" s="1"/>
  <c r="I103" i="63" s="1"/>
  <c r="J67" i="63" a="1"/>
  <c r="J67" i="63" s="1"/>
  <c r="J103" i="63" s="1"/>
  <c r="K67" i="63" a="1"/>
  <c r="K67" i="63" s="1"/>
  <c r="K103" i="63" s="1"/>
  <c r="L67" i="63" a="1"/>
  <c r="L67" i="63" s="1"/>
  <c r="L103" i="63" s="1"/>
  <c r="I68" i="63" a="1"/>
  <c r="I68" i="63" s="1"/>
  <c r="J68" i="63" a="1"/>
  <c r="J68" i="63" s="1"/>
  <c r="K68" i="63" a="1"/>
  <c r="K68" i="63" s="1"/>
  <c r="L68" i="63" a="1"/>
  <c r="L68" i="63" s="1"/>
  <c r="I69" i="63" a="1"/>
  <c r="I69" i="63" s="1"/>
  <c r="I105" i="63" s="1"/>
  <c r="J69" i="63" a="1"/>
  <c r="J69" i="63" s="1"/>
  <c r="J105" i="63" s="1"/>
  <c r="K69" i="63" a="1"/>
  <c r="K69" i="63" s="1"/>
  <c r="K105" i="63" s="1"/>
  <c r="L69" i="63" a="1"/>
  <c r="L69" i="63" s="1"/>
  <c r="L105" i="63" s="1"/>
  <c r="I77" i="63" a="1"/>
  <c r="I77" i="63" s="1"/>
  <c r="I113" i="63" s="1"/>
  <c r="J77" i="63" a="1"/>
  <c r="J77" i="63" s="1"/>
  <c r="J113" i="63" s="1"/>
  <c r="K77" i="63" a="1"/>
  <c r="K77" i="63" s="1"/>
  <c r="K113" i="63" s="1"/>
  <c r="L77" i="63" a="1"/>
  <c r="L77" i="63" s="1"/>
  <c r="L113" i="63" s="1"/>
  <c r="I78" i="63" a="1"/>
  <c r="I78" i="63" s="1"/>
  <c r="I114" i="63" s="1"/>
  <c r="J78" i="63" a="1"/>
  <c r="J78" i="63" s="1"/>
  <c r="J114" i="63" s="1"/>
  <c r="K78" i="63" a="1"/>
  <c r="K78" i="63" s="1"/>
  <c r="K114" i="63" s="1"/>
  <c r="L78" i="63" a="1"/>
  <c r="L78" i="63" s="1"/>
  <c r="L114" i="63" s="1"/>
  <c r="I79" i="63" a="1"/>
  <c r="I79" i="63" s="1"/>
  <c r="I115" i="63" s="1"/>
  <c r="J79" i="63" a="1"/>
  <c r="J79" i="63" s="1"/>
  <c r="J115" i="63" s="1"/>
  <c r="K79" i="63" a="1"/>
  <c r="K79" i="63" s="1"/>
  <c r="K115" i="63" s="1"/>
  <c r="L79" i="63" a="1"/>
  <c r="L79" i="63" s="1"/>
  <c r="L115" i="63" s="1"/>
  <c r="I80" i="63" a="1"/>
  <c r="I80" i="63" s="1"/>
  <c r="I116" i="63" s="1"/>
  <c r="J80" i="63" a="1"/>
  <c r="J80" i="63" s="1"/>
  <c r="J116" i="63" s="1"/>
  <c r="K80" i="63" a="1"/>
  <c r="K80" i="63" s="1"/>
  <c r="K116" i="63" s="1"/>
  <c r="L80" i="63" a="1"/>
  <c r="L80" i="63" s="1"/>
  <c r="L116" i="63" s="1"/>
  <c r="I88" i="63" a="1"/>
  <c r="I88" i="63" s="1"/>
  <c r="I124" i="63" s="1"/>
  <c r="J88" i="63" a="1"/>
  <c r="J88" i="63" s="1"/>
  <c r="J124" i="63" s="1"/>
  <c r="K88" i="63" a="1"/>
  <c r="K88" i="63" s="1"/>
  <c r="K124" i="63" s="1"/>
  <c r="L88" i="63" a="1"/>
  <c r="L88" i="63" s="1"/>
  <c r="L124" i="63" s="1"/>
  <c r="I89" i="63" a="1"/>
  <c r="I89" i="63" s="1"/>
  <c r="I125" i="63" s="1"/>
  <c r="J89" i="63" a="1"/>
  <c r="J89" i="63" s="1"/>
  <c r="J125" i="63" s="1"/>
  <c r="K89" i="63" a="1"/>
  <c r="K89" i="63" s="1"/>
  <c r="K125" i="63" s="1"/>
  <c r="L89" i="63" a="1"/>
  <c r="L89" i="63" s="1"/>
  <c r="L125" i="63" s="1"/>
  <c r="I90" i="63" a="1"/>
  <c r="I90" i="63" s="1"/>
  <c r="I126" i="63" s="1"/>
  <c r="J90" i="63" a="1"/>
  <c r="J90" i="63" s="1"/>
  <c r="J126" i="63" s="1"/>
  <c r="K90" i="63" a="1"/>
  <c r="K90" i="63" s="1"/>
  <c r="K126" i="63" s="1"/>
  <c r="L90" i="63" a="1"/>
  <c r="L90" i="63" s="1"/>
  <c r="L126" i="63" s="1"/>
  <c r="I91" i="63" a="1"/>
  <c r="I91" i="63" s="1"/>
  <c r="I127" i="63" s="1"/>
  <c r="J91" i="63" a="1"/>
  <c r="J91" i="63" s="1"/>
  <c r="J127" i="63" s="1"/>
  <c r="K91" i="63" a="1"/>
  <c r="K91" i="63" s="1"/>
  <c r="K127" i="63" s="1"/>
  <c r="L91" i="63" a="1"/>
  <c r="L91" i="63" s="1"/>
  <c r="L127" i="63" s="1"/>
  <c r="H64" i="63" a="1"/>
  <c r="H64" i="63" s="1"/>
  <c r="D10" i="49"/>
  <c r="F238" i="42"/>
  <c r="J238" i="42"/>
  <c r="I238" i="42"/>
  <c r="H238" i="42"/>
  <c r="G238" i="42"/>
  <c r="D240" i="49"/>
  <c r="S87" i="67" l="1"/>
  <c r="S86" i="67"/>
  <c r="S15" i="67"/>
  <c r="L86" i="67"/>
  <c r="S14" i="67"/>
  <c r="J104" i="63"/>
  <c r="I35" i="51" a="1"/>
  <c r="I35" i="51" s="1"/>
  <c r="J31" i="67" s="1" a="1"/>
  <c r="J31" i="67" s="1"/>
  <c r="K102" i="63"/>
  <c r="J34" i="51" a="1"/>
  <c r="J34" i="51" s="1"/>
  <c r="K30" i="67" s="1" a="1"/>
  <c r="K30" i="67" s="1"/>
  <c r="J102" i="63"/>
  <c r="I34" i="51" a="1"/>
  <c r="I34" i="51" s="1"/>
  <c r="J30" i="67" s="1" a="1"/>
  <c r="J30" i="67" s="1"/>
  <c r="L104" i="63"/>
  <c r="K35" i="51" a="1"/>
  <c r="K35" i="51" s="1"/>
  <c r="L31" i="67" s="1" a="1"/>
  <c r="L31" i="67" s="1"/>
  <c r="L102" i="63"/>
  <c r="K34" i="51" a="1"/>
  <c r="K34" i="51" s="1"/>
  <c r="L30" i="67" s="1" a="1"/>
  <c r="L30" i="67" s="1"/>
  <c r="H100" i="63"/>
  <c r="G36" i="51" a="1"/>
  <c r="G36" i="51" s="1"/>
  <c r="H32" i="67" s="1" a="1"/>
  <c r="H32" i="67" s="1"/>
  <c r="I104" i="63"/>
  <c r="H35" i="51" a="1"/>
  <c r="H35" i="51" s="1"/>
  <c r="I31" i="67" s="1" a="1"/>
  <c r="I31" i="67" s="1"/>
  <c r="I102" i="63"/>
  <c r="H34" i="51" a="1"/>
  <c r="H34" i="51" s="1"/>
  <c r="I30" i="67" s="1" a="1"/>
  <c r="I30" i="67" s="1"/>
  <c r="K104" i="63"/>
  <c r="J35" i="51" a="1"/>
  <c r="J35" i="51" s="1"/>
  <c r="K31" i="67" s="1" a="1"/>
  <c r="K31" i="67" s="1"/>
  <c r="X143" i="72"/>
  <c r="T143" i="72"/>
  <c r="P143" i="72"/>
  <c r="L143" i="72"/>
  <c r="L149" i="72" s="1"/>
  <c r="H143" i="72"/>
  <c r="H149" i="72" s="1"/>
  <c r="D143" i="72"/>
  <c r="D149" i="72" s="1"/>
  <c r="X140" i="72"/>
  <c r="T140" i="72"/>
  <c r="T146" i="72" s="1"/>
  <c r="P140" i="72"/>
  <c r="L140" i="72"/>
  <c r="L146" i="72" s="1"/>
  <c r="H140" i="72"/>
  <c r="D140" i="72"/>
  <c r="D146" i="72" s="1"/>
  <c r="G2" i="72"/>
  <c r="F2" i="72"/>
  <c r="C2" i="72"/>
  <c r="G2" i="73"/>
  <c r="F2" i="73"/>
  <c r="C2" i="73"/>
  <c r="Y151" i="73"/>
  <c r="U151" i="73"/>
  <c r="Q151" i="73"/>
  <c r="M151" i="73"/>
  <c r="I151" i="73"/>
  <c r="E151" i="73"/>
  <c r="Y150" i="73"/>
  <c r="U150" i="73"/>
  <c r="Q150" i="73"/>
  <c r="M150" i="73"/>
  <c r="I150" i="73"/>
  <c r="E150" i="73"/>
  <c r="L149" i="73"/>
  <c r="Y148" i="73"/>
  <c r="U148" i="73"/>
  <c r="Q148" i="73"/>
  <c r="M148" i="73"/>
  <c r="I148" i="73"/>
  <c r="E148" i="73"/>
  <c r="Y147" i="73"/>
  <c r="U147" i="73"/>
  <c r="Q147" i="73"/>
  <c r="M147" i="73"/>
  <c r="I147" i="73"/>
  <c r="E147" i="73"/>
  <c r="T146" i="73"/>
  <c r="D146" i="73"/>
  <c r="Y145" i="73"/>
  <c r="U145" i="73"/>
  <c r="Q145" i="73"/>
  <c r="M145" i="73"/>
  <c r="I145" i="73"/>
  <c r="E145" i="73"/>
  <c r="Y144" i="73"/>
  <c r="U144" i="73"/>
  <c r="Q144" i="73"/>
  <c r="M144" i="73"/>
  <c r="I144" i="73"/>
  <c r="E144" i="73"/>
  <c r="X143" i="73"/>
  <c r="T143" i="73"/>
  <c r="T149" i="73" s="1"/>
  <c r="P143" i="73"/>
  <c r="P149" i="73" s="1"/>
  <c r="L143" i="73"/>
  <c r="H143" i="73"/>
  <c r="H149" i="73" s="1"/>
  <c r="D143" i="73"/>
  <c r="D149" i="73" s="1"/>
  <c r="Y142" i="73"/>
  <c r="U142" i="73"/>
  <c r="Q142" i="73"/>
  <c r="M142" i="73"/>
  <c r="I142" i="73"/>
  <c r="E142" i="73"/>
  <c r="Y141" i="73"/>
  <c r="U141" i="73"/>
  <c r="Q141" i="73"/>
  <c r="M141" i="73"/>
  <c r="I141" i="73"/>
  <c r="E141" i="73"/>
  <c r="X140" i="73"/>
  <c r="X146" i="73" s="1"/>
  <c r="T140" i="73"/>
  <c r="P140" i="73"/>
  <c r="P146" i="73" s="1"/>
  <c r="L140" i="73"/>
  <c r="L146" i="73" s="1"/>
  <c r="H140" i="73"/>
  <c r="H146" i="73" s="1"/>
  <c r="D140" i="73"/>
  <c r="X139" i="73"/>
  <c r="T139" i="73"/>
  <c r="P139" i="73"/>
  <c r="L139" i="73"/>
  <c r="H139" i="73"/>
  <c r="D139" i="73"/>
  <c r="G3" i="73"/>
  <c r="F3" i="73"/>
  <c r="B3" i="73"/>
  <c r="B5" i="73" s="1"/>
  <c r="Y151" i="72"/>
  <c r="U151" i="72"/>
  <c r="Q151" i="72"/>
  <c r="M151" i="72"/>
  <c r="I151" i="72"/>
  <c r="E151" i="72"/>
  <c r="Y150" i="72"/>
  <c r="U150" i="72"/>
  <c r="Q150" i="72"/>
  <c r="M150" i="72"/>
  <c r="I150" i="72"/>
  <c r="E150" i="72"/>
  <c r="Y148" i="72"/>
  <c r="U148" i="72"/>
  <c r="Q148" i="72"/>
  <c r="M148" i="72"/>
  <c r="I148" i="72"/>
  <c r="E148" i="72"/>
  <c r="Y147" i="72"/>
  <c r="U147" i="72"/>
  <c r="Q147" i="72"/>
  <c r="M147" i="72"/>
  <c r="I147" i="72"/>
  <c r="E147" i="72"/>
  <c r="Y145" i="72"/>
  <c r="U145" i="72"/>
  <c r="Q145" i="72"/>
  <c r="M145" i="72"/>
  <c r="I145" i="72"/>
  <c r="E145" i="72"/>
  <c r="Y144" i="72"/>
  <c r="U144" i="72"/>
  <c r="Q144" i="72"/>
  <c r="M144" i="72"/>
  <c r="I144" i="72"/>
  <c r="E144" i="72"/>
  <c r="T149" i="72"/>
  <c r="P149" i="72"/>
  <c r="Y142" i="72"/>
  <c r="U142" i="72"/>
  <c r="Q142" i="72"/>
  <c r="M142" i="72"/>
  <c r="I142" i="72"/>
  <c r="E142" i="72"/>
  <c r="Y141" i="72"/>
  <c r="U141" i="72"/>
  <c r="Q141" i="72"/>
  <c r="M141" i="72"/>
  <c r="I141" i="72"/>
  <c r="E141" i="72"/>
  <c r="X146" i="72"/>
  <c r="P146" i="72"/>
  <c r="H146" i="72"/>
  <c r="X139" i="72"/>
  <c r="T139" i="72"/>
  <c r="P139" i="72"/>
  <c r="L139" i="72"/>
  <c r="H139" i="72"/>
  <c r="D139" i="72"/>
  <c r="G3" i="72"/>
  <c r="F3" i="72"/>
  <c r="B3" i="72"/>
  <c r="Y151" i="70"/>
  <c r="U151" i="70"/>
  <c r="Q151" i="70"/>
  <c r="M151" i="70"/>
  <c r="I151" i="70"/>
  <c r="E151" i="70"/>
  <c r="Y150" i="70"/>
  <c r="U150" i="70"/>
  <c r="Q150" i="70"/>
  <c r="M150" i="70"/>
  <c r="I150" i="70"/>
  <c r="E150" i="70"/>
  <c r="T149" i="70"/>
  <c r="Y148" i="70"/>
  <c r="U148" i="70"/>
  <c r="Q148" i="70"/>
  <c r="M148" i="70"/>
  <c r="I148" i="70"/>
  <c r="E148" i="70"/>
  <c r="Y147" i="70"/>
  <c r="U147" i="70"/>
  <c r="Q147" i="70"/>
  <c r="M147" i="70"/>
  <c r="I147" i="70"/>
  <c r="E147" i="70"/>
  <c r="P146" i="70"/>
  <c r="L146" i="70"/>
  <c r="Y145" i="70"/>
  <c r="U145" i="70"/>
  <c r="Q145" i="70"/>
  <c r="M145" i="70"/>
  <c r="I145" i="70"/>
  <c r="E145" i="70"/>
  <c r="Y144" i="70"/>
  <c r="U144" i="70"/>
  <c r="Q144" i="70"/>
  <c r="M144" i="70"/>
  <c r="I144" i="70"/>
  <c r="E144" i="70"/>
  <c r="X143" i="70"/>
  <c r="T143" i="70"/>
  <c r="P143" i="70"/>
  <c r="P149" i="70" s="1"/>
  <c r="L143" i="70"/>
  <c r="L149" i="70" s="1"/>
  <c r="H143" i="70"/>
  <c r="H149" i="70" s="1"/>
  <c r="D143" i="70"/>
  <c r="D149" i="70" s="1"/>
  <c r="Y142" i="70"/>
  <c r="U142" i="70"/>
  <c r="Q142" i="70"/>
  <c r="M142" i="70"/>
  <c r="I142" i="70"/>
  <c r="E142" i="70"/>
  <c r="Y141" i="70"/>
  <c r="U141" i="70"/>
  <c r="Q141" i="70"/>
  <c r="M141" i="70"/>
  <c r="I141" i="70"/>
  <c r="E141" i="70"/>
  <c r="X140" i="70"/>
  <c r="X146" i="70" s="1"/>
  <c r="T140" i="70"/>
  <c r="T146" i="70" s="1"/>
  <c r="P140" i="70"/>
  <c r="L140" i="70"/>
  <c r="H140" i="70"/>
  <c r="H146" i="70" s="1"/>
  <c r="D140" i="70"/>
  <c r="D146" i="70" s="1"/>
  <c r="X139" i="70"/>
  <c r="T139" i="70"/>
  <c r="P139" i="70"/>
  <c r="L139" i="70"/>
  <c r="H139" i="70"/>
  <c r="D139" i="70"/>
  <c r="G3" i="70"/>
  <c r="F3" i="70"/>
  <c r="B3" i="70"/>
  <c r="B5" i="70" s="1"/>
  <c r="G2" i="70"/>
  <c r="F2" i="70"/>
  <c r="C2" i="70"/>
  <c r="L88" i="67" l="1"/>
  <c r="S16" i="67"/>
  <c r="S88" i="67"/>
  <c r="L16" i="67"/>
  <c r="B42" i="73"/>
  <c r="B159" i="73" s="1"/>
  <c r="B5" i="72"/>
  <c r="B42" i="72" s="1"/>
  <c r="B42" i="70"/>
  <c r="B159" i="70" s="1"/>
  <c r="L36" i="50" l="1" a="1"/>
  <c r="L36" i="50" s="1"/>
  <c r="K36" i="50" a="1"/>
  <c r="K36" i="50" s="1"/>
  <c r="O457" i="49" l="1"/>
  <c r="N457" i="49"/>
  <c r="M457" i="49"/>
  <c r="L457" i="49"/>
  <c r="K457" i="49"/>
  <c r="O443" i="49"/>
  <c r="N443" i="49"/>
  <c r="M443" i="49"/>
  <c r="L443" i="49"/>
  <c r="K443" i="49"/>
  <c r="O429" i="49"/>
  <c r="N429" i="49"/>
  <c r="M429" i="49"/>
  <c r="L429" i="49"/>
  <c r="K429" i="49"/>
  <c r="O415" i="49"/>
  <c r="N415" i="49"/>
  <c r="M415" i="49"/>
  <c r="L415" i="49"/>
  <c r="K415" i="49"/>
  <c r="O400" i="49"/>
  <c r="N400" i="49"/>
  <c r="M400" i="49"/>
  <c r="L400" i="49"/>
  <c r="K400" i="49"/>
  <c r="O385" i="49"/>
  <c r="N385" i="49"/>
  <c r="M385" i="49"/>
  <c r="L385" i="49"/>
  <c r="K385" i="49"/>
  <c r="O345" i="49"/>
  <c r="N345" i="49"/>
  <c r="M345" i="49"/>
  <c r="L345" i="49"/>
  <c r="K345" i="49"/>
  <c r="K360" i="49"/>
  <c r="L360" i="49"/>
  <c r="M360" i="49"/>
  <c r="N360" i="49"/>
  <c r="O360" i="49"/>
  <c r="O371" i="49"/>
  <c r="N371" i="49"/>
  <c r="M371" i="49"/>
  <c r="L371" i="49"/>
  <c r="K371" i="49"/>
  <c r="V64" i="52"/>
  <c r="U112" i="51" a="1"/>
  <c r="U112" i="51" s="1"/>
  <c r="T112" i="51" a="1"/>
  <c r="T112" i="51" s="1"/>
  <c r="S112" i="51" a="1"/>
  <c r="S112" i="51" s="1"/>
  <c r="R112" i="51" a="1"/>
  <c r="R112" i="51" s="1"/>
  <c r="Q112" i="51" a="1"/>
  <c r="Q112" i="51" s="1"/>
  <c r="U106" i="51" a="1"/>
  <c r="U106" i="51" s="1"/>
  <c r="U141" i="51" s="1" a="1"/>
  <c r="U141" i="51" s="1"/>
  <c r="T106" i="51" a="1"/>
  <c r="T106" i="51" s="1"/>
  <c r="T141" i="51" s="1" a="1"/>
  <c r="T141" i="51" s="1"/>
  <c r="S106" i="51" a="1"/>
  <c r="S106" i="51" s="1"/>
  <c r="S141" i="51" s="1" a="1"/>
  <c r="S141" i="51" s="1"/>
  <c r="R106" i="51" a="1"/>
  <c r="R106" i="51" s="1"/>
  <c r="R141" i="51" s="1" a="1"/>
  <c r="R141" i="51" s="1"/>
  <c r="Q106" i="51" a="1"/>
  <c r="Q106" i="51" s="1"/>
  <c r="Q141" i="51" s="1" a="1"/>
  <c r="Q141" i="51" s="1"/>
  <c r="U89" i="51" a="1"/>
  <c r="U89" i="51" s="1"/>
  <c r="T89" i="51" a="1"/>
  <c r="T89" i="51" s="1"/>
  <c r="S89" i="51" a="1"/>
  <c r="S89" i="51" s="1"/>
  <c r="R89" i="51" a="1"/>
  <c r="R89" i="51" s="1"/>
  <c r="Q89" i="51" a="1"/>
  <c r="Q89" i="51" s="1"/>
  <c r="C186" i="63"/>
  <c r="L186" i="63" s="1" a="1"/>
  <c r="L186" i="63" s="1"/>
  <c r="C185" i="63"/>
  <c r="C184" i="63"/>
  <c r="C149" i="63"/>
  <c r="C148" i="63"/>
  <c r="C147" i="63"/>
  <c r="C146" i="63"/>
  <c r="C145" i="63"/>
  <c r="C144" i="63"/>
  <c r="C143" i="63"/>
  <c r="C142" i="63"/>
  <c r="C141" i="63"/>
  <c r="K107" i="51" l="1" a="1"/>
  <c r="K107" i="51" s="1"/>
  <c r="K142" i="51" s="1" a="1"/>
  <c r="K142" i="51" s="1"/>
  <c r="K108" i="51" a="1"/>
  <c r="K108" i="51" s="1"/>
  <c r="K143" i="51" s="1" a="1"/>
  <c r="K143" i="51" s="1"/>
  <c r="H107" i="51" a="1"/>
  <c r="H107" i="51" s="1"/>
  <c r="H142" i="51" s="1" a="1"/>
  <c r="H142" i="51" s="1"/>
  <c r="H108" i="51" a="1"/>
  <c r="H108" i="51" s="1"/>
  <c r="H143" i="51" s="1" a="1"/>
  <c r="H143" i="51" s="1"/>
  <c r="I107" i="51" a="1"/>
  <c r="I107" i="51" s="1"/>
  <c r="I142" i="51" s="1" a="1"/>
  <c r="I142" i="51" s="1"/>
  <c r="I108" i="51" a="1"/>
  <c r="I108" i="51" s="1"/>
  <c r="I143" i="51" s="1" a="1"/>
  <c r="I143" i="51" s="1"/>
  <c r="J107" i="51" a="1"/>
  <c r="J107" i="51" s="1"/>
  <c r="J142" i="51" s="1" a="1"/>
  <c r="J142" i="51" s="1"/>
  <c r="J108" i="51" a="1"/>
  <c r="J108" i="51" s="1"/>
  <c r="J143" i="51" s="1" a="1"/>
  <c r="J143" i="51" s="1"/>
  <c r="G109" i="51" a="1"/>
  <c r="G109" i="51" s="1"/>
  <c r="G144" i="51" s="1" a="1"/>
  <c r="G144" i="51" s="1"/>
  <c r="U107" i="51" a="1"/>
  <c r="U107" i="51" s="1"/>
  <c r="M202" i="73" s="1"/>
  <c r="H186" i="63" a="1"/>
  <c r="H186" i="63" s="1"/>
  <c r="J186" i="63" a="1"/>
  <c r="J186" i="63" s="1"/>
  <c r="I186" i="63" a="1"/>
  <c r="I186" i="63" s="1"/>
  <c r="U108" i="51" a="1"/>
  <c r="U108" i="51" s="1"/>
  <c r="Q109" i="51" a="1"/>
  <c r="Q109" i="51" s="1"/>
  <c r="I204" i="73" s="1"/>
  <c r="R108" i="51" a="1"/>
  <c r="R108" i="51" s="1"/>
  <c r="J203" i="73" s="1"/>
  <c r="K186" i="63" a="1"/>
  <c r="K186" i="63" s="1"/>
  <c r="S108" i="51" a="1"/>
  <c r="S108" i="51" s="1"/>
  <c r="K203" i="73" s="1"/>
  <c r="T108" i="51" a="1"/>
  <c r="T108" i="51" s="1"/>
  <c r="L203" i="73" s="1"/>
  <c r="R107" i="51" a="1"/>
  <c r="R107" i="51" s="1"/>
  <c r="J202" i="73" s="1"/>
  <c r="S107" i="51" a="1"/>
  <c r="S107" i="51" s="1"/>
  <c r="K202" i="73" s="1"/>
  <c r="T107" i="51" a="1"/>
  <c r="T107" i="51" s="1"/>
  <c r="L202" i="73" s="1"/>
  <c r="J194" i="73" l="1"/>
  <c r="L194" i="73"/>
  <c r="M194" i="73"/>
  <c r="K194" i="73"/>
  <c r="K195" i="73"/>
  <c r="M195" i="73"/>
  <c r="L195" i="73"/>
  <c r="J195" i="73"/>
  <c r="I196" i="73"/>
  <c r="U142" i="51" a="1"/>
  <c r="U142" i="51" s="1"/>
  <c r="M203" i="73"/>
  <c r="U143" i="51" a="1"/>
  <c r="U143" i="51" s="1"/>
  <c r="T142" i="51" a="1"/>
  <c r="T142" i="51" s="1"/>
  <c r="T143" i="51" a="1"/>
  <c r="T143" i="51" s="1"/>
  <c r="S143" i="51" a="1"/>
  <c r="S143" i="51" s="1"/>
  <c r="S142" i="51" a="1"/>
  <c r="S142" i="51" s="1"/>
  <c r="R143" i="51" a="1"/>
  <c r="R143" i="51" s="1"/>
  <c r="R142" i="51" a="1"/>
  <c r="R142" i="51" s="1"/>
  <c r="Q144" i="51" a="1"/>
  <c r="Q144" i="51" s="1"/>
  <c r="F2" i="67"/>
  <c r="E2" i="67"/>
  <c r="E57" i="65" a="1"/>
  <c r="E57" i="65" s="1"/>
  <c r="E62" i="65" a="1"/>
  <c r="E62" i="65" s="1"/>
  <c r="O59" i="65" a="1"/>
  <c r="O59" i="65" s="1"/>
  <c r="N59" i="65" a="1"/>
  <c r="N59" i="65" s="1"/>
  <c r="M59" i="65" a="1"/>
  <c r="M59" i="65" s="1"/>
  <c r="L59" i="65" a="1"/>
  <c r="L59" i="65" s="1"/>
  <c r="K59" i="65" a="1"/>
  <c r="K59" i="65" s="1"/>
  <c r="J59" i="65" a="1"/>
  <c r="J59" i="65" s="1"/>
  <c r="I59" i="65" a="1"/>
  <c r="I59" i="65" s="1"/>
  <c r="H59" i="65" a="1"/>
  <c r="H59" i="65" s="1"/>
  <c r="G59" i="65" a="1"/>
  <c r="G59" i="65" s="1"/>
  <c r="F59" i="65" a="1"/>
  <c r="F59" i="65" s="1"/>
  <c r="E59" i="65" a="1"/>
  <c r="E59" i="65" s="1"/>
  <c r="O58" i="65" a="1"/>
  <c r="O58" i="65" s="1"/>
  <c r="N58" i="65" a="1"/>
  <c r="N58" i="65" s="1"/>
  <c r="M58" i="65" a="1"/>
  <c r="M58" i="65" s="1"/>
  <c r="L58" i="65" a="1"/>
  <c r="L58" i="65" s="1"/>
  <c r="K58" i="65" a="1"/>
  <c r="K58" i="65" s="1"/>
  <c r="J58" i="65" a="1"/>
  <c r="J58" i="65" s="1"/>
  <c r="I58" i="65" a="1"/>
  <c r="I58" i="65" s="1"/>
  <c r="H58" i="65" a="1"/>
  <c r="H58" i="65" s="1"/>
  <c r="G58" i="65" a="1"/>
  <c r="G58" i="65" s="1"/>
  <c r="F58" i="65" a="1"/>
  <c r="F58" i="65" s="1"/>
  <c r="E58" i="65" a="1"/>
  <c r="E58" i="65" s="1"/>
  <c r="O57" i="65" a="1"/>
  <c r="O57" i="65" s="1"/>
  <c r="N57" i="65" a="1"/>
  <c r="N57" i="65" s="1"/>
  <c r="M57" i="65" a="1"/>
  <c r="M57" i="65" s="1"/>
  <c r="L57" i="65" a="1"/>
  <c r="L57" i="65" s="1"/>
  <c r="K57" i="65" a="1"/>
  <c r="K57" i="65" s="1"/>
  <c r="J57" i="65" a="1"/>
  <c r="J57" i="65" s="1"/>
  <c r="I57" i="65" a="1"/>
  <c r="I57" i="65" s="1"/>
  <c r="H57" i="65" a="1"/>
  <c r="H57" i="65" s="1"/>
  <c r="G57" i="65" a="1"/>
  <c r="G57" i="65" s="1"/>
  <c r="F57" i="65" a="1"/>
  <c r="F57" i="65" s="1"/>
  <c r="O56" i="65" a="1"/>
  <c r="O56" i="65" s="1"/>
  <c r="N56" i="65" a="1"/>
  <c r="N56" i="65" s="1"/>
  <c r="M56" i="65" a="1"/>
  <c r="M56" i="65" s="1"/>
  <c r="L56" i="65"/>
  <c r="L56" i="65" a="1"/>
  <c r="K56" i="65" a="1"/>
  <c r="K56" i="65" s="1"/>
  <c r="J56" i="65" a="1"/>
  <c r="J56" i="65" s="1"/>
  <c r="I56" i="65" a="1"/>
  <c r="I56" i="65" s="1"/>
  <c r="H56" i="65" a="1"/>
  <c r="H56" i="65" s="1"/>
  <c r="G56" i="65" a="1"/>
  <c r="G56" i="65" s="1"/>
  <c r="F56" i="65" a="1"/>
  <c r="F56" i="65" s="1"/>
  <c r="E56" i="65" a="1"/>
  <c r="E56" i="65" s="1"/>
  <c r="O55" i="65" a="1"/>
  <c r="O55" i="65" s="1"/>
  <c r="N55" i="65" a="1"/>
  <c r="N55" i="65" s="1"/>
  <c r="M55" i="65" a="1"/>
  <c r="M55" i="65" s="1"/>
  <c r="L55" i="65" a="1"/>
  <c r="L55" i="65" s="1"/>
  <c r="K55" i="65" a="1"/>
  <c r="K55" i="65" s="1"/>
  <c r="J55" i="65" a="1"/>
  <c r="J55" i="65" s="1"/>
  <c r="I55" i="65" a="1"/>
  <c r="I55" i="65" s="1"/>
  <c r="H55" i="65" a="1"/>
  <c r="H55" i="65" s="1"/>
  <c r="G55" i="65" a="1"/>
  <c r="G55" i="65" s="1"/>
  <c r="F55" i="65" a="1"/>
  <c r="F55" i="65" s="1"/>
  <c r="E55" i="65" a="1"/>
  <c r="E55" i="65" s="1"/>
  <c r="O54" i="65" a="1"/>
  <c r="O54" i="65" s="1"/>
  <c r="N54" i="65" a="1"/>
  <c r="N54" i="65" s="1"/>
  <c r="M54" i="65" a="1"/>
  <c r="M54" i="65" s="1"/>
  <c r="L54" i="65" a="1"/>
  <c r="L54" i="65" s="1"/>
  <c r="K54" i="65" a="1"/>
  <c r="K54" i="65" s="1"/>
  <c r="J54" i="65" a="1"/>
  <c r="J54" i="65" s="1"/>
  <c r="I54" i="65" a="1"/>
  <c r="I54" i="65" s="1"/>
  <c r="H54" i="65" a="1"/>
  <c r="H54" i="65" s="1"/>
  <c r="G54" i="65" a="1"/>
  <c r="G54" i="65" s="1"/>
  <c r="F54" i="65" a="1"/>
  <c r="F54" i="65" s="1"/>
  <c r="E54" i="65" a="1"/>
  <c r="E54" i="65" s="1"/>
  <c r="O66" i="65" a="1"/>
  <c r="O66" i="65" s="1"/>
  <c r="N66" i="65" a="1"/>
  <c r="N66" i="65" s="1"/>
  <c r="M66" i="65" a="1"/>
  <c r="M66" i="65" s="1"/>
  <c r="L66" i="65" a="1"/>
  <c r="L66" i="65" s="1"/>
  <c r="K66" i="65" a="1"/>
  <c r="K66" i="65" s="1"/>
  <c r="J66" i="65" a="1"/>
  <c r="J66" i="65" s="1"/>
  <c r="I66" i="65" a="1"/>
  <c r="I66" i="65" s="1"/>
  <c r="H66" i="65" a="1"/>
  <c r="H66" i="65" s="1"/>
  <c r="G66" i="65" a="1"/>
  <c r="G66" i="65" s="1"/>
  <c r="F66" i="65" a="1"/>
  <c r="F66" i="65" s="1"/>
  <c r="E66" i="65" a="1"/>
  <c r="E66" i="65" s="1"/>
  <c r="O65" i="65" a="1"/>
  <c r="O65" i="65" s="1"/>
  <c r="N65" i="65" a="1"/>
  <c r="N65" i="65" s="1"/>
  <c r="M65" i="65" a="1"/>
  <c r="M65" i="65" s="1"/>
  <c r="L65" i="65" a="1"/>
  <c r="L65" i="65" s="1"/>
  <c r="K65" i="65" a="1"/>
  <c r="K65" i="65" s="1"/>
  <c r="J65" i="65" a="1"/>
  <c r="J65" i="65" s="1"/>
  <c r="I65" i="65" a="1"/>
  <c r="I65" i="65" s="1"/>
  <c r="H65" i="65" a="1"/>
  <c r="H65" i="65" s="1"/>
  <c r="G65" i="65" a="1"/>
  <c r="G65" i="65" s="1"/>
  <c r="F65" i="65" a="1"/>
  <c r="F65" i="65" s="1"/>
  <c r="E65" i="65" a="1"/>
  <c r="E65" i="65" s="1"/>
  <c r="O64" i="65" a="1"/>
  <c r="O64" i="65" s="1"/>
  <c r="N64" i="65" a="1"/>
  <c r="N64" i="65" s="1"/>
  <c r="M64" i="65" a="1"/>
  <c r="M64" i="65" s="1"/>
  <c r="L64" i="65" a="1"/>
  <c r="L64" i="65" s="1"/>
  <c r="K64" i="65" a="1"/>
  <c r="K64" i="65" s="1"/>
  <c r="J64" i="65" a="1"/>
  <c r="J64" i="65" s="1"/>
  <c r="I64" i="65" a="1"/>
  <c r="I64" i="65" s="1"/>
  <c r="H64" i="65" a="1"/>
  <c r="H64" i="65" s="1"/>
  <c r="G64" i="65" a="1"/>
  <c r="G64" i="65" s="1"/>
  <c r="F64" i="65" a="1"/>
  <c r="F64" i="65" s="1"/>
  <c r="E64" i="65" a="1"/>
  <c r="E64" i="65" s="1"/>
  <c r="O63" i="65" a="1"/>
  <c r="O63" i="65" s="1"/>
  <c r="N63" i="65" a="1"/>
  <c r="N63" i="65" s="1"/>
  <c r="M63" i="65" a="1"/>
  <c r="M63" i="65" s="1"/>
  <c r="L63" i="65" a="1"/>
  <c r="L63" i="65" s="1"/>
  <c r="K63" i="65" a="1"/>
  <c r="K63" i="65" s="1"/>
  <c r="J63" i="65" a="1"/>
  <c r="J63" i="65" s="1"/>
  <c r="I63" i="65" a="1"/>
  <c r="I63" i="65" s="1"/>
  <c r="H63" i="65" a="1"/>
  <c r="H63" i="65" s="1"/>
  <c r="G63" i="65" a="1"/>
  <c r="G63" i="65" s="1"/>
  <c r="F63" i="65" a="1"/>
  <c r="F63" i="65" s="1"/>
  <c r="E63" i="65" a="1"/>
  <c r="E63" i="65" s="1"/>
  <c r="O62" i="65" a="1"/>
  <c r="O62" i="65" s="1"/>
  <c r="N62" i="65" a="1"/>
  <c r="N62" i="65" s="1"/>
  <c r="M62" i="65" a="1"/>
  <c r="M62" i="65" s="1"/>
  <c r="L62" i="65" a="1"/>
  <c r="L62" i="65" s="1"/>
  <c r="K62" i="65" a="1"/>
  <c r="K62" i="65" s="1"/>
  <c r="J62" i="65" a="1"/>
  <c r="J62" i="65" s="1"/>
  <c r="I62" i="65" a="1"/>
  <c r="I62" i="65" s="1"/>
  <c r="H62" i="65" a="1"/>
  <c r="H62" i="65" s="1"/>
  <c r="G62" i="65" a="1"/>
  <c r="G62" i="65" s="1"/>
  <c r="F62" i="65" a="1"/>
  <c r="F62" i="65" s="1"/>
  <c r="O61" i="65" a="1"/>
  <c r="O61" i="65" s="1"/>
  <c r="N61" i="65" a="1"/>
  <c r="N61" i="65" s="1"/>
  <c r="M61" i="65" a="1"/>
  <c r="M61" i="65" s="1"/>
  <c r="L61" i="65" a="1"/>
  <c r="L61" i="65" s="1"/>
  <c r="K61" i="65" a="1"/>
  <c r="K61" i="65" s="1"/>
  <c r="J61" i="65" a="1"/>
  <c r="J61" i="65" s="1"/>
  <c r="I61" i="65" a="1"/>
  <c r="I61" i="65" s="1"/>
  <c r="H61" i="65" a="1"/>
  <c r="H61" i="65" s="1"/>
  <c r="G61" i="65" a="1"/>
  <c r="G61" i="65" s="1"/>
  <c r="F61" i="65" a="1"/>
  <c r="F61" i="65" s="1"/>
  <c r="E61" i="65" a="1"/>
  <c r="E61" i="65" s="1"/>
  <c r="Q58" i="65" l="1"/>
  <c r="Q57" i="65"/>
  <c r="Q56" i="65"/>
  <c r="Q59" i="65"/>
  <c r="Q54" i="65"/>
  <c r="Q55" i="65"/>
  <c r="Q66" i="65"/>
  <c r="Q62" i="65"/>
  <c r="Q64" i="65"/>
  <c r="Q65" i="65"/>
  <c r="Q63" i="65"/>
  <c r="Q61" i="65"/>
  <c r="R16" i="51" l="1" a="1"/>
  <c r="R16" i="51" s="1"/>
  <c r="S16" i="51" a="1"/>
  <c r="S16" i="51" s="1"/>
  <c r="T16" i="51" a="1"/>
  <c r="T16" i="51" s="1"/>
  <c r="U16" i="51" a="1"/>
  <c r="U16" i="51" s="1"/>
  <c r="Q16" i="51" a="1"/>
  <c r="Q16" i="51" s="1"/>
  <c r="F397" i="44"/>
  <c r="E397" i="44"/>
  <c r="O226" i="49"/>
  <c r="N226" i="49"/>
  <c r="M226" i="49"/>
  <c r="L226" i="49"/>
  <c r="K226" i="49"/>
  <c r="O212" i="49"/>
  <c r="N212" i="49"/>
  <c r="M212" i="49"/>
  <c r="L212" i="49"/>
  <c r="K212" i="49"/>
  <c r="O198" i="49"/>
  <c r="N198" i="49"/>
  <c r="M198" i="49"/>
  <c r="L198" i="49"/>
  <c r="K198" i="49"/>
  <c r="O184" i="49"/>
  <c r="N184" i="49"/>
  <c r="M184" i="49"/>
  <c r="L184" i="49"/>
  <c r="K184" i="49"/>
  <c r="O169" i="49"/>
  <c r="N169" i="49"/>
  <c r="M169" i="49"/>
  <c r="L169" i="49"/>
  <c r="K169" i="49"/>
  <c r="O154" i="49"/>
  <c r="N154" i="49"/>
  <c r="M154" i="49"/>
  <c r="L154" i="49"/>
  <c r="K154" i="49"/>
  <c r="O140" i="49"/>
  <c r="N140" i="49"/>
  <c r="M140" i="49"/>
  <c r="L140" i="49"/>
  <c r="K140" i="49"/>
  <c r="O129" i="49"/>
  <c r="N129" i="49"/>
  <c r="M129" i="49"/>
  <c r="L129" i="49"/>
  <c r="K129" i="49"/>
  <c r="O114" i="49"/>
  <c r="N114" i="49"/>
  <c r="M114" i="49"/>
  <c r="L114" i="49"/>
  <c r="K114" i="49"/>
  <c r="K256" i="49" l="1"/>
  <c r="D242" i="49"/>
  <c r="D12" i="49"/>
  <c r="K26" i="49"/>
  <c r="D81" i="49"/>
  <c r="I140" i="41"/>
  <c r="H140" i="41"/>
  <c r="Z128" i="67" l="1"/>
  <c r="Y128" i="67"/>
  <c r="X128" i="67"/>
  <c r="W128" i="67"/>
  <c r="V128" i="67"/>
  <c r="Z101" i="67"/>
  <c r="Y101" i="67"/>
  <c r="X101" i="67"/>
  <c r="W101" i="67"/>
  <c r="V101" i="67"/>
  <c r="E84" i="55" l="1"/>
  <c r="Z56" i="67"/>
  <c r="Y56" i="67"/>
  <c r="X56" i="67"/>
  <c r="W56" i="67"/>
  <c r="V56" i="67"/>
  <c r="Z29" i="67"/>
  <c r="Y29" i="67"/>
  <c r="X29" i="67"/>
  <c r="W29" i="67"/>
  <c r="V29" i="67"/>
  <c r="B3" i="67"/>
  <c r="C2" i="67"/>
  <c r="AI17" i="67" l="1"/>
  <c r="B5" i="67"/>
  <c r="B77" i="67" s="1"/>
  <c r="D95" i="65" l="1"/>
  <c r="D102" i="65" s="1"/>
  <c r="D97" i="65" l="1"/>
  <c r="D100" i="65"/>
  <c r="D98" i="65"/>
  <c r="D99" i="65"/>
  <c r="D101" i="65"/>
  <c r="O120" i="55" l="1"/>
  <c r="O116" i="55"/>
  <c r="O112" i="55"/>
  <c r="O108" i="55"/>
  <c r="O105" i="55"/>
  <c r="O101" i="55"/>
  <c r="O97" i="55"/>
  <c r="O93" i="55"/>
  <c r="E68" i="65" l="1" a="1"/>
  <c r="E68" i="65" s="1"/>
  <c r="J80" i="65" a="1"/>
  <c r="J80" i="65" s="1"/>
  <c r="J102" i="65" s="1" a="1"/>
  <c r="J102" i="65" s="1"/>
  <c r="L80" i="65" a="1"/>
  <c r="L80" i="65" s="1"/>
  <c r="L102" i="65" s="1" a="1"/>
  <c r="L102" i="65" s="1"/>
  <c r="I80" i="65" a="1"/>
  <c r="I80" i="65" s="1"/>
  <c r="I102" i="65" s="1" a="1"/>
  <c r="I102" i="65" s="1"/>
  <c r="G80" i="65" a="1"/>
  <c r="G80" i="65" s="1"/>
  <c r="G102" i="65" s="1" a="1"/>
  <c r="G102" i="65" s="1"/>
  <c r="F80" i="65" a="1"/>
  <c r="F80" i="65" s="1"/>
  <c r="F102" i="65" s="1" a="1"/>
  <c r="F102" i="65" s="1"/>
  <c r="O80" i="65" a="1"/>
  <c r="O80" i="65" s="1"/>
  <c r="O102" i="65" s="1" a="1"/>
  <c r="O102" i="65" s="1"/>
  <c r="N80" i="65" a="1"/>
  <c r="N80" i="65" s="1"/>
  <c r="N102" i="65" s="1" a="1"/>
  <c r="N102" i="65" s="1"/>
  <c r="M80" i="65" a="1"/>
  <c r="M80" i="65" s="1"/>
  <c r="M102" i="65" s="1" a="1"/>
  <c r="M102" i="65" s="1"/>
  <c r="K80" i="65" a="1"/>
  <c r="K80" i="65" s="1"/>
  <c r="K102" i="65" s="1" a="1"/>
  <c r="K102" i="65" s="1"/>
  <c r="H80" i="65" a="1"/>
  <c r="H80" i="65" s="1"/>
  <c r="H102" i="65" s="1" a="1"/>
  <c r="H102" i="65" s="1"/>
  <c r="E80" i="65" a="1"/>
  <c r="E80" i="65" s="1"/>
  <c r="E102" i="65" s="1" a="1"/>
  <c r="E102" i="65" s="1"/>
  <c r="O79" i="65" a="1"/>
  <c r="O79" i="65" s="1"/>
  <c r="O101" i="65" s="1" a="1"/>
  <c r="O101" i="65" s="1"/>
  <c r="N79" i="65" a="1"/>
  <c r="N79" i="65" s="1"/>
  <c r="N101" i="65" s="1" a="1"/>
  <c r="N101" i="65" s="1"/>
  <c r="M79" i="65" a="1"/>
  <c r="M79" i="65" s="1"/>
  <c r="M101" i="65" s="1" a="1"/>
  <c r="M101" i="65" s="1"/>
  <c r="L79" i="65" a="1"/>
  <c r="L79" i="65" s="1"/>
  <c r="L101" i="65" s="1" a="1"/>
  <c r="L101" i="65" s="1"/>
  <c r="K79" i="65" a="1"/>
  <c r="K79" i="65" s="1"/>
  <c r="K101" i="65" s="1" a="1"/>
  <c r="K101" i="65" s="1"/>
  <c r="J79" i="65" a="1"/>
  <c r="J79" i="65" s="1"/>
  <c r="J101" i="65" s="1" a="1"/>
  <c r="J101" i="65" s="1"/>
  <c r="I79" i="65" a="1"/>
  <c r="I79" i="65" s="1"/>
  <c r="I101" i="65" s="1" a="1"/>
  <c r="I101" i="65" s="1"/>
  <c r="H79" i="65" a="1"/>
  <c r="H79" i="65" s="1"/>
  <c r="H101" i="65" s="1" a="1"/>
  <c r="H101" i="65" s="1"/>
  <c r="G79" i="65" a="1"/>
  <c r="G79" i="65" s="1"/>
  <c r="G101" i="65" s="1" a="1"/>
  <c r="G101" i="65" s="1"/>
  <c r="F79" i="65" a="1"/>
  <c r="F79" i="65" s="1"/>
  <c r="F101" i="65" s="1" a="1"/>
  <c r="F101" i="65" s="1"/>
  <c r="E79" i="65" a="1"/>
  <c r="E79" i="65" s="1"/>
  <c r="E101" i="65" s="1" a="1"/>
  <c r="E101" i="65" s="1"/>
  <c r="O78" i="65" a="1"/>
  <c r="O78" i="65" s="1"/>
  <c r="O100" i="65" s="1" a="1"/>
  <c r="O100" i="65" s="1"/>
  <c r="N78" i="65" a="1"/>
  <c r="N78" i="65" s="1"/>
  <c r="N100" i="65" s="1" a="1"/>
  <c r="N100" i="65" s="1"/>
  <c r="M78" i="65" a="1"/>
  <c r="M78" i="65" s="1"/>
  <c r="M100" i="65" s="1" a="1"/>
  <c r="M100" i="65" s="1"/>
  <c r="L78" i="65" a="1"/>
  <c r="L78" i="65" s="1"/>
  <c r="L100" i="65" s="1" a="1"/>
  <c r="L100" i="65" s="1"/>
  <c r="K78" i="65" a="1"/>
  <c r="K78" i="65" s="1"/>
  <c r="K100" i="65" s="1" a="1"/>
  <c r="K100" i="65" s="1"/>
  <c r="J78" i="65" a="1"/>
  <c r="J78" i="65" s="1"/>
  <c r="J100" i="65" s="1" a="1"/>
  <c r="J100" i="65" s="1"/>
  <c r="I78" i="65" a="1"/>
  <c r="I78" i="65" s="1"/>
  <c r="I100" i="65" s="1" a="1"/>
  <c r="I100" i="65" s="1"/>
  <c r="H78" i="65" a="1"/>
  <c r="H78" i="65" s="1"/>
  <c r="H100" i="65" s="1" a="1"/>
  <c r="H100" i="65" s="1"/>
  <c r="G78" i="65" a="1"/>
  <c r="G78" i="65" s="1"/>
  <c r="G100" i="65" s="1" a="1"/>
  <c r="G100" i="65" s="1"/>
  <c r="F78" i="65" a="1"/>
  <c r="F78" i="65" s="1"/>
  <c r="F100" i="65" s="1" a="1"/>
  <c r="F100" i="65" s="1"/>
  <c r="E78" i="65" a="1"/>
  <c r="E78" i="65" s="1"/>
  <c r="E100" i="65" s="1" a="1"/>
  <c r="E100" i="65" s="1"/>
  <c r="O77" i="65" a="1"/>
  <c r="O77" i="65" s="1"/>
  <c r="O99" i="65" s="1" a="1"/>
  <c r="O99" i="65" s="1"/>
  <c r="N77" i="65" a="1"/>
  <c r="N77" i="65" s="1"/>
  <c r="N99" i="65" s="1" a="1"/>
  <c r="N99" i="65" s="1"/>
  <c r="M77" i="65" a="1"/>
  <c r="M77" i="65" s="1"/>
  <c r="M99" i="65" s="1" a="1"/>
  <c r="M99" i="65" s="1"/>
  <c r="L77" i="65" a="1"/>
  <c r="L77" i="65" s="1"/>
  <c r="L99" i="65" s="1" a="1"/>
  <c r="L99" i="65" s="1"/>
  <c r="K77" i="65" a="1"/>
  <c r="K77" i="65" s="1"/>
  <c r="K99" i="65" s="1" a="1"/>
  <c r="K99" i="65" s="1"/>
  <c r="J77" i="65" a="1"/>
  <c r="J77" i="65" s="1"/>
  <c r="J99" i="65" s="1" a="1"/>
  <c r="J99" i="65" s="1"/>
  <c r="I77" i="65" a="1"/>
  <c r="I77" i="65" s="1"/>
  <c r="I99" i="65" s="1" a="1"/>
  <c r="I99" i="65" s="1"/>
  <c r="H77" i="65" a="1"/>
  <c r="H77" i="65" s="1"/>
  <c r="H99" i="65" s="1" a="1"/>
  <c r="H99" i="65" s="1"/>
  <c r="G77" i="65" a="1"/>
  <c r="G77" i="65" s="1"/>
  <c r="G99" i="65" s="1" a="1"/>
  <c r="G99" i="65" s="1"/>
  <c r="F77" i="65" a="1"/>
  <c r="F77" i="65" s="1"/>
  <c r="F99" i="65" s="1" a="1"/>
  <c r="F99" i="65" s="1"/>
  <c r="E77" i="65" a="1"/>
  <c r="E77" i="65" s="1"/>
  <c r="E99" i="65" s="1" a="1"/>
  <c r="E99" i="65" s="1"/>
  <c r="O76" i="65" a="1"/>
  <c r="O76" i="65" s="1"/>
  <c r="O98" i="65" s="1" a="1"/>
  <c r="O98" i="65" s="1"/>
  <c r="N76" i="65" a="1"/>
  <c r="N76" i="65" s="1"/>
  <c r="N98" i="65" s="1" a="1"/>
  <c r="N98" i="65" s="1"/>
  <c r="M76" i="65" a="1"/>
  <c r="M76" i="65" s="1"/>
  <c r="M98" i="65" s="1" a="1"/>
  <c r="M98" i="65" s="1"/>
  <c r="L76" i="65" a="1"/>
  <c r="L76" i="65" s="1"/>
  <c r="L98" i="65" s="1" a="1"/>
  <c r="L98" i="65" s="1"/>
  <c r="K76" i="65" a="1"/>
  <c r="K76" i="65" s="1"/>
  <c r="K98" i="65" s="1" a="1"/>
  <c r="K98" i="65" s="1"/>
  <c r="J76" i="65" a="1"/>
  <c r="J76" i="65" s="1"/>
  <c r="J98" i="65" s="1" a="1"/>
  <c r="J98" i="65" s="1"/>
  <c r="I76" i="65" a="1"/>
  <c r="I76" i="65" s="1"/>
  <c r="I98" i="65" s="1" a="1"/>
  <c r="I98" i="65" s="1"/>
  <c r="H76" i="65" a="1"/>
  <c r="H76" i="65" s="1"/>
  <c r="H98" i="65" s="1" a="1"/>
  <c r="H98" i="65" s="1"/>
  <c r="G76" i="65" a="1"/>
  <c r="G76" i="65" s="1"/>
  <c r="G98" i="65" s="1" a="1"/>
  <c r="G98" i="65" s="1"/>
  <c r="F76" i="65" a="1"/>
  <c r="F76" i="65" s="1"/>
  <c r="F98" i="65" s="1" a="1"/>
  <c r="F98" i="65" s="1"/>
  <c r="E76" i="65" a="1"/>
  <c r="E76" i="65" s="1"/>
  <c r="E98" i="65" s="1" a="1"/>
  <c r="E98" i="65" s="1"/>
  <c r="O75" i="65" a="1"/>
  <c r="O75" i="65" s="1"/>
  <c r="O97" i="65" s="1" a="1"/>
  <c r="O97" i="65" s="1"/>
  <c r="N75" i="65" a="1"/>
  <c r="N75" i="65" s="1"/>
  <c r="N97" i="65" s="1" a="1"/>
  <c r="N97" i="65" s="1"/>
  <c r="M75" i="65" a="1"/>
  <c r="M75" i="65" s="1"/>
  <c r="M97" i="65" s="1" a="1"/>
  <c r="M97" i="65" s="1"/>
  <c r="L75" i="65" a="1"/>
  <c r="L75" i="65" s="1"/>
  <c r="L97" i="65" s="1" a="1"/>
  <c r="L97" i="65" s="1"/>
  <c r="K75" i="65" a="1"/>
  <c r="K75" i="65" s="1"/>
  <c r="K97" i="65" s="1" a="1"/>
  <c r="K97" i="65" s="1"/>
  <c r="J75" i="65" a="1"/>
  <c r="J75" i="65" s="1"/>
  <c r="J97" i="65" s="1" a="1"/>
  <c r="J97" i="65" s="1"/>
  <c r="I75" i="65" a="1"/>
  <c r="I75" i="65" s="1"/>
  <c r="I97" i="65" s="1" a="1"/>
  <c r="I97" i="65" s="1"/>
  <c r="H75" i="65" a="1"/>
  <c r="H75" i="65" s="1"/>
  <c r="H97" i="65" s="1" a="1"/>
  <c r="H97" i="65" s="1"/>
  <c r="G75" i="65" a="1"/>
  <c r="G75" i="65" s="1"/>
  <c r="G97" i="65" s="1" a="1"/>
  <c r="G97" i="65" s="1"/>
  <c r="F75" i="65" a="1"/>
  <c r="F75" i="65" s="1"/>
  <c r="F97" i="65" s="1" a="1"/>
  <c r="F97" i="65" s="1"/>
  <c r="E75" i="65" a="1"/>
  <c r="E75" i="65" s="1"/>
  <c r="E97" i="65" s="1" a="1"/>
  <c r="E97" i="65" s="1"/>
  <c r="O73" i="65" a="1"/>
  <c r="O73" i="65" s="1"/>
  <c r="N73" i="65" a="1"/>
  <c r="N73" i="65" s="1"/>
  <c r="M73" i="65" a="1"/>
  <c r="M73" i="65" s="1"/>
  <c r="L73" i="65" a="1"/>
  <c r="L73" i="65" s="1"/>
  <c r="K73" i="65" a="1"/>
  <c r="K73" i="65" s="1"/>
  <c r="J73" i="65" a="1"/>
  <c r="J73" i="65" s="1"/>
  <c r="I73" i="65" a="1"/>
  <c r="I73" i="65" s="1"/>
  <c r="H73" i="65" a="1"/>
  <c r="H73" i="65" s="1"/>
  <c r="G73" i="65" a="1"/>
  <c r="G73" i="65" s="1"/>
  <c r="F73" i="65" a="1"/>
  <c r="F73" i="65" s="1"/>
  <c r="E73" i="65" a="1"/>
  <c r="E73" i="65" s="1"/>
  <c r="O72" i="65" a="1"/>
  <c r="O72" i="65" s="1"/>
  <c r="N72" i="65" a="1"/>
  <c r="N72" i="65" s="1"/>
  <c r="M72" i="65" a="1"/>
  <c r="M72" i="65" s="1"/>
  <c r="L72" i="65" a="1"/>
  <c r="L72" i="65" s="1"/>
  <c r="K72" i="65" a="1"/>
  <c r="K72" i="65" s="1"/>
  <c r="J72" i="65" a="1"/>
  <c r="J72" i="65" s="1"/>
  <c r="I72" i="65" a="1"/>
  <c r="I72" i="65" s="1"/>
  <c r="H72" i="65" a="1"/>
  <c r="H72" i="65" s="1"/>
  <c r="G72" i="65" a="1"/>
  <c r="G72" i="65" s="1"/>
  <c r="F72" i="65" a="1"/>
  <c r="F72" i="65" s="1"/>
  <c r="E72" i="65" a="1"/>
  <c r="E72" i="65" s="1"/>
  <c r="O71" i="65" a="1"/>
  <c r="O71" i="65" s="1"/>
  <c r="N71" i="65" a="1"/>
  <c r="N71" i="65" s="1"/>
  <c r="M71" i="65" a="1"/>
  <c r="M71" i="65" s="1"/>
  <c r="L71" i="65" a="1"/>
  <c r="L71" i="65" s="1"/>
  <c r="K71" i="65" a="1"/>
  <c r="K71" i="65" s="1"/>
  <c r="J71" i="65" a="1"/>
  <c r="J71" i="65" s="1"/>
  <c r="I71" i="65" a="1"/>
  <c r="I71" i="65" s="1"/>
  <c r="H71" i="65" a="1"/>
  <c r="H71" i="65" s="1"/>
  <c r="G71" i="65" a="1"/>
  <c r="G71" i="65" s="1"/>
  <c r="F71" i="65" a="1"/>
  <c r="F71" i="65" s="1"/>
  <c r="E71" i="65" a="1"/>
  <c r="E71" i="65" s="1"/>
  <c r="O70" i="65" a="1"/>
  <c r="O70" i="65" s="1"/>
  <c r="N70" i="65" a="1"/>
  <c r="N70" i="65" s="1"/>
  <c r="M70" i="65" a="1"/>
  <c r="M70" i="65" s="1"/>
  <c r="L70" i="65" a="1"/>
  <c r="L70" i="65" s="1"/>
  <c r="K70" i="65" a="1"/>
  <c r="K70" i="65" s="1"/>
  <c r="J70" i="65" a="1"/>
  <c r="J70" i="65" s="1"/>
  <c r="I70" i="65" a="1"/>
  <c r="I70" i="65" s="1"/>
  <c r="H70" i="65" a="1"/>
  <c r="H70" i="65" s="1"/>
  <c r="G70" i="65" a="1"/>
  <c r="G70" i="65" s="1"/>
  <c r="F70" i="65" a="1"/>
  <c r="F70" i="65" s="1"/>
  <c r="E70" i="65" a="1"/>
  <c r="E70" i="65" s="1"/>
  <c r="O69" i="65" a="1"/>
  <c r="O69" i="65" s="1"/>
  <c r="N69" i="65" a="1"/>
  <c r="N69" i="65" s="1"/>
  <c r="M69" i="65" a="1"/>
  <c r="M69" i="65" s="1"/>
  <c r="L69" i="65" a="1"/>
  <c r="L69" i="65" s="1"/>
  <c r="K69" i="65" a="1"/>
  <c r="K69" i="65" s="1"/>
  <c r="J69" i="65" a="1"/>
  <c r="J69" i="65" s="1"/>
  <c r="I69" i="65" a="1"/>
  <c r="I69" i="65" s="1"/>
  <c r="H69" i="65" a="1"/>
  <c r="H69" i="65" s="1"/>
  <c r="G69" i="65" a="1"/>
  <c r="G69" i="65" s="1"/>
  <c r="F69" i="65" a="1"/>
  <c r="F69" i="65" s="1"/>
  <c r="E69" i="65" a="1"/>
  <c r="E69" i="65" s="1"/>
  <c r="O68" i="65" a="1"/>
  <c r="O68" i="65" s="1"/>
  <c r="N68" i="65" a="1"/>
  <c r="N68" i="65" s="1"/>
  <c r="M68" i="65" a="1"/>
  <c r="M68" i="65" s="1"/>
  <c r="L68" i="65" a="1"/>
  <c r="L68" i="65" s="1"/>
  <c r="K68" i="65" a="1"/>
  <c r="K68" i="65" s="1"/>
  <c r="J68" i="65" a="1"/>
  <c r="J68" i="65" s="1"/>
  <c r="I68" i="65" a="1"/>
  <c r="I68" i="65" s="1"/>
  <c r="H68" i="65" a="1"/>
  <c r="H68" i="65" s="1"/>
  <c r="G68" i="65" a="1"/>
  <c r="G68" i="65" s="1"/>
  <c r="F68" i="65" a="1"/>
  <c r="F68" i="65" s="1"/>
  <c r="D110" i="65"/>
  <c r="D109" i="65"/>
  <c r="D108" i="65"/>
  <c r="D107" i="65"/>
  <c r="D106" i="65"/>
  <c r="D105" i="65"/>
  <c r="B3" i="65"/>
  <c r="B5" i="65" s="1"/>
  <c r="C2" i="65"/>
  <c r="M86" i="65" l="1"/>
  <c r="J87" i="65"/>
  <c r="G88" i="65"/>
  <c r="O88" i="65"/>
  <c r="L89" i="65"/>
  <c r="I90" i="65"/>
  <c r="H91" i="65"/>
  <c r="N87" i="65"/>
  <c r="I86" i="65"/>
  <c r="F87" i="65"/>
  <c r="B48" i="65"/>
  <c r="M91" i="65"/>
  <c r="F86" i="65"/>
  <c r="E86" i="65"/>
  <c r="J86" i="65"/>
  <c r="G87" i="65"/>
  <c r="O87" i="65"/>
  <c r="L88" i="65"/>
  <c r="I89" i="65"/>
  <c r="F90" i="65"/>
  <c r="N90" i="65"/>
  <c r="L86" i="65"/>
  <c r="I87" i="65"/>
  <c r="F88" i="65"/>
  <c r="N88" i="65"/>
  <c r="K89" i="65"/>
  <c r="E91" i="65"/>
  <c r="H90" i="65"/>
  <c r="Q77" i="65"/>
  <c r="Q71" i="65"/>
  <c r="Q75" i="65"/>
  <c r="Q72" i="65"/>
  <c r="Q76" i="65"/>
  <c r="Q78" i="65"/>
  <c r="H87" i="65"/>
  <c r="E88" i="65"/>
  <c r="M88" i="65"/>
  <c r="J89" i="65"/>
  <c r="G90" i="65"/>
  <c r="O90" i="65"/>
  <c r="Q79" i="65"/>
  <c r="K86" i="65"/>
  <c r="Q69" i="65"/>
  <c r="Q70" i="65"/>
  <c r="N91" i="65"/>
  <c r="Q73" i="65"/>
  <c r="I91" i="65"/>
  <c r="H86" i="65"/>
  <c r="E87" i="65"/>
  <c r="M87" i="65"/>
  <c r="J88" i="65"/>
  <c r="G89" i="65"/>
  <c r="O89" i="65"/>
  <c r="L90" i="65"/>
  <c r="Q68" i="65"/>
  <c r="L91" i="65"/>
  <c r="F91" i="65"/>
  <c r="Q80" i="65"/>
  <c r="N86" i="65"/>
  <c r="K87" i="65"/>
  <c r="H88" i="65"/>
  <c r="E89" i="65"/>
  <c r="M89" i="65"/>
  <c r="J90" i="65"/>
  <c r="G91" i="65"/>
  <c r="O91" i="65"/>
  <c r="G86" i="65"/>
  <c r="O86" i="65"/>
  <c r="L87" i="65"/>
  <c r="I88" i="65"/>
  <c r="F89" i="65"/>
  <c r="N89" i="65"/>
  <c r="K90" i="65"/>
  <c r="K88" i="65"/>
  <c r="H89" i="65"/>
  <c r="E90" i="65"/>
  <c r="M90" i="65"/>
  <c r="J91" i="65"/>
  <c r="K91" i="65"/>
  <c r="Q89" i="65" l="1"/>
  <c r="Q90" i="65"/>
  <c r="Q86" i="65"/>
  <c r="Q88" i="65"/>
  <c r="Q87" i="65"/>
  <c r="Q91" i="65"/>
  <c r="C115" i="51" l="1"/>
  <c r="C126" i="51"/>
  <c r="C137" i="51"/>
  <c r="M137" i="51"/>
  <c r="M126" i="51"/>
  <c r="M115" i="51"/>
  <c r="M64" i="51"/>
  <c r="M53" i="51"/>
  <c r="M42" i="51"/>
  <c r="R33" i="51" a="1"/>
  <c r="R33" i="51" s="1"/>
  <c r="R68" i="51" s="1" a="1"/>
  <c r="R68" i="51" s="1"/>
  <c r="S33" i="51" a="1"/>
  <c r="S33" i="51" s="1"/>
  <c r="S68" i="51" s="1" a="1"/>
  <c r="S68" i="51" s="1"/>
  <c r="T33" i="51" a="1"/>
  <c r="T33" i="51" s="1"/>
  <c r="T68" i="51" s="1" a="1"/>
  <c r="T68" i="51" s="1"/>
  <c r="U33" i="51" a="1"/>
  <c r="U33" i="51" s="1"/>
  <c r="U68" i="51" s="1" a="1"/>
  <c r="U68" i="51" s="1"/>
  <c r="R39" i="51" a="1"/>
  <c r="R39" i="51" s="1"/>
  <c r="S39" i="51" a="1"/>
  <c r="S39" i="51" s="1"/>
  <c r="T39" i="51" a="1"/>
  <c r="T39" i="51" s="1"/>
  <c r="U39" i="51" a="1"/>
  <c r="U39" i="51" s="1"/>
  <c r="Q39" i="51" a="1"/>
  <c r="Q39" i="51" s="1"/>
  <c r="Q33" i="51" a="1"/>
  <c r="Q33" i="51" s="1"/>
  <c r="Q68" i="51" s="1" a="1"/>
  <c r="Q68" i="51" s="1"/>
  <c r="D235" i="49" l="1"/>
  <c r="K54" i="49"/>
  <c r="O54" i="49"/>
  <c r="N54" i="49"/>
  <c r="M54" i="49"/>
  <c r="L54" i="49"/>
  <c r="O40" i="49"/>
  <c r="N40" i="49"/>
  <c r="M40" i="49"/>
  <c r="L40" i="49"/>
  <c r="K40" i="49"/>
  <c r="L26" i="49"/>
  <c r="M26" i="49"/>
  <c r="N26" i="49"/>
  <c r="O26" i="49"/>
  <c r="O284" i="49"/>
  <c r="N284" i="49"/>
  <c r="M284" i="49"/>
  <c r="L284" i="49"/>
  <c r="K284" i="49"/>
  <c r="K270" i="49"/>
  <c r="O270" i="49"/>
  <c r="N270" i="49"/>
  <c r="M270" i="49"/>
  <c r="L270" i="49"/>
  <c r="L256" i="49"/>
  <c r="M256" i="49"/>
  <c r="N256" i="49"/>
  <c r="O256" i="49"/>
  <c r="J227" i="42"/>
  <c r="I227" i="42"/>
  <c r="H227" i="42"/>
  <c r="G227" i="42"/>
  <c r="F227" i="42"/>
  <c r="C15" i="63"/>
  <c r="C19" i="63"/>
  <c r="C18" i="63"/>
  <c r="C17" i="63"/>
  <c r="C16" i="63"/>
  <c r="C14" i="63"/>
  <c r="C13" i="63"/>
  <c r="C12" i="63"/>
  <c r="D280" i="49" l="1"/>
  <c r="F211" i="42" l="1" a="1"/>
  <c r="F211" i="42" s="1"/>
  <c r="G211" i="42" a="1"/>
  <c r="G211" i="42" s="1"/>
  <c r="I211" i="42" a="1"/>
  <c r="I211" i="42" s="1"/>
  <c r="J211" i="42" a="1"/>
  <c r="J211" i="42" s="1"/>
  <c r="F212" i="42" a="1"/>
  <c r="F212" i="42" s="1"/>
  <c r="G212" i="42" a="1"/>
  <c r="G212" i="42" s="1"/>
  <c r="H212" i="42" a="1"/>
  <c r="H212" i="42" s="1"/>
  <c r="I212" i="42" a="1"/>
  <c r="I212" i="42" s="1"/>
  <c r="J212" i="42" a="1"/>
  <c r="J212" i="42" s="1"/>
  <c r="F213" i="42" a="1"/>
  <c r="F213" i="42" s="1"/>
  <c r="G213" i="42" a="1"/>
  <c r="G213" i="42" s="1"/>
  <c r="H213" i="42" a="1"/>
  <c r="H213" i="42" s="1"/>
  <c r="I213" i="42" a="1"/>
  <c r="I213" i="42" s="1"/>
  <c r="J213" i="42" a="1"/>
  <c r="J213" i="42" s="1"/>
  <c r="F214" i="42" a="1"/>
  <c r="F214" i="42" s="1"/>
  <c r="G214" i="42" a="1"/>
  <c r="G214" i="42" s="1"/>
  <c r="H214" i="42" a="1"/>
  <c r="H214" i="42" s="1"/>
  <c r="I214" i="42" a="1"/>
  <c r="I214" i="42" s="1"/>
  <c r="J214" i="42" a="1"/>
  <c r="J214" i="42" s="1"/>
  <c r="F215" i="42" a="1"/>
  <c r="F215" i="42" s="1"/>
  <c r="G215" i="42" a="1"/>
  <c r="G215" i="42" s="1"/>
  <c r="H215" i="42" a="1"/>
  <c r="H215" i="42" s="1"/>
  <c r="I215" i="42" a="1"/>
  <c r="I215" i="42" s="1"/>
  <c r="J215" i="42" a="1"/>
  <c r="J215" i="42" s="1"/>
  <c r="F216" i="42" a="1"/>
  <c r="F216" i="42" s="1"/>
  <c r="G216" i="42" a="1"/>
  <c r="G216" i="42" s="1"/>
  <c r="H216" i="42" a="1"/>
  <c r="H216" i="42" s="1"/>
  <c r="I216" i="42" a="1"/>
  <c r="I216" i="42" s="1"/>
  <c r="J216" i="42" a="1"/>
  <c r="J216" i="42" s="1"/>
  <c r="F217" i="42" a="1"/>
  <c r="F217" i="42" s="1"/>
  <c r="G217" i="42" a="1"/>
  <c r="G217" i="42" s="1"/>
  <c r="H217" i="42" a="1"/>
  <c r="H217" i="42" s="1"/>
  <c r="I217" i="42" a="1"/>
  <c r="I217" i="42" s="1"/>
  <c r="J217" i="42" a="1"/>
  <c r="J217" i="42" s="1"/>
  <c r="F218" i="42" a="1"/>
  <c r="F218" i="42" s="1"/>
  <c r="G218" i="42" a="1"/>
  <c r="G218" i="42" s="1"/>
  <c r="H218" i="42" a="1"/>
  <c r="H218" i="42" s="1"/>
  <c r="I218" i="42" a="1"/>
  <c r="I218" i="42" s="1"/>
  <c r="J218" i="42" a="1"/>
  <c r="J218" i="42" s="1"/>
  <c r="F219" i="42" a="1"/>
  <c r="F219" i="42" s="1"/>
  <c r="G219" i="42" a="1"/>
  <c r="G219" i="42" s="1"/>
  <c r="H219" i="42" a="1"/>
  <c r="H219" i="42" s="1"/>
  <c r="I219" i="42" a="1"/>
  <c r="I219" i="42" s="1"/>
  <c r="J219" i="42" a="1"/>
  <c r="J219" i="42" s="1"/>
  <c r="G210" i="42" a="1"/>
  <c r="G210" i="42" s="1"/>
  <c r="H210" i="42" a="1"/>
  <c r="H210" i="42" s="1"/>
  <c r="I210" i="42" a="1"/>
  <c r="I210" i="42" s="1"/>
  <c r="F210" i="42" a="1"/>
  <c r="F210" i="42" s="1"/>
  <c r="F221" i="42" s="1"/>
  <c r="J207" i="42"/>
  <c r="I207" i="42"/>
  <c r="H207" i="42"/>
  <c r="G207" i="42"/>
  <c r="F207" i="42"/>
  <c r="K221" i="42" l="1"/>
  <c r="K222" i="42"/>
  <c r="K223" i="42"/>
  <c r="L221" i="42"/>
  <c r="L223" i="42"/>
  <c r="L222" i="42"/>
  <c r="I221" i="42"/>
  <c r="G221" i="42"/>
  <c r="H221" i="42"/>
  <c r="J222" i="42"/>
  <c r="H222" i="42"/>
  <c r="G222" i="42"/>
  <c r="F223" i="42"/>
  <c r="J221" i="42"/>
  <c r="I222" i="42"/>
  <c r="J223" i="42"/>
  <c r="I223" i="42"/>
  <c r="F222" i="42"/>
  <c r="H223" i="42"/>
  <c r="G223" i="42"/>
  <c r="H190" i="42"/>
  <c r="L190" i="42"/>
  <c r="K190" i="42"/>
  <c r="J190" i="42"/>
  <c r="I190" i="42"/>
  <c r="C42" i="51" l="1"/>
  <c r="K70" i="51" a="1"/>
  <c r="K70" i="51" s="1"/>
  <c r="J70" i="51" a="1"/>
  <c r="J70" i="51" s="1"/>
  <c r="I70" i="51" a="1"/>
  <c r="I70" i="51" s="1"/>
  <c r="H70" i="51" a="1"/>
  <c r="H70" i="51" s="1"/>
  <c r="K69" i="51" a="1"/>
  <c r="K69" i="51" s="1"/>
  <c r="J69" i="51" a="1"/>
  <c r="J69" i="51" s="1"/>
  <c r="I69" i="51" a="1"/>
  <c r="I69" i="51" s="1"/>
  <c r="G71" i="51" a="1"/>
  <c r="G71" i="51" s="1"/>
  <c r="H69" i="51" l="1" a="1"/>
  <c r="H69" i="51" s="1"/>
  <c r="R34" i="51" a="1"/>
  <c r="R34" i="51" s="1"/>
  <c r="I102" i="67" s="1" a="1"/>
  <c r="I102" i="67" s="1"/>
  <c r="R35" i="51" a="1"/>
  <c r="R35" i="51" s="1"/>
  <c r="I103" i="67" s="1" a="1"/>
  <c r="I103" i="67" s="1"/>
  <c r="S34" i="51" a="1"/>
  <c r="S34" i="51" s="1"/>
  <c r="J102" i="67" s="1" a="1"/>
  <c r="J102" i="67" s="1"/>
  <c r="S35" i="51" a="1"/>
  <c r="S35" i="51" s="1"/>
  <c r="J103" i="67" s="1" a="1"/>
  <c r="J103" i="67" s="1"/>
  <c r="Q36" i="51" a="1"/>
  <c r="Q36" i="51" s="1"/>
  <c r="H104" i="67" s="1" a="1"/>
  <c r="H104" i="67" s="1"/>
  <c r="T34" i="51" a="1"/>
  <c r="T34" i="51" s="1"/>
  <c r="K102" i="67" s="1" a="1"/>
  <c r="K102" i="67" s="1"/>
  <c r="U34" i="51" a="1"/>
  <c r="U34" i="51" s="1"/>
  <c r="L102" i="67" s="1" a="1"/>
  <c r="L102" i="67" s="1"/>
  <c r="U35" i="51" a="1"/>
  <c r="U35" i="51" s="1"/>
  <c r="L103" i="67" s="1" a="1"/>
  <c r="L103" i="67" s="1"/>
  <c r="T35" i="51" a="1"/>
  <c r="T35" i="51" s="1"/>
  <c r="K103" i="67" s="1" a="1"/>
  <c r="K103" i="67" s="1"/>
  <c r="E161" i="42"/>
  <c r="C64" i="51"/>
  <c r="C65" i="44"/>
  <c r="U70" i="51" l="1" a="1"/>
  <c r="U70" i="51" s="1"/>
  <c r="H101" i="53" a="1"/>
  <c r="H101" i="53" s="1"/>
  <c r="R69" i="51" a="1"/>
  <c r="R69" i="51" s="1"/>
  <c r="E100" i="53" a="1"/>
  <c r="E100" i="53" s="1"/>
  <c r="U69" i="51" a="1"/>
  <c r="U69" i="51" s="1"/>
  <c r="H100" i="53" a="1"/>
  <c r="H100" i="53" s="1"/>
  <c r="R70" i="51" a="1"/>
  <c r="R70" i="51" s="1"/>
  <c r="E101" i="53" a="1"/>
  <c r="E101" i="53" s="1"/>
  <c r="T69" i="51" a="1"/>
  <c r="T69" i="51" s="1"/>
  <c r="G100" i="53" a="1"/>
  <c r="G100" i="53" s="1"/>
  <c r="Q71" i="51" a="1"/>
  <c r="Q71" i="51" s="1"/>
  <c r="D102" i="53" a="1"/>
  <c r="D102" i="53" s="1"/>
  <c r="S70" i="51" a="1"/>
  <c r="S70" i="51" s="1"/>
  <c r="F101" i="53" a="1"/>
  <c r="F101" i="53" s="1"/>
  <c r="T70" i="51" a="1"/>
  <c r="T70" i="51" s="1"/>
  <c r="G101" i="53" a="1"/>
  <c r="G101" i="53" s="1"/>
  <c r="S69" i="51" a="1"/>
  <c r="S69" i="51" s="1"/>
  <c r="F100" i="53" a="1"/>
  <c r="F100" i="53" s="1"/>
  <c r="C56" i="63"/>
  <c r="C55" i="63"/>
  <c r="C54" i="63"/>
  <c r="L56" i="63" l="1" a="1"/>
  <c r="L56" i="63" s="1"/>
  <c r="C53" i="51"/>
  <c r="D135" i="63"/>
  <c r="D5" i="63"/>
  <c r="B3" i="63"/>
  <c r="C2" i="63"/>
  <c r="E59" i="63" l="1"/>
  <c r="E58" i="63" s="1"/>
  <c r="E189" i="63"/>
  <c r="E188" i="63" s="1"/>
  <c r="F188" i="63" s="1"/>
  <c r="D2" i="63"/>
  <c r="I56" i="63" a="1"/>
  <c r="I56" i="63" s="1"/>
  <c r="K56" i="63" a="1"/>
  <c r="K56" i="63" s="1"/>
  <c r="H56" i="63" a="1"/>
  <c r="H56" i="63" s="1"/>
  <c r="J56" i="63" a="1"/>
  <c r="J56" i="63" s="1"/>
  <c r="B7" i="63"/>
  <c r="B50" i="63" s="1"/>
  <c r="E2" i="63"/>
  <c r="F189" i="63" l="1"/>
  <c r="F190" i="63" s="1"/>
  <c r="H220" i="63" a="1"/>
  <c r="H220" i="63" s="1"/>
  <c r="H256" i="63" s="1"/>
  <c r="J226" i="63" a="1"/>
  <c r="J226" i="63" s="1"/>
  <c r="J262" i="63" s="1"/>
  <c r="H219" i="63" a="1"/>
  <c r="H219" i="63" s="1"/>
  <c r="H255" i="63" s="1"/>
  <c r="J220" i="63" a="1"/>
  <c r="J220" i="63" s="1"/>
  <c r="J256" i="63" s="1"/>
  <c r="I226" i="63" a="1"/>
  <c r="I226" i="63" s="1"/>
  <c r="I262" i="63" s="1"/>
  <c r="H224" i="63" a="1"/>
  <c r="H224" i="63" s="1"/>
  <c r="H260" i="63" s="1"/>
  <c r="H218" i="63" a="1"/>
  <c r="H218" i="63" s="1"/>
  <c r="H254" i="63" s="1"/>
  <c r="F100" i="52" a="1"/>
  <c r="F100" i="52" s="1"/>
  <c r="H100" i="52" a="1"/>
  <c r="H100" i="52" s="1"/>
  <c r="G100" i="52" a="1"/>
  <c r="G100" i="52" s="1"/>
  <c r="E100" i="52" a="1"/>
  <c r="E100" i="52" s="1"/>
  <c r="D102" i="52" a="1"/>
  <c r="D102" i="52" s="1"/>
  <c r="H101" i="52" a="1"/>
  <c r="H101" i="52" s="1"/>
  <c r="F101" i="52" a="1"/>
  <c r="F101" i="52" s="1"/>
  <c r="G101" i="52" a="1"/>
  <c r="G101" i="52" s="1"/>
  <c r="E101" i="52" a="1"/>
  <c r="E101" i="52" s="1"/>
  <c r="O23" i="62"/>
  <c r="O22" i="62"/>
  <c r="J217" i="63" l="1" a="1"/>
  <c r="J217" i="63" s="1"/>
  <c r="J253" i="63" s="1"/>
  <c r="K225" i="63" a="1"/>
  <c r="K225" i="63" s="1"/>
  <c r="K261" i="63" s="1"/>
  <c r="H225" i="63" a="1"/>
  <c r="H225" i="63" s="1"/>
  <c r="H261" i="63" s="1"/>
  <c r="L224" i="63" a="1"/>
  <c r="L224" i="63" s="1"/>
  <c r="L260" i="63" s="1"/>
  <c r="H226" i="63" a="1"/>
  <c r="H226" i="63" s="1"/>
  <c r="H262" i="63" s="1"/>
  <c r="L217" i="63" a="1"/>
  <c r="L217" i="63" s="1"/>
  <c r="L253" i="63" s="1"/>
  <c r="J225" i="63" a="1"/>
  <c r="J225" i="63" s="1"/>
  <c r="J261" i="63" s="1"/>
  <c r="H223" i="63" a="1"/>
  <c r="H223" i="63" s="1"/>
  <c r="H259" i="63" s="1"/>
  <c r="L226" i="63" a="1"/>
  <c r="L226" i="63" s="1"/>
  <c r="L262" i="63" s="1"/>
  <c r="I217" i="63" a="1"/>
  <c r="I217" i="63" s="1"/>
  <c r="I253" i="63" s="1"/>
  <c r="K216" i="63" a="1"/>
  <c r="K216" i="63" s="1"/>
  <c r="K252" i="63" s="1"/>
  <c r="L225" i="63" a="1"/>
  <c r="L225" i="63" s="1"/>
  <c r="L261" i="63" s="1"/>
  <c r="K217" i="63" a="1"/>
  <c r="K217" i="63" s="1"/>
  <c r="K253" i="63" s="1"/>
  <c r="J223" i="63" a="1"/>
  <c r="J223" i="63" s="1"/>
  <c r="J259" i="63" s="1"/>
  <c r="L216" i="63" a="1"/>
  <c r="L216" i="63" s="1"/>
  <c r="L252" i="63" s="1"/>
  <c r="H221" i="63" a="1"/>
  <c r="H221" i="63" s="1"/>
  <c r="H257" i="63" s="1"/>
  <c r="K223" i="63" a="1"/>
  <c r="K223" i="63" s="1"/>
  <c r="K259" i="63" s="1"/>
  <c r="I225" i="63" a="1"/>
  <c r="I225" i="63" s="1"/>
  <c r="I261" i="63" s="1"/>
  <c r="I220" i="63" a="1"/>
  <c r="I220" i="63" s="1"/>
  <c r="I256" i="63" s="1"/>
  <c r="K226" i="63" a="1"/>
  <c r="K226" i="63" s="1"/>
  <c r="K262" i="63" s="1"/>
  <c r="I223" i="63" a="1"/>
  <c r="I223" i="63" s="1"/>
  <c r="I259" i="63" s="1"/>
  <c r="K224" i="63" a="1"/>
  <c r="K224" i="63" s="1"/>
  <c r="K260" i="63" s="1"/>
  <c r="J216" i="63" a="1"/>
  <c r="J216" i="63" s="1"/>
  <c r="J252" i="63" s="1"/>
  <c r="I216" i="63" a="1"/>
  <c r="I216" i="63" s="1"/>
  <c r="I252" i="63" s="1"/>
  <c r="J224" i="63" a="1"/>
  <c r="J224" i="63" s="1"/>
  <c r="J260" i="63" s="1"/>
  <c r="I224" i="63" a="1"/>
  <c r="I224" i="63" s="1"/>
  <c r="I260" i="63" s="1"/>
  <c r="L220" i="63" a="1"/>
  <c r="L220" i="63" s="1"/>
  <c r="L256" i="63" s="1"/>
  <c r="L223" i="63" a="1"/>
  <c r="L223" i="63" s="1"/>
  <c r="L259" i="63" s="1"/>
  <c r="K220" i="63" a="1"/>
  <c r="K220" i="63" s="1"/>
  <c r="K256" i="63" s="1"/>
  <c r="H222" i="63" a="1"/>
  <c r="H222" i="63" s="1"/>
  <c r="H258" i="63" s="1"/>
  <c r="I178" i="42"/>
  <c r="Y165" i="58"/>
  <c r="U165" i="58"/>
  <c r="Q165" i="58"/>
  <c r="M165" i="58"/>
  <c r="I165" i="58"/>
  <c r="H55" i="58"/>
  <c r="H78" i="58" s="1"/>
  <c r="G55" i="58"/>
  <c r="G78" i="58" s="1"/>
  <c r="F55" i="58"/>
  <c r="F78" i="58" s="1"/>
  <c r="E55" i="58"/>
  <c r="E78" i="58" s="1"/>
  <c r="D55" i="58"/>
  <c r="D78" i="58" s="1"/>
  <c r="D111" i="58"/>
  <c r="H9" i="58"/>
  <c r="U156" i="58" s="1"/>
  <c r="U160" i="58" s="1"/>
  <c r="G9" i="58"/>
  <c r="G32" i="58" s="1"/>
  <c r="F9" i="58"/>
  <c r="F32" i="58" s="1"/>
  <c r="E9" i="58"/>
  <c r="E32" i="58" s="1"/>
  <c r="D9" i="58"/>
  <c r="D32" i="58" s="1"/>
  <c r="J8" i="42"/>
  <c r="K8" i="42"/>
  <c r="E108" i="58"/>
  <c r="D108" i="58"/>
  <c r="E106" i="58"/>
  <c r="E107" i="58" s="1"/>
  <c r="D106" i="58"/>
  <c r="D107" i="58" s="1"/>
  <c r="E103" i="58"/>
  <c r="D103" i="58"/>
  <c r="H8" i="42"/>
  <c r="D5" i="49"/>
  <c r="D312" i="49"/>
  <c r="E155" i="42"/>
  <c r="E156" i="42"/>
  <c r="E157" i="42"/>
  <c r="E158" i="42"/>
  <c r="E159" i="42"/>
  <c r="E160" i="42"/>
  <c r="E162" i="42"/>
  <c r="E163" i="42"/>
  <c r="E164" i="42"/>
  <c r="E165" i="42"/>
  <c r="E166" i="42"/>
  <c r="E167" i="42"/>
  <c r="E168" i="42"/>
  <c r="E169" i="42"/>
  <c r="E170" i="42"/>
  <c r="E171" i="42"/>
  <c r="E172" i="42"/>
  <c r="E173" i="42"/>
  <c r="M178" i="42"/>
  <c r="L178" i="42"/>
  <c r="K178" i="42"/>
  <c r="J178" i="42"/>
  <c r="D47" i="49" l="1"/>
  <c r="D49" i="49"/>
  <c r="E156" i="58"/>
  <c r="E160" i="58" s="1"/>
  <c r="I156" i="58"/>
  <c r="I160" i="58" s="1"/>
  <c r="H32" i="58"/>
  <c r="I32" i="58" s="1"/>
  <c r="M156" i="58"/>
  <c r="M160" i="58" s="1"/>
  <c r="Q156" i="58"/>
  <c r="Q160" i="58" s="1"/>
  <c r="E161" i="58"/>
  <c r="E165" i="58" s="1"/>
  <c r="I55" i="58"/>
  <c r="D41" i="49"/>
  <c r="D22" i="49"/>
  <c r="D213" i="49"/>
  <c r="D193" i="49"/>
  <c r="D165" i="49"/>
  <c r="D137" i="49"/>
  <c r="D111" i="49"/>
  <c r="D32" i="49"/>
  <c r="D205" i="49"/>
  <c r="D162" i="49"/>
  <c r="D123" i="49"/>
  <c r="D39" i="49"/>
  <c r="D21" i="49"/>
  <c r="D210" i="49"/>
  <c r="D185" i="49"/>
  <c r="D164" i="49"/>
  <c r="D130" i="49"/>
  <c r="D107" i="49"/>
  <c r="D20" i="49"/>
  <c r="D192" i="49"/>
  <c r="D161" i="49"/>
  <c r="D122" i="49"/>
  <c r="D35" i="49"/>
  <c r="D179" i="49"/>
  <c r="D194" i="49"/>
  <c r="D112" i="49"/>
  <c r="D135" i="49"/>
  <c r="D37" i="49"/>
  <c r="D110" i="49"/>
  <c r="D209" i="49"/>
  <c r="D182" i="49"/>
  <c r="D155" i="49"/>
  <c r="D127" i="49"/>
  <c r="D18" i="49"/>
  <c r="D19" i="49"/>
  <c r="D191" i="49"/>
  <c r="D160" i="49"/>
  <c r="D121" i="49"/>
  <c r="D224" i="49"/>
  <c r="D125" i="49"/>
  <c r="D148" i="49"/>
  <c r="D221" i="49"/>
  <c r="D33" i="49"/>
  <c r="D55" i="49"/>
  <c r="D36" i="49"/>
  <c r="D227" i="49"/>
  <c r="D208" i="49"/>
  <c r="D181" i="49"/>
  <c r="D152" i="49"/>
  <c r="D126" i="49"/>
  <c r="D48" i="49"/>
  <c r="D220" i="49"/>
  <c r="D190" i="49"/>
  <c r="D149" i="49"/>
  <c r="D120" i="49"/>
  <c r="D53" i="49"/>
  <c r="D180" i="49"/>
  <c r="D151" i="49"/>
  <c r="D219" i="49"/>
  <c r="D23" i="49"/>
  <c r="D138" i="49"/>
  <c r="D199" i="49"/>
  <c r="D109" i="49"/>
  <c r="D166" i="49"/>
  <c r="D206" i="49"/>
  <c r="D51" i="49"/>
  <c r="D27" i="49"/>
  <c r="D223" i="49"/>
  <c r="D196" i="49"/>
  <c r="D170" i="49"/>
  <c r="D150" i="49"/>
  <c r="D124" i="49"/>
  <c r="D46" i="49"/>
  <c r="D218" i="49"/>
  <c r="D178" i="49"/>
  <c r="D147" i="49"/>
  <c r="D108" i="49"/>
  <c r="D163" i="49"/>
  <c r="D50" i="49"/>
  <c r="D25" i="49"/>
  <c r="D222" i="49"/>
  <c r="D195" i="49"/>
  <c r="D167" i="49"/>
  <c r="D141" i="49"/>
  <c r="D115" i="49"/>
  <c r="D34" i="49"/>
  <c r="D207" i="49"/>
  <c r="D177" i="49"/>
  <c r="D136" i="49"/>
  <c r="D339" i="49"/>
  <c r="D449" i="49"/>
  <c r="D408" i="49"/>
  <c r="D367" i="49"/>
  <c r="D338" i="49"/>
  <c r="D249" i="49"/>
  <c r="D392" i="49"/>
  <c r="D276" i="49"/>
  <c r="D340" i="49"/>
  <c r="D409" i="49"/>
  <c r="D438" i="49"/>
  <c r="D394" i="49"/>
  <c r="D366" i="49"/>
  <c r="D278" i="49"/>
  <c r="D248" i="49"/>
  <c r="D353" i="49"/>
  <c r="D379" i="49"/>
  <c r="D450" i="49"/>
  <c r="D250" i="49"/>
  <c r="D437" i="49"/>
  <c r="D393" i="49"/>
  <c r="D354" i="49"/>
  <c r="D277" i="49"/>
  <c r="D436" i="49"/>
  <c r="D451" i="49"/>
  <c r="D410" i="49"/>
  <c r="D262" i="49"/>
  <c r="D378" i="49"/>
  <c r="D423" i="49"/>
  <c r="D391" i="49"/>
  <c r="D352" i="49"/>
  <c r="D264" i="49"/>
  <c r="D422" i="49"/>
  <c r="D421" i="49"/>
  <c r="D380" i="49"/>
  <c r="D351" i="49"/>
  <c r="D263" i="49"/>
  <c r="D271" i="49"/>
  <c r="D252" i="49"/>
  <c r="D458" i="49"/>
  <c r="D439" i="49"/>
  <c r="D412" i="49"/>
  <c r="D383" i="49"/>
  <c r="D357" i="49"/>
  <c r="D269" i="49"/>
  <c r="D251" i="49"/>
  <c r="D455" i="49"/>
  <c r="D430" i="49"/>
  <c r="D411" i="49"/>
  <c r="D382" i="49"/>
  <c r="D356" i="49"/>
  <c r="D267" i="49"/>
  <c r="D454" i="49"/>
  <c r="D427" i="49"/>
  <c r="D401" i="49"/>
  <c r="D381" i="49"/>
  <c r="D355" i="49"/>
  <c r="D285" i="49"/>
  <c r="D266" i="49"/>
  <c r="D453" i="49"/>
  <c r="D426" i="49"/>
  <c r="D398" i="49"/>
  <c r="D372" i="49"/>
  <c r="D346" i="49"/>
  <c r="D283" i="49"/>
  <c r="D265" i="49"/>
  <c r="D452" i="49"/>
  <c r="D425" i="49"/>
  <c r="D397" i="49"/>
  <c r="D369" i="49"/>
  <c r="D343" i="49"/>
  <c r="D281" i="49"/>
  <c r="D257" i="49"/>
  <c r="D444" i="49"/>
  <c r="D424" i="49"/>
  <c r="D396" i="49"/>
  <c r="D368" i="49"/>
  <c r="D342" i="49"/>
  <c r="D255" i="49"/>
  <c r="D441" i="49"/>
  <c r="D416" i="49"/>
  <c r="D395" i="49"/>
  <c r="D361" i="49"/>
  <c r="D341" i="49"/>
  <c r="D279" i="49"/>
  <c r="D253" i="49"/>
  <c r="D440" i="49"/>
  <c r="D413" i="49"/>
  <c r="D386" i="49"/>
  <c r="D358" i="49"/>
  <c r="E110" i="58"/>
  <c r="I78" i="58"/>
  <c r="D110" i="58"/>
  <c r="I9" i="58"/>
  <c r="Y156" i="58" s="1"/>
  <c r="Y160" i="58" s="1"/>
  <c r="B137" i="63" l="1"/>
  <c r="B180" i="63" s="1"/>
  <c r="F23" i="62"/>
  <c r="D23" i="62"/>
  <c r="F22" i="62"/>
  <c r="G72" i="62" s="1"/>
  <c r="D22" i="62"/>
  <c r="E72" i="62" s="1"/>
  <c r="S23" i="62"/>
  <c r="I23" i="62"/>
  <c r="C23" i="62"/>
  <c r="S22" i="62"/>
  <c r="I22" i="62"/>
  <c r="C22" i="62"/>
  <c r="C21" i="62"/>
  <c r="O12" i="62"/>
  <c r="I12" i="62"/>
  <c r="C12" i="62"/>
  <c r="O11" i="62"/>
  <c r="I11" i="62"/>
  <c r="C11" i="62"/>
  <c r="C10" i="62"/>
  <c r="B3" i="62"/>
  <c r="I2" i="62"/>
  <c r="H2" i="62"/>
  <c r="C2" i="62"/>
  <c r="B5" i="62" l="1"/>
  <c r="B30" i="62" s="1"/>
  <c r="E37" i="61"/>
  <c r="E39" i="61" s="1"/>
  <c r="D37" i="61"/>
  <c r="D39" i="61" s="1"/>
  <c r="E35" i="61"/>
  <c r="E36" i="61" s="1"/>
  <c r="D35" i="61"/>
  <c r="D36" i="61" s="1"/>
  <c r="E32" i="61"/>
  <c r="D32" i="61"/>
  <c r="AG22" i="61"/>
  <c r="O22" i="61"/>
  <c r="C22" i="61"/>
  <c r="AG21" i="61"/>
  <c r="O21" i="61"/>
  <c r="C21" i="61"/>
  <c r="C20" i="61"/>
  <c r="AG12" i="61"/>
  <c r="O12" i="61"/>
  <c r="C12" i="61"/>
  <c r="AG11" i="61"/>
  <c r="O11" i="61"/>
  <c r="C11" i="61"/>
  <c r="C10" i="61"/>
  <c r="B3" i="61"/>
  <c r="I2" i="61"/>
  <c r="H2" i="61"/>
  <c r="C2" i="61"/>
  <c r="B5" i="61" l="1"/>
  <c r="B30" i="61" s="1"/>
  <c r="B48" i="61" s="1"/>
  <c r="AG22" i="60" l="1"/>
  <c r="O22" i="60"/>
  <c r="C22" i="60"/>
  <c r="AG21" i="60"/>
  <c r="O21" i="60"/>
  <c r="C21" i="60"/>
  <c r="C20" i="60"/>
  <c r="AG12" i="60"/>
  <c r="O12" i="60"/>
  <c r="C12" i="60"/>
  <c r="AG11" i="60"/>
  <c r="O11" i="60"/>
  <c r="C11" i="60"/>
  <c r="C10" i="60"/>
  <c r="B3" i="60"/>
  <c r="B5" i="60" s="1"/>
  <c r="I2" i="60"/>
  <c r="H2" i="60"/>
  <c r="C2" i="60"/>
  <c r="B29" i="60" l="1"/>
  <c r="D142" i="41" l="1" a="1"/>
  <c r="D142" i="41" s="1"/>
  <c r="C142" i="41" a="1"/>
  <c r="C142" i="41" s="1"/>
  <c r="E139" i="41"/>
  <c r="E140" i="41" s="1"/>
  <c r="F139" i="41"/>
  <c r="F140" i="41" s="1"/>
  <c r="G140" i="41"/>
  <c r="I2" i="57" l="1"/>
  <c r="H2" i="57"/>
  <c r="G2" i="55"/>
  <c r="F2" i="55"/>
  <c r="E32" i="57"/>
  <c r="D32" i="57"/>
  <c r="C10" i="57"/>
  <c r="C11" i="57"/>
  <c r="C12" i="57"/>
  <c r="AG21" i="57"/>
  <c r="AG22" i="57"/>
  <c r="AG11" i="57"/>
  <c r="AG12" i="57"/>
  <c r="O21" i="57"/>
  <c r="O22" i="57"/>
  <c r="O11" i="57"/>
  <c r="O12" i="57"/>
  <c r="C20" i="57"/>
  <c r="C21" i="57"/>
  <c r="C22" i="57"/>
  <c r="B3" i="58"/>
  <c r="C2" i="58"/>
  <c r="E35" i="57"/>
  <c r="E36" i="57" s="1"/>
  <c r="E39" i="57" s="1"/>
  <c r="D35" i="57"/>
  <c r="D39" i="57" s="1"/>
  <c r="B3" i="57"/>
  <c r="B5" i="57" s="1"/>
  <c r="C2" i="57"/>
  <c r="B3" i="55"/>
  <c r="B5" i="55" s="1"/>
  <c r="C2" i="55"/>
  <c r="D19" i="25"/>
  <c r="E19" i="25"/>
  <c r="D36" i="50" a="1"/>
  <c r="D36" i="50" s="1"/>
  <c r="C36" i="50" a="1"/>
  <c r="C36" i="50" s="1"/>
  <c r="G2" i="50"/>
  <c r="H2" i="50"/>
  <c r="F2" i="51"/>
  <c r="G2" i="51"/>
  <c r="F2" i="53"/>
  <c r="G2" i="53"/>
  <c r="G2" i="52"/>
  <c r="F2" i="52"/>
  <c r="B5" i="58" l="1"/>
  <c r="B101" i="58" s="1"/>
  <c r="D36" i="57"/>
  <c r="B30" i="57"/>
  <c r="B48" i="57" s="1"/>
  <c r="B42" i="55"/>
  <c r="B113" i="58" l="1"/>
  <c r="C296" i="44"/>
  <c r="C288" i="44"/>
  <c r="C279" i="44"/>
  <c r="E13" i="48"/>
  <c r="C271" i="44"/>
  <c r="C47" i="44"/>
  <c r="C39" i="44"/>
  <c r="C30" i="44"/>
  <c r="C22" i="44"/>
  <c r="G8" i="41" l="1"/>
  <c r="P8" i="42"/>
  <c r="N8" i="42"/>
  <c r="L8" i="42"/>
  <c r="Q8" i="42"/>
  <c r="O8" i="42"/>
  <c r="M8" i="42"/>
  <c r="I8" i="42"/>
  <c r="K134" i="42"/>
  <c r="J134" i="42"/>
  <c r="M134" i="42"/>
  <c r="L134" i="42"/>
  <c r="I134" i="42"/>
  <c r="O71" i="52" l="1"/>
  <c r="P71" i="52"/>
  <c r="D308" i="49"/>
  <c r="K244" i="44" a="1"/>
  <c r="K244" i="44" s="1"/>
  <c r="J237" i="44" a="1"/>
  <c r="J237" i="44" s="1"/>
  <c r="I224" i="44" a="1"/>
  <c r="I224" i="44" s="1"/>
  <c r="H217" i="44" a="1"/>
  <c r="H217" i="44" s="1"/>
  <c r="D318" i="49"/>
  <c r="D89" i="49"/>
  <c r="K243" i="44" a="1"/>
  <c r="K243" i="44" s="1"/>
  <c r="J232" i="44" a="1"/>
  <c r="J232" i="44" s="1"/>
  <c r="I223" i="44" a="1"/>
  <c r="I223" i="44" s="1"/>
  <c r="H211" i="44" a="1"/>
  <c r="H211" i="44" s="1"/>
  <c r="J243" i="44" a="1"/>
  <c r="J243" i="44" s="1"/>
  <c r="H223" i="44" a="1"/>
  <c r="H223" i="44" s="1"/>
  <c r="I209" i="44" a="1"/>
  <c r="I209" i="44" s="1"/>
  <c r="H206" i="44" a="1"/>
  <c r="H206" i="44" s="1"/>
  <c r="G203" i="44" a="1"/>
  <c r="G203" i="44" s="1"/>
  <c r="K196" i="44" a="1"/>
  <c r="K196" i="44" s="1"/>
  <c r="J193" i="44" a="1"/>
  <c r="J193" i="44" s="1"/>
  <c r="K167" i="44" a="1"/>
  <c r="K167" i="44" s="1"/>
  <c r="K206" i="44" a="1"/>
  <c r="K206" i="44" s="1"/>
  <c r="H201" i="44" a="1"/>
  <c r="H201" i="44" s="1"/>
  <c r="J187" i="44" a="1"/>
  <c r="J187" i="44" s="1"/>
  <c r="D331" i="49"/>
  <c r="I243" i="44" a="1"/>
  <c r="I243" i="44" s="1"/>
  <c r="G223" i="44" a="1"/>
  <c r="G223" i="44" s="1"/>
  <c r="H209" i="44" a="1"/>
  <c r="H209" i="44" s="1"/>
  <c r="K202" i="44" a="1"/>
  <c r="K202" i="44" s="1"/>
  <c r="D328" i="49"/>
  <c r="I218" i="44" a="1"/>
  <c r="I218" i="44" s="1"/>
  <c r="K205" i="44" a="1"/>
  <c r="K205" i="44" s="1"/>
  <c r="I196" i="44" a="1"/>
  <c r="I196" i="44" s="1"/>
  <c r="D316" i="49"/>
  <c r="I231" i="44" a="1"/>
  <c r="I231" i="44" s="1"/>
  <c r="H207" i="44" a="1"/>
  <c r="H207" i="44" s="1"/>
  <c r="K197" i="44" a="1"/>
  <c r="K197" i="44" s="1"/>
  <c r="J161" i="44" a="1"/>
  <c r="J161" i="44" s="1"/>
  <c r="G208" i="44" a="1"/>
  <c r="G208" i="44" s="1"/>
  <c r="H187" i="44" a="1"/>
  <c r="H187" i="44" s="1"/>
  <c r="D77" i="49"/>
  <c r="E77" i="49" s="1"/>
  <c r="M71" i="52"/>
  <c r="D330" i="49"/>
  <c r="D97" i="49"/>
  <c r="G244" i="44" a="1"/>
  <c r="G244" i="44" s="1"/>
  <c r="K232" i="44" a="1"/>
  <c r="K232" i="44" s="1"/>
  <c r="J223" i="44" a="1"/>
  <c r="J223" i="44" s="1"/>
  <c r="I211" i="44" a="1"/>
  <c r="I211" i="44" s="1"/>
  <c r="D307" i="49"/>
  <c r="E307" i="49" s="1"/>
  <c r="D85" i="49"/>
  <c r="G243" i="44" a="1"/>
  <c r="G243" i="44" s="1"/>
  <c r="K231" i="44" a="1"/>
  <c r="K231" i="44" s="1"/>
  <c r="J218" i="44" a="1"/>
  <c r="J218" i="44" s="1"/>
  <c r="D321" i="49"/>
  <c r="G238" i="44" a="1"/>
  <c r="G238" i="44" s="1"/>
  <c r="J217" i="44" a="1"/>
  <c r="J217" i="44" s="1"/>
  <c r="J208" i="44" a="1"/>
  <c r="J208" i="44" s="1"/>
  <c r="I205" i="44" a="1"/>
  <c r="I205" i="44" s="1"/>
  <c r="H202" i="44" a="1"/>
  <c r="H202" i="44" s="1"/>
  <c r="G196" i="44" a="1"/>
  <c r="G196" i="44" s="1"/>
  <c r="K187" i="44" a="1"/>
  <c r="K187" i="44" s="1"/>
  <c r="J184" i="44" a="1"/>
  <c r="J184" i="44" s="1"/>
  <c r="K161" i="44" a="1"/>
  <c r="K161" i="44" s="1"/>
  <c r="H205" i="44" a="1"/>
  <c r="H205" i="44" s="1"/>
  <c r="K195" i="44" a="1"/>
  <c r="K195" i="44" s="1"/>
  <c r="D320" i="49"/>
  <c r="K237" i="44" a="1"/>
  <c r="K237" i="44" s="1"/>
  <c r="I217" i="44" a="1"/>
  <c r="I217" i="44" s="1"/>
  <c r="J207" i="44" a="1"/>
  <c r="J207" i="44" s="1"/>
  <c r="I197" i="44" a="1"/>
  <c r="I197" i="44" s="1"/>
  <c r="D317" i="49"/>
  <c r="D71" i="52"/>
  <c r="J210" i="44" a="1"/>
  <c r="J210" i="44" s="1"/>
  <c r="H204" i="44" a="1"/>
  <c r="H204" i="44" s="1"/>
  <c r="K194" i="44" a="1"/>
  <c r="K194" i="44" s="1"/>
  <c r="L114" i="67" s="1" a="1"/>
  <c r="L114" i="67" s="1"/>
  <c r="G184" i="44" a="1"/>
  <c r="G184" i="44" s="1"/>
  <c r="D91" i="49"/>
  <c r="H218" i="44" a="1"/>
  <c r="H218" i="44" s="1"/>
  <c r="J205" i="44" a="1"/>
  <c r="J205" i="44" s="1"/>
  <c r="H196" i="44" a="1"/>
  <c r="H196" i="44" s="1"/>
  <c r="K184" i="44" a="1"/>
  <c r="K184" i="44" s="1"/>
  <c r="G162" i="44" a="1"/>
  <c r="G162" i="44" s="1"/>
  <c r="K204" i="44" a="1"/>
  <c r="K204" i="44" s="1"/>
  <c r="H184" i="44" a="1"/>
  <c r="H184" i="44" s="1"/>
  <c r="K211" i="44" a="1"/>
  <c r="K211" i="44" s="1"/>
  <c r="G205" i="44" a="1"/>
  <c r="G205" i="44" s="1"/>
  <c r="J195" i="44" a="1"/>
  <c r="J195" i="44" s="1"/>
  <c r="I184" i="44" a="1"/>
  <c r="I184" i="44" s="1"/>
  <c r="G161" i="44" a="1"/>
  <c r="G161" i="44" s="1"/>
  <c r="J209" i="44" a="1"/>
  <c r="J209" i="44" s="1"/>
  <c r="K193" i="44" a="1"/>
  <c r="K193" i="44" s="1"/>
  <c r="J162" i="44" a="1"/>
  <c r="J162" i="44" s="1"/>
  <c r="L71" i="52"/>
  <c r="D326" i="49"/>
  <c r="D90" i="49"/>
  <c r="H243" i="44" a="1"/>
  <c r="H243" i="44" s="1"/>
  <c r="G232" i="44" a="1"/>
  <c r="G232" i="44" s="1"/>
  <c r="K218" i="44" a="1"/>
  <c r="K218" i="44" s="1"/>
  <c r="D329" i="49"/>
  <c r="D100" i="49"/>
  <c r="E71" i="52"/>
  <c r="H238" i="44" a="1"/>
  <c r="H238" i="44" s="1"/>
  <c r="G231" i="44" a="1"/>
  <c r="G231" i="44" s="1"/>
  <c r="K217" i="44" a="1"/>
  <c r="K217" i="44" s="1"/>
  <c r="D99" i="49"/>
  <c r="H71" i="52"/>
  <c r="I232" i="44" a="1"/>
  <c r="I232" i="44" s="1"/>
  <c r="G211" i="44" a="1"/>
  <c r="G211" i="44" s="1"/>
  <c r="K207" i="44" a="1"/>
  <c r="K207" i="44" s="1"/>
  <c r="J204" i="44" a="1"/>
  <c r="J204" i="44" s="1"/>
  <c r="I201" i="44" a="1"/>
  <c r="I201" i="44" s="1"/>
  <c r="H195" i="44" a="1"/>
  <c r="H195" i="44" s="1"/>
  <c r="G187" i="44" a="1"/>
  <c r="G187" i="44" s="1"/>
  <c r="K180" i="44" a="1"/>
  <c r="K180" i="44" s="1"/>
  <c r="K162" i="44" a="1"/>
  <c r="K162" i="44" s="1"/>
  <c r="J203" i="44" a="1"/>
  <c r="J203" i="44" s="1"/>
  <c r="H194" i="44" a="1"/>
  <c r="H194" i="44" s="1"/>
  <c r="D98" i="49"/>
  <c r="G71" i="52"/>
  <c r="H232" i="44" a="1"/>
  <c r="H232" i="44" s="1"/>
  <c r="K210" i="44" a="1"/>
  <c r="K210" i="44" s="1"/>
  <c r="G206" i="44" a="1"/>
  <c r="G206" i="44" s="1"/>
  <c r="J196" i="44" a="1"/>
  <c r="J196" i="44" s="1"/>
  <c r="D327" i="49"/>
  <c r="K238" i="44" a="1"/>
  <c r="K238" i="44" s="1"/>
  <c r="G209" i="44" a="1"/>
  <c r="G209" i="44" s="1"/>
  <c r="J202" i="44" a="1"/>
  <c r="J202" i="44" s="1"/>
  <c r="H193" i="44" a="1"/>
  <c r="H193" i="44" s="1"/>
  <c r="H167" i="44" a="1"/>
  <c r="H167" i="44" s="1"/>
  <c r="I210" i="44" a="1"/>
  <c r="I210" i="44" s="1"/>
  <c r="G204" i="44" a="1"/>
  <c r="G204" i="44" s="1"/>
  <c r="J194" i="44" a="1"/>
  <c r="J194" i="44" s="1"/>
  <c r="K114" i="67" s="1" a="1"/>
  <c r="K114" i="67" s="1"/>
  <c r="J180" i="44" a="1"/>
  <c r="J180" i="44" s="1"/>
  <c r="G237" i="44" a="1"/>
  <c r="G237" i="44" s="1"/>
  <c r="G197" i="44" a="1"/>
  <c r="G197" i="44" s="1"/>
  <c r="G167" i="44" a="1"/>
  <c r="G167" i="44" s="1"/>
  <c r="I244" i="44" a="1"/>
  <c r="I244" i="44" s="1"/>
  <c r="K209" i="44" a="1"/>
  <c r="K209" i="44" s="1"/>
  <c r="I203" i="44" a="1"/>
  <c r="I203" i="44" s="1"/>
  <c r="G194" i="44" a="1"/>
  <c r="G194" i="44" s="1"/>
  <c r="H114" i="67" s="1" a="1"/>
  <c r="H114" i="67" s="1"/>
  <c r="I180" i="44" a="1"/>
  <c r="I180" i="44" s="1"/>
  <c r="D76" i="49"/>
  <c r="I206" i="44" a="1"/>
  <c r="I206" i="44" s="1"/>
  <c r="I151" i="44"/>
  <c r="N71" i="52"/>
  <c r="I238" i="44" a="1"/>
  <c r="I238" i="44" s="1"/>
  <c r="D96" i="49"/>
  <c r="H224" i="44" a="1"/>
  <c r="H224" i="44" s="1"/>
  <c r="K224" i="44" a="1"/>
  <c r="K224" i="44" s="1"/>
  <c r="J197" i="44" a="1"/>
  <c r="J197" i="44" s="1"/>
  <c r="I208" i="44" a="1"/>
  <c r="I208" i="44" s="1"/>
  <c r="D87" i="49"/>
  <c r="I204" i="44" a="1"/>
  <c r="I204" i="44" s="1"/>
  <c r="I207" i="44" a="1"/>
  <c r="I207" i="44" s="1"/>
  <c r="J238" i="44" a="1"/>
  <c r="J238" i="44" s="1"/>
  <c r="I167" i="44" a="1"/>
  <c r="I167" i="44" s="1"/>
  <c r="H237" i="44" a="1"/>
  <c r="H237" i="44" s="1"/>
  <c r="K201" i="44" a="1"/>
  <c r="K201" i="44" s="1"/>
  <c r="J167" i="44" a="1"/>
  <c r="J167" i="44" s="1"/>
  <c r="H203" i="44" a="1"/>
  <c r="H203" i="44" s="1"/>
  <c r="F280" i="49"/>
  <c r="D319" i="49"/>
  <c r="F319" i="49" s="1"/>
  <c r="H231" i="44" a="1"/>
  <c r="H231" i="44" s="1"/>
  <c r="G217" i="44" a="1"/>
  <c r="G217" i="44" s="1"/>
  <c r="H210" i="44" a="1"/>
  <c r="H210" i="44" s="1"/>
  <c r="I194" i="44" a="1"/>
  <c r="I194" i="44" s="1"/>
  <c r="J114" i="67" s="1" a="1"/>
  <c r="J114" i="67" s="1"/>
  <c r="G202" i="44" a="1"/>
  <c r="G202" i="44" s="1"/>
  <c r="G44" i="52"/>
  <c r="H44" i="52" s="1"/>
  <c r="G195" i="44" a="1"/>
  <c r="G195" i="44" s="1"/>
  <c r="G201" i="44" a="1"/>
  <c r="G201" i="44" s="1"/>
  <c r="K208" i="44" a="1"/>
  <c r="K208" i="44" s="1"/>
  <c r="J211" i="44" a="1"/>
  <c r="J211" i="44" s="1"/>
  <c r="G224" i="44" a="1"/>
  <c r="G224" i="44" s="1"/>
  <c r="H197" i="44" a="1"/>
  <c r="H197" i="44" s="1"/>
  <c r="H162" i="44" a="1"/>
  <c r="H162" i="44" s="1"/>
  <c r="J201" i="44" a="1"/>
  <c r="J201" i="44" s="1"/>
  <c r="D86" i="49"/>
  <c r="G218" i="44" a="1"/>
  <c r="G218" i="44" s="1"/>
  <c r="J244" i="44" a="1"/>
  <c r="J244" i="44" s="1"/>
  <c r="D88" i="49"/>
  <c r="F88" i="49" s="1"/>
  <c r="G207" i="44" a="1"/>
  <c r="G207" i="44" s="1"/>
  <c r="I193" i="44" a="1"/>
  <c r="I193" i="44" s="1"/>
  <c r="J224" i="44" a="1"/>
  <c r="J224" i="44" s="1"/>
  <c r="D95" i="49"/>
  <c r="I202" i="44" a="1"/>
  <c r="I202" i="44" s="1"/>
  <c r="I195" i="44" a="1"/>
  <c r="I195" i="44" s="1"/>
  <c r="H208" i="44" a="1"/>
  <c r="H208" i="44" s="1"/>
  <c r="I187" i="44" a="1"/>
  <c r="I187" i="44" s="1"/>
  <c r="H244" i="44" a="1"/>
  <c r="H244" i="44" s="1"/>
  <c r="H180" i="44" a="1"/>
  <c r="H180" i="44" s="1"/>
  <c r="F71" i="52"/>
  <c r="D322" i="49"/>
  <c r="F322" i="49" s="1"/>
  <c r="I237" i="44" a="1"/>
  <c r="I237" i="44" s="1"/>
  <c r="G45" i="52"/>
  <c r="H45" i="52" s="1"/>
  <c r="K203" i="44" a="1"/>
  <c r="K203" i="44" s="1"/>
  <c r="G180" i="44" a="1"/>
  <c r="G180" i="44" s="1"/>
  <c r="G210" i="44" a="1"/>
  <c r="G210" i="44" s="1"/>
  <c r="J231" i="44" a="1"/>
  <c r="J231" i="44" s="1"/>
  <c r="I161" i="44" a="1"/>
  <c r="I161" i="44" s="1"/>
  <c r="G193" i="44" a="1"/>
  <c r="G193" i="44" s="1"/>
  <c r="H161" i="44" a="1"/>
  <c r="H161" i="44" s="1"/>
  <c r="J206" i="44" a="1"/>
  <c r="J206" i="44" s="1"/>
  <c r="K223" i="44" a="1"/>
  <c r="K223" i="44" s="1"/>
  <c r="I162" i="44" a="1"/>
  <c r="I162" i="44" s="1"/>
  <c r="F279" i="49"/>
  <c r="F454" i="49"/>
  <c r="F341" i="49"/>
  <c r="F425" i="49"/>
  <c r="F267" i="49"/>
  <c r="F351" i="49"/>
  <c r="F424" i="49"/>
  <c r="F383" i="49"/>
  <c r="F277" i="49"/>
  <c r="F392" i="49"/>
  <c r="F25" i="49"/>
  <c r="F166" i="49"/>
  <c r="O166" i="49" s="1" a="1"/>
  <c r="O166" i="49" s="1"/>
  <c r="F181" i="49"/>
  <c r="F155" i="49"/>
  <c r="F164" i="49"/>
  <c r="F47" i="49"/>
  <c r="F397" i="49"/>
  <c r="F263" i="49"/>
  <c r="F361" i="49"/>
  <c r="F401" i="49"/>
  <c r="F253" i="49"/>
  <c r="F369" i="49"/>
  <c r="F427" i="49"/>
  <c r="F271" i="49"/>
  <c r="F354" i="49"/>
  <c r="F249" i="49"/>
  <c r="F50" i="49"/>
  <c r="F109" i="49"/>
  <c r="F208" i="49"/>
  <c r="F182" i="49"/>
  <c r="F185" i="49"/>
  <c r="F393" i="49"/>
  <c r="F338" i="49"/>
  <c r="F163" i="49"/>
  <c r="F199" i="49"/>
  <c r="F227" i="49"/>
  <c r="F209" i="49"/>
  <c r="F210" i="49"/>
  <c r="F437" i="49"/>
  <c r="F367" i="49"/>
  <c r="F108" i="49"/>
  <c r="F138" i="49"/>
  <c r="F36" i="49"/>
  <c r="F110" i="49"/>
  <c r="F21" i="49"/>
  <c r="F49" i="49"/>
  <c r="F413" i="49"/>
  <c r="F356" i="49"/>
  <c r="F141" i="49"/>
  <c r="F191" i="49"/>
  <c r="O191" i="49" s="1" a="1"/>
  <c r="O191" i="49" s="1"/>
  <c r="F257" i="49"/>
  <c r="F372" i="49"/>
  <c r="F410" i="49"/>
  <c r="F167" i="49"/>
  <c r="F20" i="49"/>
  <c r="F195" i="49"/>
  <c r="O195" i="49" s="1" a="1"/>
  <c r="O195" i="49" s="1"/>
  <c r="F22" i="49"/>
  <c r="F152" i="49"/>
  <c r="F368" i="49"/>
  <c r="F439" i="49"/>
  <c r="F441" i="49"/>
  <c r="F346" i="49"/>
  <c r="F430" i="49"/>
  <c r="F264" i="49"/>
  <c r="F452" i="49"/>
  <c r="F380" i="49"/>
  <c r="F250" i="49"/>
  <c r="F408" i="49"/>
  <c r="F147" i="49"/>
  <c r="F23" i="49"/>
  <c r="F55" i="49"/>
  <c r="F37" i="49"/>
  <c r="F39" i="49"/>
  <c r="F386" i="49"/>
  <c r="F426" i="49"/>
  <c r="F422" i="49"/>
  <c r="F255" i="49"/>
  <c r="F455" i="49"/>
  <c r="F395" i="49"/>
  <c r="F265" i="49"/>
  <c r="F382" i="49"/>
  <c r="F421" i="49"/>
  <c r="F450" i="49"/>
  <c r="F449" i="49"/>
  <c r="F178" i="49"/>
  <c r="F219" i="49"/>
  <c r="O219" i="49" s="1" a="1"/>
  <c r="O219" i="49" s="1"/>
  <c r="F33" i="49"/>
  <c r="F135" i="49"/>
  <c r="F123" i="49"/>
  <c r="F379" i="49"/>
  <c r="F339" i="49"/>
  <c r="F218" i="49"/>
  <c r="F151" i="49"/>
  <c r="F221" i="49"/>
  <c r="O221" i="49" s="1" a="1"/>
  <c r="O221" i="49" s="1"/>
  <c r="F112" i="49"/>
  <c r="F162" i="49"/>
  <c r="O162" i="49" s="1" a="1"/>
  <c r="O162" i="49" s="1"/>
  <c r="F353" i="49"/>
  <c r="F136" i="49"/>
  <c r="F46" i="49"/>
  <c r="F180" i="49"/>
  <c r="F148" i="49"/>
  <c r="F194" i="49"/>
  <c r="O194" i="49" s="1" a="1"/>
  <c r="O194" i="49" s="1"/>
  <c r="F205" i="49"/>
  <c r="F262" i="49"/>
  <c r="F220" i="49"/>
  <c r="F192" i="49"/>
  <c r="F269" i="49"/>
  <c r="F358" i="49"/>
  <c r="F285" i="49"/>
  <c r="F409" i="49"/>
  <c r="F48" i="49"/>
  <c r="F213" i="49"/>
  <c r="F51" i="49"/>
  <c r="F107" i="49"/>
  <c r="F222" i="49"/>
  <c r="F127" i="49"/>
  <c r="F41" i="49"/>
  <c r="F283" i="49"/>
  <c r="F423" i="49"/>
  <c r="F396" i="49"/>
  <c r="F453" i="49"/>
  <c r="F357" i="49"/>
  <c r="F378" i="49"/>
  <c r="F266" i="49"/>
  <c r="F352" i="49"/>
  <c r="F248" i="49"/>
  <c r="F177" i="49"/>
  <c r="F124" i="49"/>
  <c r="O124" i="49" s="1" a="1"/>
  <c r="O124" i="49" s="1"/>
  <c r="F53" i="49"/>
  <c r="F125" i="49"/>
  <c r="O125" i="49" s="1" a="1"/>
  <c r="O125" i="49" s="1"/>
  <c r="F179" i="49"/>
  <c r="F32" i="49"/>
  <c r="F416" i="49"/>
  <c r="F411" i="49"/>
  <c r="F451" i="49"/>
  <c r="F343" i="49"/>
  <c r="F252" i="49"/>
  <c r="F342" i="49"/>
  <c r="F398" i="49"/>
  <c r="F251" i="49"/>
  <c r="F391" i="49"/>
  <c r="F278" i="49"/>
  <c r="F207" i="49"/>
  <c r="F150" i="49"/>
  <c r="F120" i="49"/>
  <c r="F224" i="49"/>
  <c r="F35" i="49"/>
  <c r="F111" i="49"/>
  <c r="F366" i="49"/>
  <c r="F34" i="49"/>
  <c r="F170" i="49"/>
  <c r="F149" i="49"/>
  <c r="F121" i="49"/>
  <c r="F122" i="49"/>
  <c r="O122" i="49" s="1" a="1"/>
  <c r="O122" i="49" s="1"/>
  <c r="F137" i="49"/>
  <c r="F394" i="49"/>
  <c r="F115" i="49"/>
  <c r="F196" i="49"/>
  <c r="F190" i="49"/>
  <c r="F160" i="49"/>
  <c r="O160" i="49" s="1" a="1"/>
  <c r="O160" i="49" s="1"/>
  <c r="F161" i="49"/>
  <c r="F165" i="49"/>
  <c r="O165" i="49" s="1" a="1"/>
  <c r="O165" i="49" s="1"/>
  <c r="F355" i="49"/>
  <c r="F281" i="49"/>
  <c r="F381" i="49"/>
  <c r="F458" i="49"/>
  <c r="F436" i="49"/>
  <c r="F438" i="49"/>
  <c r="F223" i="49"/>
  <c r="F193" i="49"/>
  <c r="O193" i="49" s="1" a="1"/>
  <c r="O193" i="49" s="1"/>
  <c r="F440" i="49"/>
  <c r="F444" i="49"/>
  <c r="F412" i="49"/>
  <c r="F27" i="49"/>
  <c r="F19" i="49"/>
  <c r="F340" i="49"/>
  <c r="F126" i="49"/>
  <c r="F18" i="49"/>
  <c r="K18" i="49" s="1"/>
  <c r="F276" i="49"/>
  <c r="F206" i="49"/>
  <c r="F130" i="49"/>
  <c r="G466" i="44" a="1"/>
  <c r="G466" i="44" s="1"/>
  <c r="D35" i="63"/>
  <c r="E35" i="63" s="1" a="1"/>
  <c r="E35" i="63" s="1"/>
  <c r="D165" i="63"/>
  <c r="E165" i="63" s="1" a="1"/>
  <c r="E165" i="63" s="1"/>
  <c r="F91" i="49"/>
  <c r="P189" i="70"/>
  <c r="P185" i="70"/>
  <c r="P181" i="70"/>
  <c r="P177" i="70"/>
  <c r="P173" i="70"/>
  <c r="P169" i="70"/>
  <c r="P165" i="70"/>
  <c r="P207" i="73"/>
  <c r="P203" i="73"/>
  <c r="P199" i="73"/>
  <c r="P195" i="73"/>
  <c r="P174" i="73"/>
  <c r="P170" i="73"/>
  <c r="P166" i="73"/>
  <c r="P192" i="73"/>
  <c r="P184" i="73"/>
  <c r="P172" i="73"/>
  <c r="P164" i="73"/>
  <c r="P174" i="70"/>
  <c r="P208" i="73"/>
  <c r="P191" i="73"/>
  <c r="P183" i="73"/>
  <c r="P192" i="70"/>
  <c r="P188" i="70"/>
  <c r="P184" i="70"/>
  <c r="P180" i="70"/>
  <c r="P176" i="70"/>
  <c r="P172" i="70"/>
  <c r="P168" i="70"/>
  <c r="P206" i="73"/>
  <c r="P202" i="73"/>
  <c r="P198" i="73"/>
  <c r="P194" i="73"/>
  <c r="P189" i="73"/>
  <c r="P185" i="73"/>
  <c r="P181" i="73"/>
  <c r="P177" i="73"/>
  <c r="P173" i="73"/>
  <c r="P169" i="73"/>
  <c r="P165" i="73"/>
  <c r="P164" i="70"/>
  <c r="P176" i="73"/>
  <c r="P170" i="70"/>
  <c r="P200" i="73"/>
  <c r="P179" i="73"/>
  <c r="P191" i="70"/>
  <c r="P187" i="70"/>
  <c r="P183" i="70"/>
  <c r="P179" i="70"/>
  <c r="P188" i="73"/>
  <c r="P180" i="73"/>
  <c r="P168" i="73"/>
  <c r="P166" i="70"/>
  <c r="P204" i="73"/>
  <c r="I253" i="73" s="1"/>
  <c r="P196" i="73"/>
  <c r="I245" i="73" s="1"/>
  <c r="P187" i="73"/>
  <c r="I435" i="44" a="1"/>
  <c r="I435" i="44" s="1"/>
  <c r="K433" i="44" a="1"/>
  <c r="K433" i="44" s="1"/>
  <c r="H434" i="44" a="1"/>
  <c r="H434" i="44" s="1"/>
  <c r="G434" i="44" a="1"/>
  <c r="G434" i="44" s="1"/>
  <c r="K429" i="44" a="1"/>
  <c r="K429" i="44" s="1"/>
  <c r="K436" i="44" a="1"/>
  <c r="K436" i="44" s="1"/>
  <c r="J435" i="44" a="1"/>
  <c r="J435" i="44" s="1"/>
  <c r="K435" i="44" a="1"/>
  <c r="K435" i="44" s="1"/>
  <c r="J436" i="44" a="1"/>
  <c r="J436" i="44" s="1"/>
  <c r="G429" i="44" a="1"/>
  <c r="G429" i="44" s="1"/>
  <c r="G433" i="44" a="1"/>
  <c r="G433" i="44" s="1"/>
  <c r="G486" i="44" a="1"/>
  <c r="G486" i="44" s="1"/>
  <c r="H435" i="44" a="1"/>
  <c r="H435" i="44" s="1"/>
  <c r="I433" i="44" a="1"/>
  <c r="I433" i="44" s="1"/>
  <c r="H433" i="44" a="1"/>
  <c r="H433" i="44" s="1"/>
  <c r="K434" i="44" a="1"/>
  <c r="K434" i="44" s="1"/>
  <c r="J434" i="44" a="1"/>
  <c r="J434" i="44" s="1"/>
  <c r="G436" i="44" a="1"/>
  <c r="G436" i="44" s="1"/>
  <c r="J433" i="44" a="1"/>
  <c r="J433" i="44" s="1"/>
  <c r="J429" i="44" a="1"/>
  <c r="J429" i="44" s="1"/>
  <c r="H436" i="44" a="1"/>
  <c r="H436" i="44" s="1"/>
  <c r="I436" i="44" a="1"/>
  <c r="I436" i="44" s="1"/>
  <c r="H429" i="44" a="1"/>
  <c r="H429" i="44" s="1"/>
  <c r="I429" i="44" a="1"/>
  <c r="I429" i="44" s="1"/>
  <c r="I434" i="44" a="1"/>
  <c r="I434" i="44" s="1"/>
  <c r="G435" i="44" a="1"/>
  <c r="G435" i="44" s="1"/>
  <c r="I487" i="44" a="1"/>
  <c r="I487" i="44" s="1"/>
  <c r="K453" i="44" a="1"/>
  <c r="K453" i="44" s="1"/>
  <c r="K332" i="44" s="1"/>
  <c r="K416" i="44" a="1"/>
  <c r="K416" i="44" s="1"/>
  <c r="K457" i="44" a="1"/>
  <c r="K457" i="44" s="1"/>
  <c r="G492" i="44" a="1"/>
  <c r="G492" i="44" s="1"/>
  <c r="J457" i="44" a="1"/>
  <c r="J457" i="44" s="1"/>
  <c r="G472" i="44" a="1"/>
  <c r="G472" i="44" s="1"/>
  <c r="K451" i="44" a="1"/>
  <c r="K451" i="44" s="1"/>
  <c r="H416" i="44" a="1"/>
  <c r="H416" i="44" s="1"/>
  <c r="J480" i="44" a="1"/>
  <c r="J480" i="44" s="1"/>
  <c r="J451" i="44" a="1"/>
  <c r="J451" i="44" s="1"/>
  <c r="J410" i="44" a="1"/>
  <c r="J410" i="44" s="1"/>
  <c r="I481" i="44" a="1"/>
  <c r="I481" i="44" s="1"/>
  <c r="H454" i="44" a="1"/>
  <c r="H454" i="44" s="1"/>
  <c r="H339" i="44" s="1"/>
  <c r="H481" i="44" a="1"/>
  <c r="H481" i="44" s="1"/>
  <c r="J472" i="44" a="1"/>
  <c r="J472" i="44" s="1"/>
  <c r="K446" i="44" a="1"/>
  <c r="K446" i="44" s="1"/>
  <c r="F89" i="49"/>
  <c r="H452" i="44" a="1"/>
  <c r="H452" i="44" s="1"/>
  <c r="I411" i="44" a="1"/>
  <c r="I411" i="44" s="1"/>
  <c r="G493" i="44" a="1"/>
  <c r="G493" i="44" s="1"/>
  <c r="I456" i="44" a="1"/>
  <c r="I456" i="44" s="1"/>
  <c r="G487" i="44" a="1"/>
  <c r="G487" i="44" s="1"/>
  <c r="H456" i="44" a="1"/>
  <c r="H456" i="44" s="1"/>
  <c r="K466" i="44" a="1"/>
  <c r="K466" i="44" s="1"/>
  <c r="I450" i="44" a="1"/>
  <c r="I450" i="44" s="1"/>
  <c r="H486" i="44" a="1"/>
  <c r="H486" i="44" s="1"/>
  <c r="K472" i="44" a="1"/>
  <c r="K472" i="44" s="1"/>
  <c r="H450" i="44" a="1"/>
  <c r="H450" i="44" s="1"/>
  <c r="H493" i="44" a="1"/>
  <c r="H493" i="44" s="1"/>
  <c r="J473" i="44" a="1"/>
  <c r="J473" i="44" s="1"/>
  <c r="K452" i="44" a="1"/>
  <c r="K452" i="44" s="1"/>
  <c r="J459" i="44" a="1"/>
  <c r="J459" i="44" s="1"/>
  <c r="J377" i="44" s="1"/>
  <c r="J467" i="44" a="1"/>
  <c r="J467" i="44" s="1"/>
  <c r="I445" i="44" a="1"/>
  <c r="I445" i="44" s="1"/>
  <c r="I291" i="44" s="1"/>
  <c r="Q82" i="67"/>
  <c r="R82" i="67" s="1"/>
  <c r="H480" i="44" a="1"/>
  <c r="H480" i="44" s="1"/>
  <c r="I446" i="44" a="1"/>
  <c r="I446" i="44" s="1"/>
  <c r="G410" i="44" a="1"/>
  <c r="G410" i="44" s="1"/>
  <c r="H487" i="44" a="1"/>
  <c r="H487" i="44" s="1"/>
  <c r="G455" i="44" a="1"/>
  <c r="G455" i="44" s="1"/>
  <c r="G346" i="44" s="1"/>
  <c r="H411" i="44" a="1"/>
  <c r="H411" i="44" s="1"/>
  <c r="K481" i="44" a="1"/>
  <c r="K481" i="44" s="1"/>
  <c r="K454" i="44" a="1"/>
  <c r="K454" i="44" s="1"/>
  <c r="K339" i="44" s="1"/>
  <c r="G416" i="44" a="1"/>
  <c r="G416" i="44" s="1"/>
  <c r="I460" i="44" a="1"/>
  <c r="I460" i="44" s="1"/>
  <c r="I384" i="44" s="1"/>
  <c r="K445" i="44" a="1"/>
  <c r="K445" i="44" s="1"/>
  <c r="K291" i="44" s="1"/>
  <c r="J466" i="44" a="1"/>
  <c r="J466" i="44" s="1"/>
  <c r="I444" i="44" a="1"/>
  <c r="I444" i="44" s="1"/>
  <c r="I274" i="44" s="1"/>
  <c r="H458" i="44" a="1"/>
  <c r="H458" i="44" s="1"/>
  <c r="K467" i="44" a="1"/>
  <c r="K467" i="44" s="1"/>
  <c r="I451" i="44" a="1"/>
  <c r="I451" i="44" s="1"/>
  <c r="G451" i="44" a="1"/>
  <c r="G451" i="44" s="1"/>
  <c r="H466" i="44" a="1"/>
  <c r="H466" i="44" s="1"/>
  <c r="H444" i="44" a="1"/>
  <c r="H444" i="44" s="1"/>
  <c r="H274" i="44" s="1"/>
  <c r="Q81" i="67"/>
  <c r="R81" i="67" s="1"/>
  <c r="E308" i="49"/>
  <c r="F86" i="49"/>
  <c r="I472" i="44" a="1"/>
  <c r="I472" i="44" s="1"/>
  <c r="G445" i="44" a="1"/>
  <c r="G445" i="44" s="1"/>
  <c r="G291" i="44" s="1"/>
  <c r="J416" i="44" a="1"/>
  <c r="J416" i="44" s="1"/>
  <c r="G481" i="44" a="1"/>
  <c r="G481" i="44" s="1"/>
  <c r="J453" i="44" a="1"/>
  <c r="J453" i="44" s="1"/>
  <c r="J332" i="44" s="1"/>
  <c r="K411" i="44" a="1"/>
  <c r="K411" i="44" s="1"/>
  <c r="G480" i="44" a="1"/>
  <c r="G480" i="44" s="1"/>
  <c r="I453" i="44" a="1"/>
  <c r="I453" i="44" s="1"/>
  <c r="I332" i="44" s="1"/>
  <c r="I410" i="44" a="1"/>
  <c r="I410" i="44" s="1"/>
  <c r="K458" i="44" a="1"/>
  <c r="K458" i="44" s="1"/>
  <c r="J444" i="44" a="1"/>
  <c r="J444" i="44" s="1"/>
  <c r="J274" i="44" s="1"/>
  <c r="G454" i="44" a="1"/>
  <c r="G454" i="44" s="1"/>
  <c r="G339" i="44" s="1"/>
  <c r="H460" i="44" a="1"/>
  <c r="H460" i="44" s="1"/>
  <c r="H384" i="44" s="1"/>
  <c r="I443" i="44" a="1"/>
  <c r="I443" i="44" s="1"/>
  <c r="I452" i="44" a="1"/>
  <c r="I452" i="44" s="1"/>
  <c r="I466" i="44" a="1"/>
  <c r="I466" i="44" s="1"/>
  <c r="G450" i="44" a="1"/>
  <c r="G450" i="44" s="1"/>
  <c r="I493" i="44" a="1"/>
  <c r="I493" i="44" s="1"/>
  <c r="K459" i="44" a="1"/>
  <c r="K459" i="44" s="1"/>
  <c r="K377" i="44" s="1"/>
  <c r="G443" i="44" a="1"/>
  <c r="G443" i="44" s="1"/>
  <c r="F85" i="49"/>
  <c r="K460" i="44" a="1"/>
  <c r="K460" i="44" s="1"/>
  <c r="K384" i="44" s="1"/>
  <c r="G444" i="44" a="1"/>
  <c r="G444" i="44" s="1"/>
  <c r="G274" i="44" s="1"/>
  <c r="I473" i="44" a="1"/>
  <c r="I473" i="44" s="1"/>
  <c r="H473" i="44" a="1"/>
  <c r="H473" i="44" s="1"/>
  <c r="G452" i="44" a="1"/>
  <c r="G452" i="44" s="1"/>
  <c r="I467" i="44" a="1"/>
  <c r="I467" i="44" s="1"/>
  <c r="G473" i="44" a="1"/>
  <c r="G473" i="44" s="1"/>
  <c r="J450" i="44" a="1"/>
  <c r="J450" i="44" s="1"/>
  <c r="K492" i="44" a="1"/>
  <c r="K492" i="44" s="1"/>
  <c r="I457" i="44" a="1"/>
  <c r="I457" i="44" s="1"/>
  <c r="J443" i="44" a="1"/>
  <c r="J443" i="44" s="1"/>
  <c r="H445" i="44" a="1"/>
  <c r="H445" i="44" s="1"/>
  <c r="H291" i="44" s="1"/>
  <c r="J458" i="44" a="1"/>
  <c r="J458" i="44" s="1"/>
  <c r="H442" i="44" a="1"/>
  <c r="H442" i="44" s="1"/>
  <c r="G460" i="44" a="1"/>
  <c r="G460" i="44" s="1"/>
  <c r="G384" i="44" s="1"/>
  <c r="J445" i="44" a="1"/>
  <c r="J445" i="44" s="1"/>
  <c r="J291" i="44" s="1"/>
  <c r="I492" i="44" a="1"/>
  <c r="I492" i="44" s="1"/>
  <c r="G457" i="44" a="1"/>
  <c r="G457" i="44" s="1"/>
  <c r="E76" i="49"/>
  <c r="J411" i="44" a="1"/>
  <c r="J411" i="44" s="1"/>
  <c r="I459" i="44" a="1"/>
  <c r="I459" i="44" s="1"/>
  <c r="I377" i="44" s="1"/>
  <c r="J442" i="44" a="1"/>
  <c r="J442" i="44" s="1"/>
  <c r="K456" i="44" a="1"/>
  <c r="K456" i="44" s="1"/>
  <c r="H472" i="44" a="1"/>
  <c r="H472" i="44" s="1"/>
  <c r="K450" i="44" a="1"/>
  <c r="K450" i="44" s="1"/>
  <c r="H455" i="44" a="1"/>
  <c r="H455" i="44" s="1"/>
  <c r="H346" i="44" s="1"/>
  <c r="G467" i="44" a="1"/>
  <c r="G467" i="44" s="1"/>
  <c r="G446" i="44" a="1"/>
  <c r="G446" i="44" s="1"/>
  <c r="K486" i="44" a="1"/>
  <c r="K486" i="44" s="1"/>
  <c r="G456" i="44" a="1"/>
  <c r="G456" i="44" s="1"/>
  <c r="H410" i="44" a="1"/>
  <c r="H410" i="44" s="1"/>
  <c r="K455" i="44" a="1"/>
  <c r="K455" i="44" s="1"/>
  <c r="K346" i="44" s="1"/>
  <c r="J492" i="44" a="1"/>
  <c r="J492" i="44" s="1"/>
  <c r="I458" i="44" a="1"/>
  <c r="I458" i="44" s="1"/>
  <c r="H443" i="44" a="1"/>
  <c r="H443" i="44" s="1"/>
  <c r="J487" i="44" a="1"/>
  <c r="J487" i="44" s="1"/>
  <c r="I455" i="44" a="1"/>
  <c r="I455" i="44" s="1"/>
  <c r="I346" i="44" s="1"/>
  <c r="Q10" i="67"/>
  <c r="R10" i="67" s="1"/>
  <c r="G458" i="44" a="1"/>
  <c r="G458" i="44" s="1"/>
  <c r="J446" i="44" a="1"/>
  <c r="J446" i="44" s="1"/>
  <c r="H467" i="44" a="1"/>
  <c r="H467" i="44" s="1"/>
  <c r="H446" i="44" a="1"/>
  <c r="H446" i="44" s="1"/>
  <c r="K442" i="44" a="1"/>
  <c r="K442" i="44" s="1"/>
  <c r="J460" i="44" a="1"/>
  <c r="J460" i="44" s="1"/>
  <c r="J384" i="44" s="1"/>
  <c r="K443" i="44" a="1"/>
  <c r="K443" i="44" s="1"/>
  <c r="K480" i="44" a="1"/>
  <c r="K480" i="44" s="1"/>
  <c r="J454" i="44" a="1"/>
  <c r="J454" i="44" s="1"/>
  <c r="J339" i="44" s="1"/>
  <c r="J493" i="44" a="1"/>
  <c r="J493" i="44" s="1"/>
  <c r="I454" i="44" a="1"/>
  <c r="I454" i="44" s="1"/>
  <c r="I339" i="44" s="1"/>
  <c r="K410" i="44" a="1"/>
  <c r="K410" i="44" s="1"/>
  <c r="K487" i="44" a="1"/>
  <c r="K487" i="44" s="1"/>
  <c r="H457" i="44" a="1"/>
  <c r="H457" i="44" s="1"/>
  <c r="G442" i="44" a="1"/>
  <c r="G442" i="44" s="1"/>
  <c r="I486" i="44" a="1"/>
  <c r="I486" i="44" s="1"/>
  <c r="J452" i="44" a="1"/>
  <c r="J452" i="44" s="1"/>
  <c r="Q9" i="67"/>
  <c r="R9" i="67" s="1"/>
  <c r="H492" i="44" a="1"/>
  <c r="H492" i="44" s="1"/>
  <c r="J456" i="44" a="1"/>
  <c r="J456" i="44" s="1"/>
  <c r="H459" i="44" a="1"/>
  <c r="H459" i="44" s="1"/>
  <c r="H377" i="44" s="1"/>
  <c r="K444" i="44" a="1"/>
  <c r="K444" i="44" s="1"/>
  <c r="K274" i="44" s="1"/>
  <c r="K493" i="44" a="1"/>
  <c r="K493" i="44" s="1"/>
  <c r="G459" i="44" a="1"/>
  <c r="G459" i="44" s="1"/>
  <c r="G377" i="44" s="1"/>
  <c r="I442" i="44" a="1"/>
  <c r="I442" i="44" s="1"/>
  <c r="K473" i="44" a="1"/>
  <c r="K473" i="44" s="1"/>
  <c r="H453" i="44" a="1"/>
  <c r="H453" i="44" s="1"/>
  <c r="H332" i="44" s="1"/>
  <c r="G411" i="44" a="1"/>
  <c r="G411" i="44" s="1"/>
  <c r="J481" i="44" a="1"/>
  <c r="J481" i="44" s="1"/>
  <c r="G453" i="44" a="1"/>
  <c r="G453" i="44" s="1"/>
  <c r="G332" i="44" s="1"/>
  <c r="I416" i="44" a="1"/>
  <c r="I416" i="44" s="1"/>
  <c r="J486" i="44" a="1"/>
  <c r="J486" i="44" s="1"/>
  <c r="J455" i="44" a="1"/>
  <c r="J455" i="44" s="1"/>
  <c r="J346" i="44" s="1"/>
  <c r="I480" i="44" a="1"/>
  <c r="I480" i="44" s="1"/>
  <c r="H451" i="44" a="1"/>
  <c r="H451" i="44" s="1"/>
  <c r="N83" i="67" a="1"/>
  <c r="N83" i="67" s="1"/>
  <c r="N82" i="67" a="1"/>
  <c r="N82" i="67" s="1"/>
  <c r="N81" i="67" a="1"/>
  <c r="N81" i="67" s="1"/>
  <c r="N12" i="67" a="1"/>
  <c r="N12" i="67" s="1"/>
  <c r="N11" i="67" a="1"/>
  <c r="N11" i="67" s="1"/>
  <c r="N9" i="67" a="1"/>
  <c r="N9" i="67" s="1"/>
  <c r="N10" i="67" a="1"/>
  <c r="N10" i="67" s="1"/>
  <c r="O122" i="55"/>
  <c r="O114" i="55"/>
  <c r="O106" i="55"/>
  <c r="O98" i="55"/>
  <c r="O121" i="55"/>
  <c r="O113" i="55"/>
  <c r="O104" i="55"/>
  <c r="O96" i="55"/>
  <c r="O119" i="55"/>
  <c r="O111" i="55"/>
  <c r="O103" i="55"/>
  <c r="O118" i="55"/>
  <c r="O110" i="55"/>
  <c r="O102" i="55"/>
  <c r="O94" i="55"/>
  <c r="O117" i="55"/>
  <c r="O109" i="55"/>
  <c r="O100" i="55"/>
  <c r="O95" i="55"/>
  <c r="O115" i="55"/>
  <c r="O107" i="55"/>
  <c r="O99" i="55"/>
  <c r="D151" i="63"/>
  <c r="E151" i="63" s="1"/>
  <c r="D152" i="63"/>
  <c r="E152" i="63" s="1"/>
  <c r="D22" i="63"/>
  <c r="E22" i="63" s="1"/>
  <c r="D21" i="63"/>
  <c r="E21" i="63" s="1"/>
  <c r="F317" i="49"/>
  <c r="F316" i="49"/>
  <c r="F320" i="49"/>
  <c r="O137" i="49"/>
  <c r="O164" i="49" a="1"/>
  <c r="O164" i="49" s="1"/>
  <c r="O135" i="49" a="1"/>
  <c r="O135" i="49" s="1"/>
  <c r="O223" i="49" a="1"/>
  <c r="O223" i="49" s="1"/>
  <c r="O190" i="49" a="1"/>
  <c r="O190" i="49" s="1"/>
  <c r="O222" i="49" a="1"/>
  <c r="O222" i="49" s="1"/>
  <c r="O120" i="49" a="1"/>
  <c r="O120" i="49" s="1"/>
  <c r="O161" i="49" a="1"/>
  <c r="O161" i="49" s="1"/>
  <c r="O121" i="49" a="1"/>
  <c r="O121" i="49" s="1"/>
  <c r="O218" i="49" a="1"/>
  <c r="O218" i="49" s="1"/>
  <c r="O126" i="49" a="1"/>
  <c r="O126" i="49" s="1"/>
  <c r="I114" i="67" a="1"/>
  <c r="I114" i="67" s="1"/>
  <c r="K19" i="49"/>
  <c r="G488" i="44" l="1"/>
  <c r="G468" i="44"/>
  <c r="N280" i="49"/>
  <c r="K280" i="49"/>
  <c r="O280" i="49"/>
  <c r="M280" i="49"/>
  <c r="L280" i="49"/>
  <c r="N265" i="49"/>
  <c r="O265" i="49"/>
  <c r="M265" i="49"/>
  <c r="K265" i="49"/>
  <c r="L265" i="49"/>
  <c r="L35" i="49"/>
  <c r="K35" i="49"/>
  <c r="M35" i="49"/>
  <c r="O35" i="49"/>
  <c r="N35" i="49"/>
  <c r="N36" i="49"/>
  <c r="L36" i="49"/>
  <c r="K36" i="49"/>
  <c r="O36" i="49"/>
  <c r="M36" i="49"/>
  <c r="N50" i="49"/>
  <c r="M50" i="49"/>
  <c r="L50" i="49"/>
  <c r="O50" i="49"/>
  <c r="K50" i="49"/>
  <c r="H249" i="44" a="1"/>
  <c r="H249" i="44" s="1"/>
  <c r="J249" i="44" a="1"/>
  <c r="J249" i="44" s="1"/>
  <c r="G249" i="44" a="1"/>
  <c r="G249" i="44" s="1"/>
  <c r="K249" i="44" a="1"/>
  <c r="K249" i="44" s="1"/>
  <c r="I249" i="44" a="1"/>
  <c r="I249" i="44" s="1"/>
  <c r="L49" i="49"/>
  <c r="N49" i="49"/>
  <c r="M49" i="49"/>
  <c r="K49" i="49"/>
  <c r="O49" i="49"/>
  <c r="N251" i="49"/>
  <c r="M251" i="49"/>
  <c r="K251" i="49"/>
  <c r="O251" i="49"/>
  <c r="L251" i="49"/>
  <c r="N266" i="49"/>
  <c r="M266" i="49"/>
  <c r="L266" i="49"/>
  <c r="O266" i="49"/>
  <c r="K266" i="49"/>
  <c r="N252" i="49"/>
  <c r="L252" i="49"/>
  <c r="K252" i="49"/>
  <c r="O252" i="49"/>
  <c r="M252" i="49"/>
  <c r="N22" i="49"/>
  <c r="O22" i="49"/>
  <c r="M22" i="49"/>
  <c r="L22" i="49"/>
  <c r="K22" i="49"/>
  <c r="L21" i="49"/>
  <c r="K21" i="49"/>
  <c r="N21" i="49"/>
  <c r="M21" i="49"/>
  <c r="O21" i="49"/>
  <c r="N279" i="49"/>
  <c r="O279" i="49"/>
  <c r="K279" i="49"/>
  <c r="L279" i="49"/>
  <c r="M279" i="49"/>
  <c r="I488" i="44"/>
  <c r="Q124" i="67" s="1"/>
  <c r="E33" i="63"/>
  <c r="S138" i="67"/>
  <c r="S66" i="67"/>
  <c r="H69" i="67"/>
  <c r="H141" i="67"/>
  <c r="H66" i="67"/>
  <c r="H138" i="67"/>
  <c r="K141" i="67"/>
  <c r="K69" i="67"/>
  <c r="O69" i="67"/>
  <c r="O141" i="67"/>
  <c r="I138" i="67"/>
  <c r="I66" i="67"/>
  <c r="O139" i="67"/>
  <c r="O67" i="67"/>
  <c r="O140" i="67"/>
  <c r="O68" i="67"/>
  <c r="S68" i="67"/>
  <c r="S140" i="67"/>
  <c r="Q67" i="67"/>
  <c r="Q139" i="67"/>
  <c r="J138" i="67"/>
  <c r="J66" i="67"/>
  <c r="Q140" i="67"/>
  <c r="Q68" i="67"/>
  <c r="R140" i="67"/>
  <c r="R68" i="67"/>
  <c r="R138" i="67"/>
  <c r="R66" i="67"/>
  <c r="L66" i="67"/>
  <c r="L138" i="67"/>
  <c r="O66" i="67"/>
  <c r="O138" i="67"/>
  <c r="P140" i="67"/>
  <c r="P68" i="67"/>
  <c r="Q138" i="67"/>
  <c r="Q66" i="67"/>
  <c r="J141" i="67"/>
  <c r="J69" i="67"/>
  <c r="S67" i="67"/>
  <c r="S139" i="67"/>
  <c r="P66" i="67"/>
  <c r="P138" i="67"/>
  <c r="I69" i="67"/>
  <c r="I141" i="67"/>
  <c r="Q69" i="67"/>
  <c r="Q141" i="67"/>
  <c r="P139" i="67"/>
  <c r="P67" i="67"/>
  <c r="S69" i="67"/>
  <c r="S141" i="67"/>
  <c r="P69" i="67"/>
  <c r="P141" i="67"/>
  <c r="L69" i="67"/>
  <c r="L141" i="67"/>
  <c r="R141" i="67"/>
  <c r="R69" i="67"/>
  <c r="R67" i="67"/>
  <c r="R139" i="67"/>
  <c r="K66" i="67"/>
  <c r="K138" i="67"/>
  <c r="O104" i="67" a="1"/>
  <c r="O104" i="67" s="1"/>
  <c r="S31" i="67" a="1"/>
  <c r="S31" i="67" s="1"/>
  <c r="R31" i="67" a="1"/>
  <c r="R31" i="67" s="1"/>
  <c r="P31" i="67" a="1"/>
  <c r="P31" i="67" s="1"/>
  <c r="Q31" i="67" a="1"/>
  <c r="Q31" i="67" s="1"/>
  <c r="R102" i="67" a="1"/>
  <c r="R102" i="67" s="1"/>
  <c r="S102" i="67" a="1"/>
  <c r="S102" i="67" s="1"/>
  <c r="P102" i="67" a="1"/>
  <c r="P102" i="67" s="1"/>
  <c r="Q102" i="67" a="1"/>
  <c r="Q102" i="67" s="1"/>
  <c r="P103" i="67" a="1"/>
  <c r="P103" i="67" s="1"/>
  <c r="Q103" i="67" a="1"/>
  <c r="Q103" i="67" s="1"/>
  <c r="R103" i="67" a="1"/>
  <c r="R103" i="67" s="1"/>
  <c r="S103" i="67" a="1"/>
  <c r="S103" i="67" s="1"/>
  <c r="O32" i="67" a="1"/>
  <c r="O32" i="67" s="1"/>
  <c r="P30" i="67" a="1"/>
  <c r="P30" i="67" s="1"/>
  <c r="Q30" i="67" a="1"/>
  <c r="Q30" i="67" s="1"/>
  <c r="R30" i="67" a="1"/>
  <c r="R30" i="67" s="1"/>
  <c r="S30" i="67" a="1"/>
  <c r="S30" i="67" s="1"/>
  <c r="H494" i="44"/>
  <c r="P53" i="67" s="1"/>
  <c r="H482" i="44"/>
  <c r="P51" i="67" s="1"/>
  <c r="K482" i="44"/>
  <c r="I115" i="67"/>
  <c r="E78" i="53"/>
  <c r="L115" i="67"/>
  <c r="H78" i="53"/>
  <c r="I131" i="67" a="1"/>
  <c r="I131" i="67" s="1"/>
  <c r="E94" i="53"/>
  <c r="H130" i="67" a="1"/>
  <c r="H130" i="67" s="1"/>
  <c r="D93" i="53"/>
  <c r="K131" i="67" a="1"/>
  <c r="K131" i="67" s="1"/>
  <c r="G94" i="53"/>
  <c r="L131" i="67" a="1"/>
  <c r="L131" i="67" s="1"/>
  <c r="H94" i="53"/>
  <c r="H131" i="67" a="1"/>
  <c r="H131" i="67" s="1"/>
  <c r="D94" i="53"/>
  <c r="H129" i="67" a="1"/>
  <c r="H129" i="67" s="1"/>
  <c r="D92" i="53"/>
  <c r="L130" i="67" a="1"/>
  <c r="L130" i="67" s="1"/>
  <c r="H93" i="53"/>
  <c r="K115" i="67"/>
  <c r="G78" i="53"/>
  <c r="H115" i="67"/>
  <c r="D78" i="53"/>
  <c r="J131" i="67" a="1"/>
  <c r="J131" i="67" s="1"/>
  <c r="F94" i="53"/>
  <c r="I130" i="67" a="1"/>
  <c r="I130" i="67" s="1"/>
  <c r="E93" i="53"/>
  <c r="K130" i="67" a="1"/>
  <c r="K130" i="67" s="1"/>
  <c r="G93" i="53"/>
  <c r="J130" i="67" a="1"/>
  <c r="J130" i="67" s="1"/>
  <c r="F93" i="53"/>
  <c r="J488" i="44"/>
  <c r="K129" i="67" a="1"/>
  <c r="K129" i="67" s="1"/>
  <c r="G92" i="53"/>
  <c r="J115" i="67"/>
  <c r="F78" i="53"/>
  <c r="I129" i="67" a="1"/>
  <c r="I129" i="67" s="1"/>
  <c r="E92" i="53"/>
  <c r="L129" i="67" a="1"/>
  <c r="L129" i="67" s="1"/>
  <c r="H92" i="53"/>
  <c r="J129" i="67" a="1"/>
  <c r="J129" i="67" s="1"/>
  <c r="F92" i="53"/>
  <c r="K84" i="67"/>
  <c r="D78" i="49"/>
  <c r="D79" i="49" s="1"/>
  <c r="O177" i="49" s="1" a="1"/>
  <c r="O177" i="49" s="1"/>
  <c r="D309" i="49"/>
  <c r="D310" i="49" s="1"/>
  <c r="M436" i="49" s="1" a="1"/>
  <c r="M436" i="49" s="1"/>
  <c r="I494" i="44"/>
  <c r="Q125" i="67" s="1"/>
  <c r="J96" i="49"/>
  <c r="J98" i="49" s="1"/>
  <c r="I96" i="49"/>
  <c r="I98" i="49" s="1"/>
  <c r="H96" i="49"/>
  <c r="H98" i="49" s="1"/>
  <c r="G96" i="49"/>
  <c r="G98" i="49" s="1"/>
  <c r="K355" i="44"/>
  <c r="K357" i="44" s="1" a="1"/>
  <c r="K357" i="44" s="1"/>
  <c r="S129" i="67" a="1"/>
  <c r="S129" i="67" s="1"/>
  <c r="K369" i="44"/>
  <c r="S131" i="67" a="1"/>
  <c r="S131" i="67" s="1"/>
  <c r="H324" i="44"/>
  <c r="P59" i="67" a="1"/>
  <c r="P59" i="67" s="1"/>
  <c r="G494" i="44"/>
  <c r="O53" i="67" s="1"/>
  <c r="H317" i="44"/>
  <c r="H319" i="44" s="1" a="1"/>
  <c r="H319" i="44" s="1"/>
  <c r="P58" i="67" a="1"/>
  <c r="P58" i="67" s="1"/>
  <c r="S42" i="67" a="1"/>
  <c r="S42" i="67" s="1"/>
  <c r="K266" i="44"/>
  <c r="G355" i="44"/>
  <c r="O129" i="67" a="1"/>
  <c r="O129" i="67" s="1"/>
  <c r="R42" i="67" a="1"/>
  <c r="R42" i="67" s="1"/>
  <c r="J266" i="44"/>
  <c r="P42" i="67" a="1"/>
  <c r="P42" i="67" s="1"/>
  <c r="H266" i="44"/>
  <c r="G310" i="44"/>
  <c r="O57" i="67" a="1"/>
  <c r="O57" i="67" s="1"/>
  <c r="H326" i="49"/>
  <c r="H328" i="49" s="1"/>
  <c r="G326" i="49"/>
  <c r="G328" i="49" s="1"/>
  <c r="I326" i="49"/>
  <c r="I328" i="49" s="1"/>
  <c r="J326" i="49"/>
  <c r="J328" i="49" s="1"/>
  <c r="K324" i="44"/>
  <c r="S59" i="67" a="1"/>
  <c r="S59" i="67" s="1"/>
  <c r="P110" i="67"/>
  <c r="P38" i="67"/>
  <c r="J317" i="44"/>
  <c r="J319" i="44" s="1" a="1"/>
  <c r="J319" i="44" s="1"/>
  <c r="R58" i="67" a="1"/>
  <c r="R58" i="67" s="1"/>
  <c r="R110" i="67"/>
  <c r="R38" i="67"/>
  <c r="H262" i="44"/>
  <c r="P43" i="67"/>
  <c r="P115" i="67"/>
  <c r="P114" i="67" a="1"/>
  <c r="P114" i="67" s="1"/>
  <c r="H283" i="44"/>
  <c r="K488" i="44"/>
  <c r="J369" i="44"/>
  <c r="R131" i="67" a="1"/>
  <c r="R131" i="67" s="1"/>
  <c r="G324" i="44"/>
  <c r="G326" i="44" s="1" a="1"/>
  <c r="G326" i="44" s="1"/>
  <c r="O59" i="67" a="1"/>
  <c r="O59" i="67" s="1"/>
  <c r="R84" i="67"/>
  <c r="H355" i="44"/>
  <c r="H357" i="44" s="1" a="1"/>
  <c r="H357" i="44" s="1"/>
  <c r="P129" i="67" a="1"/>
  <c r="P129" i="67" s="1"/>
  <c r="J482" i="44"/>
  <c r="R51" i="67" s="1"/>
  <c r="K362" i="44"/>
  <c r="K364" i="44" s="1" a="1"/>
  <c r="K364" i="44" s="1"/>
  <c r="S130" i="67" a="1"/>
  <c r="S130" i="67" s="1"/>
  <c r="J355" i="44"/>
  <c r="J357" i="44" s="1" a="1"/>
  <c r="J357" i="44" s="1"/>
  <c r="R129" i="67" a="1"/>
  <c r="R129" i="67" s="1"/>
  <c r="S110" i="67"/>
  <c r="S38" i="67"/>
  <c r="R12" i="67"/>
  <c r="I369" i="44"/>
  <c r="Q131" i="67" a="1"/>
  <c r="Q131" i="67" s="1"/>
  <c r="G262" i="44"/>
  <c r="O43" i="67"/>
  <c r="O115" i="67"/>
  <c r="I324" i="44"/>
  <c r="Q59" i="67" a="1"/>
  <c r="Q59" i="67" s="1"/>
  <c r="G482" i="44"/>
  <c r="O51" i="67" s="1"/>
  <c r="K262" i="44"/>
  <c r="S115" i="67"/>
  <c r="S43" i="67"/>
  <c r="M243" i="73"/>
  <c r="L243" i="73"/>
  <c r="J243" i="73"/>
  <c r="K243" i="73"/>
  <c r="Q42" i="67" a="1"/>
  <c r="Q42" i="67" s="1"/>
  <c r="I266" i="44"/>
  <c r="J324" i="44"/>
  <c r="R59" i="67" a="1"/>
  <c r="R59" i="67" s="1"/>
  <c r="O110" i="67"/>
  <c r="O38" i="67"/>
  <c r="R115" i="67"/>
  <c r="R43" i="67"/>
  <c r="J262" i="44"/>
  <c r="J494" i="44"/>
  <c r="R125" i="67" s="1"/>
  <c r="G362" i="44"/>
  <c r="O130" i="67" a="1"/>
  <c r="O130" i="67" s="1"/>
  <c r="R114" i="67" a="1"/>
  <c r="R114" i="67" s="1"/>
  <c r="J283" i="44"/>
  <c r="Q114" i="67" a="1"/>
  <c r="Q114" i="67" s="1"/>
  <c r="I283" i="44"/>
  <c r="G317" i="44"/>
  <c r="O58" i="67" a="1"/>
  <c r="O58" i="67" s="1"/>
  <c r="I262" i="44"/>
  <c r="Q115" i="67"/>
  <c r="Q43" i="67"/>
  <c r="H310" i="44"/>
  <c r="H312" i="44" s="1" a="1"/>
  <c r="H312" i="44" s="1"/>
  <c r="P57" i="67" a="1"/>
  <c r="P57" i="67" s="1"/>
  <c r="Q110" i="67"/>
  <c r="Q38" i="67"/>
  <c r="K12" i="67"/>
  <c r="K317" i="44"/>
  <c r="K319" i="44" s="1" a="1"/>
  <c r="K319" i="44" s="1"/>
  <c r="S58" i="67" a="1"/>
  <c r="S58" i="67" s="1"/>
  <c r="Q129" i="67" a="1"/>
  <c r="Q129" i="67" s="1"/>
  <c r="M251" i="73"/>
  <c r="K251" i="73"/>
  <c r="L251" i="73"/>
  <c r="J251" i="73"/>
  <c r="M244" i="73"/>
  <c r="J244" i="73"/>
  <c r="K244" i="73"/>
  <c r="L244" i="73"/>
  <c r="H95" i="49"/>
  <c r="H97" i="49" s="1"/>
  <c r="I95" i="49"/>
  <c r="I97" i="49" s="1"/>
  <c r="J95" i="49"/>
  <c r="J97" i="49" s="1"/>
  <c r="G95" i="49"/>
  <c r="G97" i="49" s="1"/>
  <c r="I362" i="44"/>
  <c r="I364" i="44" s="1" a="1"/>
  <c r="I364" i="44" s="1"/>
  <c r="Q130" i="67" a="1"/>
  <c r="Q130" i="67" s="1"/>
  <c r="I317" i="44"/>
  <c r="I319" i="44" s="1" a="1"/>
  <c r="I319" i="44" s="1"/>
  <c r="Q58" i="67" a="1"/>
  <c r="Q58" i="67" s="1"/>
  <c r="I355" i="44"/>
  <c r="I357" i="44" s="1" a="1"/>
  <c r="I357" i="44" s="1"/>
  <c r="L252" i="73"/>
  <c r="J252" i="73"/>
  <c r="K252" i="73"/>
  <c r="M252" i="73"/>
  <c r="O42" i="67" a="1"/>
  <c r="O42" i="67" s="1"/>
  <c r="G266" i="44"/>
  <c r="G369" i="44"/>
  <c r="G371" i="44" s="1" a="1"/>
  <c r="G371" i="44" s="1"/>
  <c r="O131" i="67" a="1"/>
  <c r="O131" i="67" s="1"/>
  <c r="K310" i="44"/>
  <c r="K312" i="44" s="1" a="1"/>
  <c r="K312" i="44" s="1"/>
  <c r="S57" i="67" a="1"/>
  <c r="S57" i="67" s="1"/>
  <c r="K494" i="44"/>
  <c r="S53" i="67" s="1"/>
  <c r="O114" i="67" a="1"/>
  <c r="O114" i="67" s="1"/>
  <c r="G283" i="44"/>
  <c r="H488" i="44"/>
  <c r="H362" i="44"/>
  <c r="H364" i="44" s="1" a="1"/>
  <c r="H364" i="44" s="1"/>
  <c r="P130" i="67" a="1"/>
  <c r="P130" i="67" s="1"/>
  <c r="S114" i="67" a="1"/>
  <c r="S114" i="67" s="1"/>
  <c r="K283" i="44"/>
  <c r="J310" i="44"/>
  <c r="J312" i="44" s="1" a="1"/>
  <c r="J312" i="44" s="1"/>
  <c r="R57" i="67" a="1"/>
  <c r="R57" i="67" s="1"/>
  <c r="H369" i="44"/>
  <c r="P131" i="67" a="1"/>
  <c r="P131" i="67" s="1"/>
  <c r="I310" i="44"/>
  <c r="I312" i="44" s="1" a="1"/>
  <c r="I312" i="44" s="1"/>
  <c r="Q57" i="67" a="1"/>
  <c r="Q57" i="67" s="1"/>
  <c r="I482" i="44"/>
  <c r="Q51" i="67" s="1"/>
  <c r="J362" i="44"/>
  <c r="J364" i="44" s="1" a="1"/>
  <c r="J364" i="44" s="1"/>
  <c r="R130" i="67" a="1"/>
  <c r="R130" i="67" s="1"/>
  <c r="E163" i="63"/>
  <c r="E154" i="63"/>
  <c r="F58" i="63" s="1"/>
  <c r="M452" i="49" a="1"/>
  <c r="M452" i="49" s="1"/>
  <c r="L452" i="49" a="1"/>
  <c r="L452" i="49" s="1"/>
  <c r="K452" i="49" a="1"/>
  <c r="K452" i="49" s="1"/>
  <c r="N452" i="49" a="1"/>
  <c r="N452" i="49" s="1"/>
  <c r="O452" i="49" a="1"/>
  <c r="O452" i="49" s="1"/>
  <c r="O356" i="49" a="1"/>
  <c r="O356" i="49" s="1"/>
  <c r="N356" i="49" a="1"/>
  <c r="N356" i="49" s="1"/>
  <c r="M356" i="49" a="1"/>
  <c r="M356" i="49" s="1"/>
  <c r="L356" i="49" a="1"/>
  <c r="L356" i="49" s="1"/>
  <c r="K356" i="49" a="1"/>
  <c r="K356" i="49" s="1"/>
  <c r="N396" i="49" a="1"/>
  <c r="N396" i="49" s="1"/>
  <c r="M396" i="49" a="1"/>
  <c r="M396" i="49" s="1"/>
  <c r="L396" i="49" a="1"/>
  <c r="L396" i="49" s="1"/>
  <c r="O396" i="49" a="1"/>
  <c r="O396" i="49" s="1"/>
  <c r="K396" i="49" a="1"/>
  <c r="K396" i="49" s="1"/>
  <c r="L393" i="49" a="1"/>
  <c r="L393" i="49" s="1"/>
  <c r="K393" i="49" a="1"/>
  <c r="K393" i="49" s="1"/>
  <c r="O393" i="49" a="1"/>
  <c r="O393" i="49" s="1"/>
  <c r="N393" i="49" a="1"/>
  <c r="N393" i="49" s="1"/>
  <c r="M393" i="49" a="1"/>
  <c r="M393" i="49" s="1"/>
  <c r="N351" i="49" a="1"/>
  <c r="N351" i="49" s="1"/>
  <c r="M351" i="49" a="1"/>
  <c r="M351" i="49" s="1"/>
  <c r="L351" i="49" a="1"/>
  <c r="L351" i="49" s="1"/>
  <c r="K351" i="49" a="1"/>
  <c r="K351" i="49" s="1"/>
  <c r="O351" i="49" a="1"/>
  <c r="O351" i="49" s="1"/>
  <c r="M421" i="49" a="1"/>
  <c r="M421" i="49" s="1"/>
  <c r="L421" i="49" a="1"/>
  <c r="L421" i="49" s="1"/>
  <c r="K421" i="49" a="1"/>
  <c r="K421" i="49" s="1"/>
  <c r="O421" i="49" a="1"/>
  <c r="O421" i="49" s="1"/>
  <c r="N421" i="49" a="1"/>
  <c r="N421" i="49" s="1"/>
  <c r="O397" i="49" a="1"/>
  <c r="O397" i="49" s="1"/>
  <c r="N397" i="49" a="1"/>
  <c r="N397" i="49" s="1"/>
  <c r="M397" i="49" a="1"/>
  <c r="M397" i="49" s="1"/>
  <c r="L397" i="49" a="1"/>
  <c r="L397" i="49" s="1"/>
  <c r="K397" i="49" a="1"/>
  <c r="K397" i="49" s="1"/>
  <c r="O357" i="49" a="1"/>
  <c r="O357" i="49" s="1"/>
  <c r="N357" i="49" a="1"/>
  <c r="N357" i="49" s="1"/>
  <c r="M357" i="49" a="1"/>
  <c r="M357" i="49" s="1"/>
  <c r="L357" i="49" a="1"/>
  <c r="L357" i="49" s="1"/>
  <c r="K357" i="49" a="1"/>
  <c r="K357" i="49" s="1"/>
  <c r="L424" i="49" a="1"/>
  <c r="L424" i="49" s="1"/>
  <c r="K424" i="49" a="1"/>
  <c r="K424" i="49" s="1"/>
  <c r="O424" i="49" a="1"/>
  <c r="O424" i="49" s="1"/>
  <c r="N424" i="49" a="1"/>
  <c r="N424" i="49" s="1"/>
  <c r="M424" i="49" a="1"/>
  <c r="M424" i="49" s="1"/>
  <c r="K366" i="49" a="1"/>
  <c r="K366" i="49" s="1"/>
  <c r="O366" i="49" a="1"/>
  <c r="O366" i="49" s="1"/>
  <c r="L366" i="49" a="1"/>
  <c r="L366" i="49" s="1"/>
  <c r="N366" i="49" a="1"/>
  <c r="N366" i="49" s="1"/>
  <c r="M366" i="49" a="1"/>
  <c r="M366" i="49" s="1"/>
  <c r="J327" i="49"/>
  <c r="J329" i="49" s="1"/>
  <c r="I327" i="49"/>
  <c r="I329" i="49" s="1"/>
  <c r="H327" i="49"/>
  <c r="H329" i="49" s="1"/>
  <c r="G327" i="49"/>
  <c r="G329" i="49" s="1"/>
  <c r="M355" i="49" a="1"/>
  <c r="M355" i="49" s="1"/>
  <c r="L355" i="49" a="1"/>
  <c r="L355" i="49" s="1"/>
  <c r="K355" i="49" a="1"/>
  <c r="K355" i="49" s="1"/>
  <c r="N355" i="49" a="1"/>
  <c r="N355" i="49" s="1"/>
  <c r="O355" i="49" a="1"/>
  <c r="O355" i="49" s="1"/>
  <c r="O426" i="49" a="1"/>
  <c r="O426" i="49" s="1"/>
  <c r="N426" i="49" a="1"/>
  <c r="N426" i="49" s="1"/>
  <c r="M426" i="49" a="1"/>
  <c r="M426" i="49" s="1"/>
  <c r="L426" i="49" a="1"/>
  <c r="L426" i="49" s="1"/>
  <c r="K426" i="49" a="1"/>
  <c r="K426" i="49" s="1"/>
  <c r="O454" i="49" a="1"/>
  <c r="O454" i="49" s="1"/>
  <c r="N454" i="49" a="1"/>
  <c r="N454" i="49" s="1"/>
  <c r="M454" i="49" a="1"/>
  <c r="M454" i="49" s="1"/>
  <c r="L454" i="49" a="1"/>
  <c r="L454" i="49" s="1"/>
  <c r="K454" i="49" a="1"/>
  <c r="K454" i="49" s="1"/>
  <c r="M352" i="49" a="1"/>
  <c r="M352" i="49" s="1"/>
  <c r="L352" i="49" a="1"/>
  <c r="L352" i="49" s="1"/>
  <c r="K352" i="49" a="1"/>
  <c r="K352" i="49" s="1"/>
  <c r="N352" i="49" a="1"/>
  <c r="N352" i="49" s="1"/>
  <c r="O352" i="49" a="1"/>
  <c r="O352" i="49" s="1"/>
  <c r="M449" i="49" a="1"/>
  <c r="M449" i="49" s="1"/>
  <c r="L449" i="49" a="1"/>
  <c r="L449" i="49" s="1"/>
  <c r="K449" i="49" a="1"/>
  <c r="K449" i="49" s="1"/>
  <c r="O449" i="49" a="1"/>
  <c r="O449" i="49" s="1"/>
  <c r="N449" i="49" a="1"/>
  <c r="N449" i="49" s="1"/>
  <c r="N425" i="49" a="1"/>
  <c r="N425" i="49" s="1"/>
  <c r="M425" i="49" a="1"/>
  <c r="M425" i="49" s="1"/>
  <c r="L425" i="49" a="1"/>
  <c r="L425" i="49" s="1"/>
  <c r="K425" i="49" a="1"/>
  <c r="K425" i="49" s="1"/>
  <c r="O425" i="49" a="1"/>
  <c r="O425" i="49" s="1"/>
  <c r="M353" i="49" a="1"/>
  <c r="M353" i="49" s="1"/>
  <c r="L353" i="49" a="1"/>
  <c r="L353" i="49" s="1"/>
  <c r="K353" i="49" a="1"/>
  <c r="K353" i="49" s="1"/>
  <c r="O353" i="49" a="1"/>
  <c r="O353" i="49" s="1"/>
  <c r="N353" i="49" a="1"/>
  <c r="N353" i="49" s="1"/>
  <c r="M391" i="49" a="1"/>
  <c r="M391" i="49" s="1"/>
  <c r="L391" i="49" a="1"/>
  <c r="L391" i="49" s="1"/>
  <c r="K391" i="49" a="1"/>
  <c r="K391" i="49" s="1"/>
  <c r="O391" i="49" a="1"/>
  <c r="O391" i="49" s="1"/>
  <c r="N391" i="49" a="1"/>
  <c r="N391" i="49" s="1"/>
  <c r="M395" i="49" a="1"/>
  <c r="M395" i="49" s="1"/>
  <c r="L395" i="49" a="1"/>
  <c r="L395" i="49" s="1"/>
  <c r="K395" i="49" a="1"/>
  <c r="K395" i="49" s="1"/>
  <c r="O395" i="49" a="1"/>
  <c r="O395" i="49" s="1"/>
  <c r="N395" i="49" a="1"/>
  <c r="N395" i="49" s="1"/>
  <c r="L450" i="49" a="1"/>
  <c r="L450" i="49" s="1"/>
  <c r="K450" i="49" a="1"/>
  <c r="K450" i="49" s="1"/>
  <c r="O450" i="49" a="1"/>
  <c r="O450" i="49" s="1"/>
  <c r="M450" i="49" a="1"/>
  <c r="M450" i="49" s="1"/>
  <c r="N450" i="49" a="1"/>
  <c r="N450" i="49" s="1"/>
  <c r="M422" i="49" a="1"/>
  <c r="M422" i="49" s="1"/>
  <c r="L422" i="49" a="1"/>
  <c r="L422" i="49" s="1"/>
  <c r="K422" i="49" a="1"/>
  <c r="K422" i="49" s="1"/>
  <c r="O422" i="49" a="1"/>
  <c r="O422" i="49" s="1"/>
  <c r="N422" i="49" a="1"/>
  <c r="N422" i="49" s="1"/>
  <c r="N453" i="49" a="1"/>
  <c r="N453" i="49" s="1"/>
  <c r="M453" i="49" a="1"/>
  <c r="M453" i="49" s="1"/>
  <c r="L453" i="49" a="1"/>
  <c r="L453" i="49" s="1"/>
  <c r="K453" i="49" a="1"/>
  <c r="K453" i="49" s="1"/>
  <c r="O453" i="49" a="1"/>
  <c r="O453" i="49" s="1"/>
  <c r="L392" i="49" a="1"/>
  <c r="L392" i="49" s="1"/>
  <c r="K392" i="49" a="1"/>
  <c r="K392" i="49" s="1"/>
  <c r="O392" i="49" a="1"/>
  <c r="O392" i="49" s="1"/>
  <c r="M392" i="49" a="1"/>
  <c r="M392" i="49" s="1"/>
  <c r="N392" i="49" a="1"/>
  <c r="N392" i="49" s="1"/>
  <c r="E24" i="63"/>
  <c r="G114" i="67"/>
  <c r="L43" i="67"/>
  <c r="H43" i="67"/>
  <c r="K42" i="67" a="1"/>
  <c r="K42" i="67" s="1"/>
  <c r="J43" i="67"/>
  <c r="H42" i="67" a="1"/>
  <c r="H42" i="67" s="1"/>
  <c r="I43" i="67"/>
  <c r="J42" i="67" a="1"/>
  <c r="J42" i="67" s="1"/>
  <c r="K43" i="67"/>
  <c r="L42" i="67" a="1"/>
  <c r="L42" i="67" s="1"/>
  <c r="I42" i="67" a="1"/>
  <c r="I42" i="67" s="1"/>
  <c r="G92" i="52"/>
  <c r="D93" i="52"/>
  <c r="G17" i="44"/>
  <c r="M166" i="49" a="1"/>
  <c r="M166" i="49" s="1"/>
  <c r="N166" i="49" a="1"/>
  <c r="N166" i="49" s="1"/>
  <c r="M124" i="49" a="1"/>
  <c r="M124" i="49" s="1"/>
  <c r="N124" i="49" a="1"/>
  <c r="N124" i="49" s="1"/>
  <c r="M222" i="49" a="1"/>
  <c r="M222" i="49" s="1"/>
  <c r="N222" i="49" a="1"/>
  <c r="N222" i="49" s="1"/>
  <c r="M135" i="49" a="1"/>
  <c r="M135" i="49" s="1"/>
  <c r="N135" i="49" a="1"/>
  <c r="N135" i="49" s="1"/>
  <c r="M126" i="49" a="1"/>
  <c r="M126" i="49" s="1"/>
  <c r="N126" i="49" a="1"/>
  <c r="N126" i="49" s="1"/>
  <c r="M195" i="49" a="1"/>
  <c r="M195" i="49" s="1"/>
  <c r="N195" i="49" a="1"/>
  <c r="N195" i="49" s="1"/>
  <c r="M161" i="49" a="1"/>
  <c r="M161" i="49" s="1"/>
  <c r="N161" i="49" a="1"/>
  <c r="N161" i="49" s="1"/>
  <c r="M191" i="49" a="1"/>
  <c r="M191" i="49" s="1"/>
  <c r="N191" i="49" a="1"/>
  <c r="N191" i="49" s="1"/>
  <c r="M221" i="49" a="1"/>
  <c r="M221" i="49" s="1"/>
  <c r="N221" i="49" a="1"/>
  <c r="N221" i="49" s="1"/>
  <c r="M218" i="49" a="1"/>
  <c r="M218" i="49" s="1"/>
  <c r="N218" i="49" a="1"/>
  <c r="N218" i="49" s="1"/>
  <c r="M160" i="49" a="1"/>
  <c r="M160" i="49" s="1"/>
  <c r="N160" i="49" a="1"/>
  <c r="N160" i="49" s="1"/>
  <c r="M190" i="49" a="1"/>
  <c r="M190" i="49" s="1"/>
  <c r="N190" i="49" a="1"/>
  <c r="N190" i="49" s="1"/>
  <c r="M223" i="49" a="1"/>
  <c r="M223" i="49" s="1"/>
  <c r="N223" i="49" a="1"/>
  <c r="N223" i="49" s="1"/>
  <c r="M219" i="49" a="1"/>
  <c r="M219" i="49" s="1"/>
  <c r="N219" i="49" a="1"/>
  <c r="N219" i="49" s="1"/>
  <c r="M122" i="49" a="1"/>
  <c r="M122" i="49" s="1"/>
  <c r="N122" i="49" a="1"/>
  <c r="N122" i="49" s="1"/>
  <c r="M121" i="49" a="1"/>
  <c r="M121" i="49" s="1"/>
  <c r="N121" i="49" a="1"/>
  <c r="N121" i="49" s="1"/>
  <c r="M164" i="49" a="1"/>
  <c r="M164" i="49" s="1"/>
  <c r="N164" i="49" a="1"/>
  <c r="N164" i="49" s="1"/>
  <c r="M120" i="49" a="1"/>
  <c r="M120" i="49" s="1"/>
  <c r="N120" i="49" a="1"/>
  <c r="N120" i="49" s="1"/>
  <c r="M137" i="49"/>
  <c r="N137" i="49"/>
  <c r="M165" i="49" a="1"/>
  <c r="M165" i="49" s="1"/>
  <c r="N165" i="49" a="1"/>
  <c r="N165" i="49" s="1"/>
  <c r="M125" i="49" a="1"/>
  <c r="M125" i="49" s="1"/>
  <c r="N125" i="49" a="1"/>
  <c r="N125" i="49" s="1"/>
  <c r="M162" i="49" a="1"/>
  <c r="M162" i="49" s="1"/>
  <c r="N162" i="49" a="1"/>
  <c r="N162" i="49" s="1"/>
  <c r="M194" i="49" a="1"/>
  <c r="M194" i="49" s="1"/>
  <c r="N194" i="49" a="1"/>
  <c r="N194" i="49" s="1"/>
  <c r="M193" i="49" a="1"/>
  <c r="M193" i="49" s="1"/>
  <c r="N193" i="49" a="1"/>
  <c r="N193" i="49" s="1"/>
  <c r="K166" i="49" a="1"/>
  <c r="K166" i="49" s="1"/>
  <c r="L166" i="49" a="1"/>
  <c r="L166" i="49" s="1"/>
  <c r="K124" i="49" a="1"/>
  <c r="K124" i="49" s="1"/>
  <c r="L124" i="49" a="1"/>
  <c r="L124" i="49" s="1"/>
  <c r="K222" i="49" a="1"/>
  <c r="K222" i="49" s="1"/>
  <c r="L222" i="49" a="1"/>
  <c r="L222" i="49" s="1"/>
  <c r="K135" i="49" a="1"/>
  <c r="K135" i="49" s="1"/>
  <c r="L135" i="49" a="1"/>
  <c r="L135" i="49" s="1"/>
  <c r="K126" i="49" a="1"/>
  <c r="K126" i="49" s="1"/>
  <c r="L126" i="49" a="1"/>
  <c r="L126" i="49" s="1"/>
  <c r="K195" i="49" a="1"/>
  <c r="K195" i="49" s="1"/>
  <c r="L195" i="49" a="1"/>
  <c r="L195" i="49" s="1"/>
  <c r="K161" i="49" a="1"/>
  <c r="K161" i="49" s="1"/>
  <c r="L161" i="49" a="1"/>
  <c r="L161" i="49" s="1"/>
  <c r="K191" i="49" a="1"/>
  <c r="K191" i="49" s="1"/>
  <c r="L191" i="49" a="1"/>
  <c r="L191" i="49" s="1"/>
  <c r="K221" i="49" a="1"/>
  <c r="K221" i="49" s="1"/>
  <c r="L221" i="49" a="1"/>
  <c r="L221" i="49" s="1"/>
  <c r="K218" i="49" a="1"/>
  <c r="K218" i="49" s="1"/>
  <c r="L218" i="49" a="1"/>
  <c r="L218" i="49" s="1"/>
  <c r="K160" i="49" a="1"/>
  <c r="K160" i="49" s="1"/>
  <c r="L160" i="49" a="1"/>
  <c r="L160" i="49" s="1"/>
  <c r="K190" i="49" a="1"/>
  <c r="K190" i="49" s="1"/>
  <c r="L190" i="49" a="1"/>
  <c r="L190" i="49" s="1"/>
  <c r="K223" i="49" a="1"/>
  <c r="K223" i="49" s="1"/>
  <c r="L223" i="49" a="1"/>
  <c r="L223" i="49" s="1"/>
  <c r="K219" i="49" a="1"/>
  <c r="K219" i="49" s="1"/>
  <c r="L219" i="49" a="1"/>
  <c r="L219" i="49" s="1"/>
  <c r="K122" i="49" a="1"/>
  <c r="K122" i="49" s="1"/>
  <c r="L122" i="49" a="1"/>
  <c r="L122" i="49" s="1"/>
  <c r="K121" i="49" a="1"/>
  <c r="K121" i="49" s="1"/>
  <c r="L121" i="49" a="1"/>
  <c r="L121" i="49" s="1"/>
  <c r="K164" i="49" a="1"/>
  <c r="K164" i="49" s="1"/>
  <c r="L164" i="49" a="1"/>
  <c r="L164" i="49" s="1"/>
  <c r="K120" i="49" a="1"/>
  <c r="K120" i="49" s="1"/>
  <c r="L120" i="49" a="1"/>
  <c r="L120" i="49" s="1"/>
  <c r="K137" i="49"/>
  <c r="L137" i="49"/>
  <c r="K165" i="49" a="1"/>
  <c r="K165" i="49" s="1"/>
  <c r="L165" i="49" a="1"/>
  <c r="L165" i="49" s="1"/>
  <c r="K125" i="49" a="1"/>
  <c r="K125" i="49" s="1"/>
  <c r="L125" i="49" a="1"/>
  <c r="L125" i="49" s="1"/>
  <c r="K162" i="49" a="1"/>
  <c r="K162" i="49" s="1"/>
  <c r="L162" i="49" a="1"/>
  <c r="L162" i="49" s="1"/>
  <c r="K194" i="49" a="1"/>
  <c r="K194" i="49" s="1"/>
  <c r="L194" i="49" a="1"/>
  <c r="L194" i="49" s="1"/>
  <c r="K193" i="49" a="1"/>
  <c r="K193" i="49" s="1"/>
  <c r="L193" i="49" a="1"/>
  <c r="L193" i="49" s="1"/>
  <c r="F90" i="49"/>
  <c r="F96" i="49" s="1"/>
  <c r="F98" i="49" s="1"/>
  <c r="F87" i="49"/>
  <c r="F95" i="49" s="1"/>
  <c r="F97" i="49" s="1"/>
  <c r="F321" i="49"/>
  <c r="F331" i="49" s="1"/>
  <c r="F318" i="49"/>
  <c r="F330" i="49" s="1"/>
  <c r="O368" i="49"/>
  <c r="K368" i="49"/>
  <c r="L368" i="49"/>
  <c r="M368" i="49"/>
  <c r="N368" i="49"/>
  <c r="D92" i="52"/>
  <c r="G61" i="44"/>
  <c r="F78" i="52"/>
  <c r="D78" i="52"/>
  <c r="H78" i="52"/>
  <c r="G78" i="52"/>
  <c r="E78" i="52"/>
  <c r="M18" i="49"/>
  <c r="N18" i="49"/>
  <c r="L18" i="49"/>
  <c r="O18" i="49"/>
  <c r="M47" i="49"/>
  <c r="L47" i="49"/>
  <c r="K47" i="49"/>
  <c r="O47" i="49"/>
  <c r="N47" i="49"/>
  <c r="M19" i="49"/>
  <c r="L19" i="49"/>
  <c r="N19" i="49"/>
  <c r="O19" i="49"/>
  <c r="M249" i="49"/>
  <c r="O249" i="49"/>
  <c r="K249" i="49"/>
  <c r="N249" i="49"/>
  <c r="L249" i="49"/>
  <c r="O262" i="49"/>
  <c r="K262" i="49"/>
  <c r="M262" i="49"/>
  <c r="L262" i="49"/>
  <c r="N262" i="49"/>
  <c r="O276" i="49"/>
  <c r="N276" i="49"/>
  <c r="M276" i="49"/>
  <c r="L276" i="49"/>
  <c r="K276" i="49"/>
  <c r="N263" i="49"/>
  <c r="M263" i="49"/>
  <c r="L263" i="49"/>
  <c r="K263" i="49"/>
  <c r="O263" i="49"/>
  <c r="N32" i="49"/>
  <c r="K32" i="49"/>
  <c r="O32" i="49"/>
  <c r="L32" i="49"/>
  <c r="M32" i="49"/>
  <c r="N248" i="49"/>
  <c r="K248" i="49"/>
  <c r="O248" i="49"/>
  <c r="L248" i="49"/>
  <c r="M248" i="49"/>
  <c r="M46" i="49"/>
  <c r="O46" i="49"/>
  <c r="K46" i="49"/>
  <c r="N46" i="49"/>
  <c r="L46" i="49"/>
  <c r="O277" i="49"/>
  <c r="M277" i="49"/>
  <c r="K277" i="49"/>
  <c r="L277" i="49"/>
  <c r="N277" i="49"/>
  <c r="O33" i="49"/>
  <c r="M33" i="49"/>
  <c r="K33" i="49"/>
  <c r="N33" i="49"/>
  <c r="L33" i="49"/>
  <c r="G25" i="44"/>
  <c r="G42" i="44"/>
  <c r="H25" i="44"/>
  <c r="H42" i="44"/>
  <c r="I25" i="44"/>
  <c r="I42" i="44"/>
  <c r="J25" i="44"/>
  <c r="J42" i="44"/>
  <c r="K25" i="44"/>
  <c r="K42" i="44"/>
  <c r="E400" i="44"/>
  <c r="F400" i="44"/>
  <c r="E401" i="44"/>
  <c r="F401" i="44"/>
  <c r="E402" i="44"/>
  <c r="F402" i="44"/>
  <c r="E403" i="44"/>
  <c r="F403" i="44"/>
  <c r="E404" i="44"/>
  <c r="F404" i="44"/>
  <c r="E399" i="44"/>
  <c r="F399" i="44"/>
  <c r="F155" i="44"/>
  <c r="F154" i="44"/>
  <c r="F153" i="44"/>
  <c r="F152" i="44"/>
  <c r="F151" i="44"/>
  <c r="F150" i="44"/>
  <c r="E151" i="44"/>
  <c r="E152" i="44"/>
  <c r="E153" i="44"/>
  <c r="E154" i="44"/>
  <c r="E155" i="44"/>
  <c r="E150" i="44"/>
  <c r="H88" i="63" l="1" a="1"/>
  <c r="H88" i="63" s="1"/>
  <c r="H124" i="63" s="1"/>
  <c r="I92" i="63" a="1"/>
  <c r="I92" i="63" s="1"/>
  <c r="I128" i="63" s="1"/>
  <c r="J95" i="63" a="1"/>
  <c r="J95" i="63" s="1"/>
  <c r="J131" i="63" s="1"/>
  <c r="L96" i="63" a="1"/>
  <c r="L96" i="63" s="1"/>
  <c r="L132" i="63" s="1"/>
  <c r="K86" i="63" a="1"/>
  <c r="K86" i="63" s="1"/>
  <c r="K122" i="63" s="1"/>
  <c r="L95" i="63" a="1"/>
  <c r="L95" i="63" s="1"/>
  <c r="L131" i="63" s="1"/>
  <c r="K94" i="63" a="1"/>
  <c r="K94" i="63" s="1"/>
  <c r="K130" i="63" s="1"/>
  <c r="H89" i="63" a="1"/>
  <c r="H89" i="63" s="1"/>
  <c r="H125" i="63" s="1"/>
  <c r="J87" i="63" a="1"/>
  <c r="J87" i="63" s="1"/>
  <c r="J123" i="63" s="1"/>
  <c r="K93" i="63" a="1"/>
  <c r="K93" i="63" s="1"/>
  <c r="K129" i="63" s="1"/>
  <c r="L94" i="63" a="1"/>
  <c r="L94" i="63" s="1"/>
  <c r="L130" i="63" s="1"/>
  <c r="H95" i="63" a="1"/>
  <c r="H95" i="63" s="1"/>
  <c r="H131" i="63" s="1"/>
  <c r="K92" i="63" a="1"/>
  <c r="K92" i="63" s="1"/>
  <c r="K128" i="63" s="1"/>
  <c r="I86" i="63" a="1"/>
  <c r="I86" i="63" s="1"/>
  <c r="I122" i="63" s="1"/>
  <c r="J86" i="63" a="1"/>
  <c r="J86" i="63" s="1"/>
  <c r="J122" i="63" s="1"/>
  <c r="I87" i="63" a="1"/>
  <c r="I87" i="63" s="1"/>
  <c r="I123" i="63" s="1"/>
  <c r="K96" i="63" a="1"/>
  <c r="K96" i="63" s="1"/>
  <c r="K132" i="63" s="1"/>
  <c r="H91" i="63" a="1"/>
  <c r="H91" i="63" s="1"/>
  <c r="H127" i="63" s="1"/>
  <c r="J94" i="63" a="1"/>
  <c r="J94" i="63" s="1"/>
  <c r="J130" i="63" s="1"/>
  <c r="F60" i="63"/>
  <c r="L93" i="63" a="1"/>
  <c r="L93" i="63" s="1"/>
  <c r="L129" i="63" s="1"/>
  <c r="H94" i="63" a="1"/>
  <c r="H94" i="63" s="1"/>
  <c r="H130" i="63" s="1"/>
  <c r="I96" i="63" a="1"/>
  <c r="I96" i="63" s="1"/>
  <c r="I132" i="63" s="1"/>
  <c r="H96" i="63" a="1"/>
  <c r="H96" i="63" s="1"/>
  <c r="H132" i="63" s="1"/>
  <c r="J93" i="63" a="1"/>
  <c r="J93" i="63" s="1"/>
  <c r="J129" i="63" s="1"/>
  <c r="H92" i="63" a="1"/>
  <c r="H92" i="63" s="1"/>
  <c r="H128" i="63" s="1"/>
  <c r="J92" i="63" a="1"/>
  <c r="J92" i="63" s="1"/>
  <c r="J128" i="63" s="1"/>
  <c r="L86" i="63" a="1"/>
  <c r="L86" i="63" s="1"/>
  <c r="L122" i="63" s="1"/>
  <c r="L92" i="63" a="1"/>
  <c r="L92" i="63" s="1"/>
  <c r="L128" i="63" s="1"/>
  <c r="L87" i="63" a="1"/>
  <c r="L87" i="63" s="1"/>
  <c r="L123" i="63" s="1"/>
  <c r="J96" i="63" a="1"/>
  <c r="J96" i="63" s="1"/>
  <c r="J132" i="63" s="1"/>
  <c r="H90" i="63" a="1"/>
  <c r="H90" i="63" s="1"/>
  <c r="H126" i="63" s="1"/>
  <c r="I95" i="63" a="1"/>
  <c r="I95" i="63" s="1"/>
  <c r="I131" i="63" s="1"/>
  <c r="I93" i="63" a="1"/>
  <c r="I93" i="63" s="1"/>
  <c r="I129" i="63" s="1"/>
  <c r="H93" i="63" a="1"/>
  <c r="H93" i="63" s="1"/>
  <c r="H129" i="63" s="1"/>
  <c r="I94" i="63" a="1"/>
  <c r="I94" i="63" s="1"/>
  <c r="I130" i="63" s="1"/>
  <c r="K87" i="63" a="1"/>
  <c r="K87" i="63" s="1"/>
  <c r="K123" i="63" s="1"/>
  <c r="K95" i="63" a="1"/>
  <c r="K95" i="63" s="1"/>
  <c r="K131" i="63" s="1"/>
  <c r="S123" i="67"/>
  <c r="Q52" i="67"/>
  <c r="N208" i="49" a="1"/>
  <c r="N208" i="49" s="1"/>
  <c r="K181" i="49" a="1"/>
  <c r="K181" i="49" s="1"/>
  <c r="L148" i="49" a="1"/>
  <c r="L148" i="49" s="1"/>
  <c r="N110" i="49" a="1"/>
  <c r="N110" i="49" s="1"/>
  <c r="L208" i="49" a="1"/>
  <c r="L208" i="49" s="1"/>
  <c r="L110" i="49" a="1"/>
  <c r="L110" i="49" s="1"/>
  <c r="M107" i="49" a="1"/>
  <c r="M107" i="49" s="1"/>
  <c r="N147" i="49" a="1"/>
  <c r="N147" i="49" s="1"/>
  <c r="M178" i="49" a="1"/>
  <c r="M178" i="49" s="1"/>
  <c r="L107" i="49" a="1"/>
  <c r="L107" i="49" s="1"/>
  <c r="L147" i="49" a="1"/>
  <c r="L147" i="49" s="1"/>
  <c r="K178" i="49" a="1"/>
  <c r="K178" i="49" s="1"/>
  <c r="N180" i="49" a="1"/>
  <c r="N180" i="49" s="1"/>
  <c r="L180" i="49" a="1"/>
  <c r="L180" i="49" s="1"/>
  <c r="N177" i="49" a="1"/>
  <c r="N177" i="49" s="1"/>
  <c r="P125" i="67"/>
  <c r="S51" i="67"/>
  <c r="N51" i="67" s="1"/>
  <c r="G24" i="74" s="1" a="1"/>
  <c r="G24" i="74" s="1"/>
  <c r="P123" i="67"/>
  <c r="K148" i="49" a="1"/>
  <c r="K148" i="49" s="1"/>
  <c r="L205" i="49" a="1"/>
  <c r="L205" i="49" s="1"/>
  <c r="K209" i="49" a="1"/>
  <c r="K209" i="49" s="1"/>
  <c r="L108" i="49" a="1"/>
  <c r="L108" i="49" s="1"/>
  <c r="L206" i="49" a="1"/>
  <c r="L206" i="49" s="1"/>
  <c r="L177" i="49" a="1"/>
  <c r="L177" i="49" s="1"/>
  <c r="M148" i="49" a="1"/>
  <c r="M148" i="49" s="1"/>
  <c r="N205" i="49" a="1"/>
  <c r="N205" i="49" s="1"/>
  <c r="M209" i="49" a="1"/>
  <c r="M209" i="49" s="1"/>
  <c r="N108" i="49" a="1"/>
  <c r="N108" i="49" s="1"/>
  <c r="N206" i="49" a="1"/>
  <c r="N206" i="49" s="1"/>
  <c r="M177" i="49" a="1"/>
  <c r="M177" i="49" s="1"/>
  <c r="O180" i="49" a="1"/>
  <c r="O180" i="49" s="1"/>
  <c r="L111" i="49" a="1"/>
  <c r="L111" i="49" s="1"/>
  <c r="K151" i="49" a="1"/>
  <c r="K151" i="49" s="1"/>
  <c r="K150" i="49" a="1"/>
  <c r="K150" i="49" s="1"/>
  <c r="N111" i="49" a="1"/>
  <c r="N111" i="49" s="1"/>
  <c r="M151" i="49" a="1"/>
  <c r="M151" i="49" s="1"/>
  <c r="K205" i="49" a="1"/>
  <c r="K205" i="49" s="1"/>
  <c r="K208" i="49" a="1"/>
  <c r="K208" i="49" s="1"/>
  <c r="K111" i="49" a="1"/>
  <c r="K111" i="49" s="1"/>
  <c r="K108" i="49" a="1"/>
  <c r="K108" i="49" s="1"/>
  <c r="K206" i="49" a="1"/>
  <c r="K206" i="49" s="1"/>
  <c r="K180" i="49" a="1"/>
  <c r="K180" i="49" s="1"/>
  <c r="K177" i="49" a="1"/>
  <c r="K177" i="49" s="1"/>
  <c r="M205" i="49" a="1"/>
  <c r="M205" i="49" s="1"/>
  <c r="M208" i="49" a="1"/>
  <c r="M208" i="49" s="1"/>
  <c r="M111" i="49" a="1"/>
  <c r="M111" i="49" s="1"/>
  <c r="M108" i="49" a="1"/>
  <c r="M108" i="49" s="1"/>
  <c r="M147" i="49" a="1"/>
  <c r="M147" i="49" s="1"/>
  <c r="M110" i="49" a="1"/>
  <c r="M110" i="49" s="1"/>
  <c r="M206" i="49" a="1"/>
  <c r="M206" i="49" s="1"/>
  <c r="M180" i="49" a="1"/>
  <c r="M180" i="49" s="1"/>
  <c r="O181" i="49" a="1"/>
  <c r="O181" i="49" s="1"/>
  <c r="K147" i="49" a="1"/>
  <c r="K147" i="49" s="1"/>
  <c r="K110" i="49" a="1"/>
  <c r="K110" i="49" s="1"/>
  <c r="L209" i="49" a="1"/>
  <c r="L209" i="49" s="1"/>
  <c r="L178" i="49" a="1"/>
  <c r="L178" i="49" s="1"/>
  <c r="L179" i="49" s="1"/>
  <c r="L151" i="49" a="1"/>
  <c r="L151" i="49" s="1"/>
  <c r="L181" i="49" a="1"/>
  <c r="L181" i="49" s="1"/>
  <c r="L150" i="49" a="1"/>
  <c r="L150" i="49" s="1"/>
  <c r="N148" i="49" a="1"/>
  <c r="N148" i="49" s="1"/>
  <c r="N107" i="49" a="1"/>
  <c r="N107" i="49" s="1"/>
  <c r="N209" i="49" a="1"/>
  <c r="N209" i="49" s="1"/>
  <c r="N178" i="49" a="1"/>
  <c r="N178" i="49" s="1"/>
  <c r="N151" i="49" a="1"/>
  <c r="N151" i="49" s="1"/>
  <c r="M181" i="49" a="1"/>
  <c r="M181" i="49" s="1"/>
  <c r="O440" i="49" a="1"/>
  <c r="O440" i="49" s="1"/>
  <c r="O439" i="49" a="1"/>
  <c r="O439" i="49" s="1"/>
  <c r="L342" i="49" a="1"/>
  <c r="L342" i="49" s="1"/>
  <c r="N378" i="49" a="1"/>
  <c r="N378" i="49" s="1"/>
  <c r="O338" i="49" a="1"/>
  <c r="O338" i="49" s="1"/>
  <c r="M341" i="49" a="1"/>
  <c r="M341" i="49" s="1"/>
  <c r="K382" i="49" a="1"/>
  <c r="K382" i="49" s="1"/>
  <c r="K411" i="49" a="1"/>
  <c r="K411" i="49" s="1"/>
  <c r="O379" i="49" a="1"/>
  <c r="O379" i="49" s="1"/>
  <c r="O409" i="49" a="1"/>
  <c r="O409" i="49" s="1"/>
  <c r="K412" i="49" a="1"/>
  <c r="K412" i="49" s="1"/>
  <c r="L408" i="49" a="1"/>
  <c r="L408" i="49" s="1"/>
  <c r="O436" i="49" a="1"/>
  <c r="O436" i="49" s="1"/>
  <c r="K338" i="49" a="1"/>
  <c r="K338" i="49" s="1"/>
  <c r="K381" i="49" a="1"/>
  <c r="K381" i="49" s="1"/>
  <c r="N341" i="49" a="1"/>
  <c r="N341" i="49" s="1"/>
  <c r="M382" i="49" a="1"/>
  <c r="M382" i="49" s="1"/>
  <c r="M342" i="49" a="1"/>
  <c r="M342" i="49" s="1"/>
  <c r="L411" i="49" a="1"/>
  <c r="L411" i="49" s="1"/>
  <c r="N379" i="49" a="1"/>
  <c r="N379" i="49" s="1"/>
  <c r="M408" i="49" a="1"/>
  <c r="M408" i="49" s="1"/>
  <c r="O378" i="49" a="1"/>
  <c r="O378" i="49" s="1"/>
  <c r="O437" i="49" a="1"/>
  <c r="O437" i="49" s="1"/>
  <c r="K436" i="49" a="1"/>
  <c r="K436" i="49" s="1"/>
  <c r="L338" i="49" a="1"/>
  <c r="L338" i="49" s="1"/>
  <c r="L381" i="49" a="1"/>
  <c r="L381" i="49" s="1"/>
  <c r="O341" i="49" a="1"/>
  <c r="O341" i="49" s="1"/>
  <c r="N382" i="49" a="1"/>
  <c r="N382" i="49" s="1"/>
  <c r="N342" i="49" a="1"/>
  <c r="N342" i="49" s="1"/>
  <c r="M411" i="49" a="1"/>
  <c r="M411" i="49" s="1"/>
  <c r="K379" i="49" a="1"/>
  <c r="K379" i="49" s="1"/>
  <c r="K378" i="49" a="1"/>
  <c r="K378" i="49" s="1"/>
  <c r="K437" i="49" a="1"/>
  <c r="K437" i="49" s="1"/>
  <c r="L436" i="49" a="1"/>
  <c r="L436" i="49" s="1"/>
  <c r="M381" i="49" a="1"/>
  <c r="M381" i="49" s="1"/>
  <c r="K341" i="49" a="1"/>
  <c r="K341" i="49" s="1"/>
  <c r="O382" i="49" a="1"/>
  <c r="O382" i="49" s="1"/>
  <c r="L339" i="49" a="1"/>
  <c r="L339" i="49" s="1"/>
  <c r="N411" i="49" a="1"/>
  <c r="N411" i="49" s="1"/>
  <c r="L379" i="49" a="1"/>
  <c r="L379" i="49" s="1"/>
  <c r="L378" i="49" a="1"/>
  <c r="L378" i="49" s="1"/>
  <c r="L437" i="49" a="1"/>
  <c r="L437" i="49" s="1"/>
  <c r="K439" i="49" a="1"/>
  <c r="K439" i="49" s="1"/>
  <c r="K440" i="49" a="1"/>
  <c r="K440" i="49" s="1"/>
  <c r="N381" i="49" a="1"/>
  <c r="N381" i="49" s="1"/>
  <c r="M412" i="49" a="1"/>
  <c r="M412" i="49" s="1"/>
  <c r="M339" i="49" a="1"/>
  <c r="M339" i="49" s="1"/>
  <c r="O411" i="49" a="1"/>
  <c r="O411" i="49" s="1"/>
  <c r="M379" i="49" a="1"/>
  <c r="M379" i="49" s="1"/>
  <c r="K409" i="49" a="1"/>
  <c r="K409" i="49" s="1"/>
  <c r="M437" i="49" a="1"/>
  <c r="M437" i="49" s="1"/>
  <c r="M438" i="49" s="1"/>
  <c r="L439" i="49" a="1"/>
  <c r="L439" i="49" s="1"/>
  <c r="L440" i="49" a="1"/>
  <c r="L440" i="49" s="1"/>
  <c r="O381" i="49" a="1"/>
  <c r="O381" i="49" s="1"/>
  <c r="N412" i="49" a="1"/>
  <c r="N412" i="49" s="1"/>
  <c r="N339" i="49" a="1"/>
  <c r="N339" i="49" s="1"/>
  <c r="O408" i="49" a="1"/>
  <c r="O408" i="49" s="1"/>
  <c r="O410" i="49" s="1"/>
  <c r="L409" i="49" a="1"/>
  <c r="L409" i="49" s="1"/>
  <c r="N437" i="49" a="1"/>
  <c r="N437" i="49" s="1"/>
  <c r="M439" i="49" a="1"/>
  <c r="M439" i="49" s="1"/>
  <c r="M338" i="49" a="1"/>
  <c r="M338" i="49" s="1"/>
  <c r="M440" i="49" a="1"/>
  <c r="M440" i="49" s="1"/>
  <c r="L412" i="49" a="1"/>
  <c r="L412" i="49" s="1"/>
  <c r="K342" i="49" a="1"/>
  <c r="K342" i="49" s="1"/>
  <c r="O339" i="49" a="1"/>
  <c r="O339" i="49" s="1"/>
  <c r="N408" i="49" a="1"/>
  <c r="N408" i="49" s="1"/>
  <c r="M409" i="49" a="1"/>
  <c r="M409" i="49" s="1"/>
  <c r="N436" i="49" a="1"/>
  <c r="N436" i="49" s="1"/>
  <c r="N439" i="49" a="1"/>
  <c r="N439" i="49" s="1"/>
  <c r="N338" i="49" a="1"/>
  <c r="N338" i="49" s="1"/>
  <c r="N440" i="49" a="1"/>
  <c r="N440" i="49" s="1"/>
  <c r="L341" i="49" a="1"/>
  <c r="L341" i="49" s="1"/>
  <c r="L382" i="49" a="1"/>
  <c r="L382" i="49" s="1"/>
  <c r="O412" i="49" a="1"/>
  <c r="O412" i="49" s="1"/>
  <c r="O342" i="49" a="1"/>
  <c r="O342" i="49" s="1"/>
  <c r="K339" i="49" a="1"/>
  <c r="K339" i="49" s="1"/>
  <c r="K408" i="49" a="1"/>
  <c r="K408" i="49" s="1"/>
  <c r="M378" i="49" a="1"/>
  <c r="M378" i="49" s="1"/>
  <c r="N409" i="49" a="1"/>
  <c r="N409" i="49" s="1"/>
  <c r="F60" i="74" a="1"/>
  <c r="F60" i="74" s="1"/>
  <c r="N181" i="49" a="1"/>
  <c r="N181" i="49" s="1"/>
  <c r="N182" i="49" s="1"/>
  <c r="N150" i="49" a="1"/>
  <c r="N150" i="49" s="1"/>
  <c r="K107" i="49" a="1"/>
  <c r="K107" i="49" s="1"/>
  <c r="O206" i="49" a="1"/>
  <c r="O206" i="49" s="1"/>
  <c r="M150" i="49" a="1"/>
  <c r="M150" i="49" s="1"/>
  <c r="O107" i="49" a="1"/>
  <c r="O107" i="49" s="1"/>
  <c r="O178" i="49" a="1"/>
  <c r="O178" i="49" s="1"/>
  <c r="O179" i="49" s="1"/>
  <c r="O151" i="49" a="1"/>
  <c r="O151" i="49" s="1"/>
  <c r="O150" i="49" a="1"/>
  <c r="O150" i="49" s="1"/>
  <c r="N67" i="67"/>
  <c r="G33" i="74" s="1" a="1"/>
  <c r="G33" i="74" s="1"/>
  <c r="G141" i="67"/>
  <c r="N66" i="67"/>
  <c r="G32" i="74" s="1" a="1"/>
  <c r="G32" i="74" s="1"/>
  <c r="N139" i="67"/>
  <c r="G73" i="74" s="1" a="1"/>
  <c r="G73" i="74" s="1"/>
  <c r="G69" i="67"/>
  <c r="N138" i="67"/>
  <c r="G72" i="74" s="1" a="1"/>
  <c r="G72" i="74" s="1"/>
  <c r="N68" i="67"/>
  <c r="G34" i="74" s="1" a="1"/>
  <c r="G34" i="74" s="1"/>
  <c r="N141" i="67"/>
  <c r="G75" i="74" s="1" a="1"/>
  <c r="G75" i="74" s="1"/>
  <c r="G138" i="67"/>
  <c r="N69" i="67"/>
  <c r="G35" i="74" s="1" a="1"/>
  <c r="G35" i="74" s="1"/>
  <c r="N140" i="67"/>
  <c r="G74" i="74" s="1" a="1"/>
  <c r="G74" i="74" s="1"/>
  <c r="G66" i="67"/>
  <c r="P124" i="67"/>
  <c r="S52" i="67"/>
  <c r="R52" i="67"/>
  <c r="O124" i="67"/>
  <c r="O125" i="67"/>
  <c r="X115" i="67"/>
  <c r="Z115" i="67"/>
  <c r="N115" i="67"/>
  <c r="G61" i="74" s="1" a="1"/>
  <c r="G61" i="74" s="1"/>
  <c r="O52" i="67"/>
  <c r="O62" i="67" s="1"/>
  <c r="J330" i="49"/>
  <c r="O427" i="49" s="1"/>
  <c r="F326" i="49"/>
  <c r="F328" i="49" s="1"/>
  <c r="O110" i="49" a="1"/>
  <c r="O110" i="49" s="1"/>
  <c r="O148" i="49" a="1"/>
  <c r="O148" i="49" s="1"/>
  <c r="O209" i="49" a="1"/>
  <c r="O209" i="49" s="1"/>
  <c r="G115" i="67"/>
  <c r="G129" i="67"/>
  <c r="Q53" i="67"/>
  <c r="G128" i="67"/>
  <c r="R123" i="67"/>
  <c r="S124" i="67"/>
  <c r="G130" i="67"/>
  <c r="N130" i="67"/>
  <c r="N131" i="67"/>
  <c r="N129" i="67"/>
  <c r="G131" i="67"/>
  <c r="N128" i="67"/>
  <c r="G67" i="74" s="1" a="1"/>
  <c r="G67" i="74" s="1"/>
  <c r="O123" i="67"/>
  <c r="N114" i="67"/>
  <c r="G60" i="74" s="1" a="1"/>
  <c r="G60" i="74" s="1"/>
  <c r="R124" i="67"/>
  <c r="O205" i="49" a="1"/>
  <c r="O205" i="49" s="1"/>
  <c r="O208" i="49" a="1"/>
  <c r="O208" i="49" s="1"/>
  <c r="P85" i="53"/>
  <c r="M85" i="53"/>
  <c r="R53" i="67"/>
  <c r="P85" i="52"/>
  <c r="G300" i="44"/>
  <c r="L85" i="53"/>
  <c r="L85" i="52"/>
  <c r="O108" i="49" a="1"/>
  <c r="O108" i="49" s="1"/>
  <c r="K300" i="44"/>
  <c r="P52" i="67"/>
  <c r="P62" i="67" s="1"/>
  <c r="M85" i="52"/>
  <c r="Q123" i="67"/>
  <c r="Q134" i="67" s="1"/>
  <c r="H300" i="44"/>
  <c r="O85" i="52"/>
  <c r="J300" i="44"/>
  <c r="O85" i="53"/>
  <c r="I300" i="44"/>
  <c r="N85" i="53"/>
  <c r="N85" i="52"/>
  <c r="O111" i="49" a="1"/>
  <c r="O111" i="49" s="1"/>
  <c r="O147" i="49" a="1"/>
  <c r="O147" i="49" s="1"/>
  <c r="S125" i="67"/>
  <c r="O451" i="49"/>
  <c r="H330" i="49"/>
  <c r="M358" i="49" s="1"/>
  <c r="M423" i="49"/>
  <c r="I330" i="49"/>
  <c r="N358" i="49" s="1"/>
  <c r="K451" i="49"/>
  <c r="L423" i="49"/>
  <c r="L451" i="49"/>
  <c r="F327" i="49"/>
  <c r="F329" i="49" s="1"/>
  <c r="G331" i="49"/>
  <c r="L394" i="49" s="1"/>
  <c r="K423" i="49"/>
  <c r="H331" i="49"/>
  <c r="M394" i="49" s="1"/>
  <c r="N423" i="49"/>
  <c r="M451" i="49"/>
  <c r="I331" i="49"/>
  <c r="N398" i="49" s="1"/>
  <c r="O423" i="49"/>
  <c r="G330" i="49"/>
  <c r="L358" i="49" s="1"/>
  <c r="N451" i="49"/>
  <c r="J331" i="49"/>
  <c r="O398" i="49" s="1"/>
  <c r="K192" i="49"/>
  <c r="I100" i="49"/>
  <c r="N167" i="49" s="1"/>
  <c r="H100" i="49"/>
  <c r="M163" i="49" s="1"/>
  <c r="G100" i="49"/>
  <c r="L167" i="49" s="1"/>
  <c r="F100" i="49"/>
  <c r="J100" i="49"/>
  <c r="O163" i="49" s="1"/>
  <c r="H99" i="49"/>
  <c r="M127" i="49" s="1"/>
  <c r="G99" i="49"/>
  <c r="L127" i="49" s="1"/>
  <c r="F99" i="49"/>
  <c r="J99" i="49"/>
  <c r="O127" i="49" s="1"/>
  <c r="I99" i="49"/>
  <c r="N123" i="49" s="1"/>
  <c r="X43" i="67"/>
  <c r="Z43" i="67"/>
  <c r="Z42" i="67"/>
  <c r="W43" i="67"/>
  <c r="V114" i="67"/>
  <c r="Z114" i="67"/>
  <c r="W115" i="67"/>
  <c r="X42" i="67"/>
  <c r="W42" i="67"/>
  <c r="X114" i="67"/>
  <c r="W114" i="67"/>
  <c r="V42" i="67"/>
  <c r="N42" i="67"/>
  <c r="G20" i="74" s="1" a="1"/>
  <c r="G20" i="74" s="1"/>
  <c r="G42" i="67"/>
  <c r="N43" i="67"/>
  <c r="G21" i="74" s="1" a="1"/>
  <c r="G21" i="74" s="1"/>
  <c r="V43" i="67"/>
  <c r="Y43" i="67"/>
  <c r="G43" i="67"/>
  <c r="Y42" i="67"/>
  <c r="V115" i="67"/>
  <c r="Y115" i="67"/>
  <c r="Y114" i="67"/>
  <c r="M196" i="49"/>
  <c r="O196" i="49"/>
  <c r="M192" i="49"/>
  <c r="L224" i="49"/>
  <c r="L196" i="49"/>
  <c r="M224" i="49"/>
  <c r="N224" i="49"/>
  <c r="N220" i="49"/>
  <c r="K224" i="49"/>
  <c r="M220" i="49"/>
  <c r="O224" i="49"/>
  <c r="O192" i="49"/>
  <c r="K220" i="49"/>
  <c r="N196" i="49"/>
  <c r="N192" i="49"/>
  <c r="O220" i="49"/>
  <c r="K196" i="49"/>
  <c r="L192" i="49"/>
  <c r="L220" i="49"/>
  <c r="N250" i="49"/>
  <c r="L281" i="49"/>
  <c r="K34" i="49"/>
  <c r="N20" i="49"/>
  <c r="L20" i="49"/>
  <c r="K20" i="49"/>
  <c r="M267" i="49"/>
  <c r="O23" i="49"/>
  <c r="O281" i="49"/>
  <c r="K267" i="49"/>
  <c r="M250" i="49"/>
  <c r="N281" i="49"/>
  <c r="L267" i="49"/>
  <c r="O20" i="49"/>
  <c r="L51" i="49"/>
  <c r="L34" i="49"/>
  <c r="M34" i="49"/>
  <c r="K281" i="49"/>
  <c r="M281" i="49"/>
  <c r="O250" i="49"/>
  <c r="K253" i="49"/>
  <c r="M264" i="49"/>
  <c r="N267" i="49"/>
  <c r="O264" i="49"/>
  <c r="K250" i="49"/>
  <c r="L37" i="49"/>
  <c r="M48" i="49"/>
  <c r="N34" i="49"/>
  <c r="K23" i="49"/>
  <c r="N23" i="49"/>
  <c r="M23" i="49"/>
  <c r="M278" i="49"/>
  <c r="N253" i="49"/>
  <c r="K264" i="49"/>
  <c r="M20" i="49"/>
  <c r="N37" i="49"/>
  <c r="L278" i="49"/>
  <c r="N278" i="49"/>
  <c r="O253" i="49"/>
  <c r="O37" i="49"/>
  <c r="M51" i="49"/>
  <c r="O278" i="49"/>
  <c r="L253" i="49"/>
  <c r="M37" i="49"/>
  <c r="K51" i="49"/>
  <c r="L23" i="49"/>
  <c r="N48" i="49"/>
  <c r="L250" i="49"/>
  <c r="O267" i="49"/>
  <c r="O51" i="49"/>
  <c r="O48" i="49"/>
  <c r="O34" i="49"/>
  <c r="N51" i="49"/>
  <c r="N264" i="49"/>
  <c r="K48" i="49"/>
  <c r="K278" i="49"/>
  <c r="M253" i="49"/>
  <c r="L264" i="49"/>
  <c r="K37" i="49"/>
  <c r="L48" i="49"/>
  <c r="C79" i="44"/>
  <c r="E7" i="41"/>
  <c r="E8" i="41" s="1"/>
  <c r="Q62" i="67" l="1"/>
  <c r="I60" i="74"/>
  <c r="M60" i="74"/>
  <c r="L149" i="49"/>
  <c r="L210" i="49"/>
  <c r="L211" i="49" s="1"/>
  <c r="L213" i="49" s="1" a="1"/>
  <c r="L213" i="49" s="1"/>
  <c r="N210" i="49"/>
  <c r="K182" i="49"/>
  <c r="K183" i="49" s="1"/>
  <c r="K185" i="49" s="1" a="1"/>
  <c r="K185" i="49" s="1"/>
  <c r="L182" i="49"/>
  <c r="L183" i="49" s="1"/>
  <c r="L112" i="49"/>
  <c r="L113" i="49" s="1"/>
  <c r="L115" i="49" s="1" a="1"/>
  <c r="L115" i="49" s="1"/>
  <c r="M152" i="49"/>
  <c r="M153" i="49" s="1"/>
  <c r="M155" i="49" s="1" a="1"/>
  <c r="M155" i="49" s="1"/>
  <c r="K179" i="49"/>
  <c r="M179" i="49"/>
  <c r="L109" i="49"/>
  <c r="N109" i="49"/>
  <c r="R134" i="67"/>
  <c r="N179" i="49"/>
  <c r="M109" i="49"/>
  <c r="N149" i="49"/>
  <c r="N112" i="49"/>
  <c r="N113" i="49" s="1"/>
  <c r="N115" i="49" s="1" a="1"/>
  <c r="N115" i="49" s="1"/>
  <c r="S134" i="67"/>
  <c r="P134" i="67"/>
  <c r="O134" i="67"/>
  <c r="R62" i="67"/>
  <c r="S62" i="67"/>
  <c r="K210" i="49"/>
  <c r="K211" i="49" s="1"/>
  <c r="K213" i="49" s="1" a="1"/>
  <c r="K213" i="49" s="1"/>
  <c r="K207" i="49"/>
  <c r="M413" i="49"/>
  <c r="L207" i="49"/>
  <c r="K112" i="49"/>
  <c r="N152" i="49"/>
  <c r="N153" i="49" s="1"/>
  <c r="K152" i="49"/>
  <c r="K153" i="49" s="1"/>
  <c r="K155" i="49" s="1" a="1"/>
  <c r="K155" i="49" s="1"/>
  <c r="K149" i="49"/>
  <c r="M210" i="49"/>
  <c r="O182" i="49"/>
  <c r="O183" i="49" s="1"/>
  <c r="O185" i="49" s="1" a="1"/>
  <c r="O185" i="49" s="1"/>
  <c r="M182" i="49"/>
  <c r="M183" i="49" s="1"/>
  <c r="L152" i="49"/>
  <c r="L153" i="49" s="1"/>
  <c r="L155" i="49" s="1" a="1"/>
  <c r="L155" i="49" s="1"/>
  <c r="M112" i="49"/>
  <c r="M113" i="49" s="1"/>
  <c r="N207" i="49"/>
  <c r="N211" i="49" s="1"/>
  <c r="M149" i="49"/>
  <c r="M380" i="49"/>
  <c r="L410" i="49"/>
  <c r="O383" i="49"/>
  <c r="O380" i="49"/>
  <c r="L343" i="49"/>
  <c r="M207" i="49"/>
  <c r="K109" i="49"/>
  <c r="K383" i="49"/>
  <c r="K413" i="49"/>
  <c r="O358" i="49"/>
  <c r="N413" i="49"/>
  <c r="O343" i="49"/>
  <c r="L413" i="49"/>
  <c r="K340" i="49"/>
  <c r="O441" i="49"/>
  <c r="O354" i="49"/>
  <c r="M340" i="49"/>
  <c r="N438" i="49"/>
  <c r="N340" i="49"/>
  <c r="K380" i="49"/>
  <c r="N380" i="49"/>
  <c r="N343" i="49"/>
  <c r="O438" i="49"/>
  <c r="N441" i="49"/>
  <c r="O340" i="49"/>
  <c r="L380" i="49"/>
  <c r="K438" i="49"/>
  <c r="L340" i="49"/>
  <c r="M410" i="49"/>
  <c r="M383" i="49"/>
  <c r="L441" i="49"/>
  <c r="M343" i="49"/>
  <c r="M441" i="49"/>
  <c r="M442" i="49" s="1"/>
  <c r="M444" i="49" s="1" a="1"/>
  <c r="M444" i="49" s="1"/>
  <c r="K441" i="49"/>
  <c r="K343" i="49"/>
  <c r="N383" i="49"/>
  <c r="O413" i="49"/>
  <c r="O414" i="49" s="1"/>
  <c r="O416" i="49" s="1" a="1"/>
  <c r="O416" i="49" s="1"/>
  <c r="L123" i="49"/>
  <c r="L128" i="49" s="1"/>
  <c r="L130" i="49" s="1" a="1"/>
  <c r="L130" i="49" s="1"/>
  <c r="N410" i="49"/>
  <c r="K410" i="49"/>
  <c r="L438" i="49"/>
  <c r="L383" i="49"/>
  <c r="F61" i="74" a="1"/>
  <c r="F61" i="74" s="1"/>
  <c r="F72" i="74" a="1"/>
  <c r="F72" i="74" s="1"/>
  <c r="F75" i="74" a="1"/>
  <c r="F75" i="74" s="1"/>
  <c r="F67" i="74" a="1"/>
  <c r="F67" i="74" s="1"/>
  <c r="O207" i="49"/>
  <c r="F21" i="74" a="1"/>
  <c r="F21" i="74" s="1"/>
  <c r="M21" i="74" s="1"/>
  <c r="F32" i="74" a="1"/>
  <c r="F32" i="74" s="1"/>
  <c r="M32" i="74" s="1"/>
  <c r="F20" i="74" a="1"/>
  <c r="F20" i="74" s="1"/>
  <c r="M20" i="74" s="1"/>
  <c r="F35" i="74" a="1"/>
  <c r="F35" i="74" s="1"/>
  <c r="M35" i="74" s="1"/>
  <c r="O152" i="49"/>
  <c r="O109" i="49"/>
  <c r="O112" i="49"/>
  <c r="O149" i="49"/>
  <c r="M427" i="49"/>
  <c r="O210" i="49"/>
  <c r="N354" i="49"/>
  <c r="N427" i="49"/>
  <c r="M354" i="49"/>
  <c r="L398" i="49"/>
  <c r="L455" i="49"/>
  <c r="L456" i="49" s="1"/>
  <c r="L458" i="49" s="1" a="1"/>
  <c r="L458" i="49" s="1"/>
  <c r="K394" i="49"/>
  <c r="K354" i="49"/>
  <c r="M398" i="49"/>
  <c r="M455" i="49"/>
  <c r="M456" i="49" s="1"/>
  <c r="M458" i="49" s="1" a="1"/>
  <c r="M458" i="49" s="1"/>
  <c r="K398" i="49"/>
  <c r="K358" i="49"/>
  <c r="L354" i="49"/>
  <c r="O455" i="49"/>
  <c r="O456" i="49" s="1"/>
  <c r="O458" i="49" s="1" a="1"/>
  <c r="O458" i="49" s="1"/>
  <c r="K455" i="49"/>
  <c r="K456" i="49" s="1"/>
  <c r="K458" i="49" s="1" a="1"/>
  <c r="K458" i="49" s="1"/>
  <c r="N455" i="49"/>
  <c r="N456" i="49" s="1"/>
  <c r="N458" i="49" s="1" a="1"/>
  <c r="N458" i="49" s="1"/>
  <c r="K427" i="49"/>
  <c r="L427" i="49"/>
  <c r="O394" i="49"/>
  <c r="N394" i="49"/>
  <c r="L163" i="49"/>
  <c r="L168" i="49" s="1"/>
  <c r="L170" i="49" s="1" a="1"/>
  <c r="L170" i="49" s="1"/>
  <c r="U43" i="67"/>
  <c r="U115" i="67"/>
  <c r="U42" i="67"/>
  <c r="U114" i="67"/>
  <c r="K123" i="49"/>
  <c r="O167" i="49"/>
  <c r="O123" i="49"/>
  <c r="O128" i="49" s="1"/>
  <c r="O130" i="49" s="1" a="1"/>
  <c r="O130" i="49" s="1"/>
  <c r="N127" i="49"/>
  <c r="N163" i="49"/>
  <c r="N168" i="49" s="1"/>
  <c r="N170" i="49" s="1" a="1"/>
  <c r="N170" i="49" s="1"/>
  <c r="M167" i="49"/>
  <c r="M123" i="49"/>
  <c r="M128" i="49" s="1"/>
  <c r="M130" i="49" s="1" a="1"/>
  <c r="M130" i="49" s="1"/>
  <c r="K163" i="49"/>
  <c r="K167" i="49"/>
  <c r="K127" i="49"/>
  <c r="M197" i="49"/>
  <c r="M199" i="49" s="1" a="1"/>
  <c r="M199" i="49" s="1"/>
  <c r="K197" i="49"/>
  <c r="K199" i="49" s="1" a="1"/>
  <c r="K199" i="49" s="1"/>
  <c r="K225" i="49"/>
  <c r="K227" i="49" s="1" a="1"/>
  <c r="K227" i="49" s="1"/>
  <c r="M225" i="49"/>
  <c r="M227" i="49" s="1" a="1"/>
  <c r="M227" i="49" s="1"/>
  <c r="L225" i="49"/>
  <c r="L227" i="49" s="1" a="1"/>
  <c r="L227" i="49" s="1"/>
  <c r="N183" i="49"/>
  <c r="N185" i="49" s="1" a="1"/>
  <c r="N185" i="49" s="1"/>
  <c r="N197" i="49"/>
  <c r="N199" i="49" s="1" a="1"/>
  <c r="N199" i="49" s="1"/>
  <c r="O225" i="49"/>
  <c r="O227" i="49" s="1" a="1"/>
  <c r="O227" i="49" s="1"/>
  <c r="N225" i="49"/>
  <c r="N227" i="49" s="1" a="1"/>
  <c r="N227" i="49" s="1"/>
  <c r="L197" i="49"/>
  <c r="L199" i="49" s="1" a="1"/>
  <c r="L199" i="49" s="1"/>
  <c r="O197" i="49"/>
  <c r="O199" i="49" s="1" a="1"/>
  <c r="O199" i="49" s="1"/>
  <c r="N254" i="49"/>
  <c r="N24" i="49"/>
  <c r="L282" i="49"/>
  <c r="K38" i="49"/>
  <c r="L24" i="49"/>
  <c r="K24" i="49"/>
  <c r="M254" i="49"/>
  <c r="M38" i="49"/>
  <c r="O282" i="49"/>
  <c r="K282" i="49"/>
  <c r="K268" i="49"/>
  <c r="N268" i="49"/>
  <c r="M268" i="49"/>
  <c r="M24" i="49"/>
  <c r="O24" i="49"/>
  <c r="N282" i="49"/>
  <c r="L38" i="49"/>
  <c r="L268" i="49"/>
  <c r="M282" i="49"/>
  <c r="L52" i="49"/>
  <c r="O254" i="49"/>
  <c r="M52" i="49"/>
  <c r="K254" i="49"/>
  <c r="N38" i="49"/>
  <c r="O268" i="49"/>
  <c r="N52" i="49"/>
  <c r="L254" i="49"/>
  <c r="O52" i="49"/>
  <c r="K52" i="49"/>
  <c r="O38" i="49"/>
  <c r="I7" i="41"/>
  <c r="I8" i="41" s="1"/>
  <c r="H7" i="41"/>
  <c r="H8" i="41" s="1"/>
  <c r="F7" i="41"/>
  <c r="F8" i="41" s="1"/>
  <c r="I67" i="74" l="1"/>
  <c r="M67" i="74"/>
  <c r="I61" i="74"/>
  <c r="M61" i="74"/>
  <c r="I75" i="74"/>
  <c r="M75" i="74"/>
  <c r="I72" i="74"/>
  <c r="M72" i="74"/>
  <c r="M211" i="49"/>
  <c r="M213" i="49" s="1" a="1"/>
  <c r="M213" i="49" s="1"/>
  <c r="O39" i="49"/>
  <c r="O41" i="49" s="1"/>
  <c r="N53" i="49"/>
  <c r="N55" i="49" s="1"/>
  <c r="N56" i="49" s="1"/>
  <c r="M53" i="49"/>
  <c r="M55" i="49" s="1"/>
  <c r="M56" i="49" s="1"/>
  <c r="L269" i="49"/>
  <c r="L271" i="49" s="1"/>
  <c r="L272" i="49" s="1"/>
  <c r="L273" i="49" s="1"/>
  <c r="M25" i="49"/>
  <c r="M27" i="49" s="1"/>
  <c r="M28" i="49" s="1"/>
  <c r="K283" i="49"/>
  <c r="K285" i="49" s="1"/>
  <c r="K286" i="49" s="1"/>
  <c r="K287" i="49" s="1"/>
  <c r="K242" i="49" s="1"/>
  <c r="K25" i="49"/>
  <c r="K27" i="49" s="1"/>
  <c r="N25" i="49"/>
  <c r="N27" i="49" s="1"/>
  <c r="L186" i="49"/>
  <c r="L187" i="49" s="1"/>
  <c r="L69" i="49" s="1"/>
  <c r="L185" i="49" a="1"/>
  <c r="L185" i="49" s="1"/>
  <c r="M116" i="49"/>
  <c r="M115" i="49" a="1"/>
  <c r="M115" i="49" s="1"/>
  <c r="K53" i="49"/>
  <c r="K55" i="49" s="1"/>
  <c r="O269" i="49"/>
  <c r="O271" i="49" s="1"/>
  <c r="O272" i="49" s="1"/>
  <c r="O273" i="49" s="1"/>
  <c r="O255" i="49"/>
  <c r="O257" i="49" s="1"/>
  <c r="O258" i="49" s="1"/>
  <c r="O259" i="49" s="1"/>
  <c r="L39" i="49"/>
  <c r="L41" i="49" s="1"/>
  <c r="M269" i="49"/>
  <c r="M271" i="49" s="1"/>
  <c r="M272" i="49" s="1"/>
  <c r="O283" i="49"/>
  <c r="O285" i="49" s="1"/>
  <c r="L25" i="49"/>
  <c r="L27" i="49" s="1"/>
  <c r="N255" i="49"/>
  <c r="N257" i="49" s="1"/>
  <c r="N258" i="49" s="1"/>
  <c r="N259" i="49" s="1"/>
  <c r="O53" i="49"/>
  <c r="O55" i="49" s="1"/>
  <c r="N39" i="49"/>
  <c r="N41" i="49" s="1"/>
  <c r="N42" i="49" s="1"/>
  <c r="L53" i="49"/>
  <c r="L55" i="49" s="1"/>
  <c r="N283" i="49"/>
  <c r="N285" i="49" s="1"/>
  <c r="N286" i="49" s="1"/>
  <c r="N269" i="49"/>
  <c r="N271" i="49" s="1"/>
  <c r="M39" i="49"/>
  <c r="M41" i="49" s="1"/>
  <c r="M42" i="49" s="1"/>
  <c r="K39" i="49"/>
  <c r="K41" i="49" s="1"/>
  <c r="K42" i="49" s="1"/>
  <c r="M186" i="49"/>
  <c r="M187" i="49" s="1"/>
  <c r="M69" i="49" s="1"/>
  <c r="M185" i="49" a="1"/>
  <c r="M185" i="49" s="1"/>
  <c r="L255" i="49"/>
  <c r="L257" i="49" s="1"/>
  <c r="K255" i="49"/>
  <c r="K257" i="49" s="1"/>
  <c r="M283" i="49"/>
  <c r="M285" i="49" s="1"/>
  <c r="O25" i="49"/>
  <c r="O27" i="49" s="1"/>
  <c r="O28" i="49" s="1"/>
  <c r="K269" i="49"/>
  <c r="K271" i="49" s="1"/>
  <c r="K272" i="49" s="1"/>
  <c r="K273" i="49" s="1"/>
  <c r="M255" i="49"/>
  <c r="M257" i="49" s="1"/>
  <c r="M258" i="49" s="1"/>
  <c r="M259" i="49" s="1"/>
  <c r="L283" i="49"/>
  <c r="L285" i="49" s="1"/>
  <c r="N214" i="49"/>
  <c r="N215" i="49" s="1"/>
  <c r="N72" i="49" s="1"/>
  <c r="N213" i="49" a="1"/>
  <c r="N213" i="49" s="1"/>
  <c r="N156" i="49"/>
  <c r="N157" i="49" s="1"/>
  <c r="N66" i="49" s="1"/>
  <c r="N155" i="49" a="1"/>
  <c r="N155" i="49" s="1"/>
  <c r="L442" i="49"/>
  <c r="L444" i="49" s="1" a="1"/>
  <c r="L444" i="49" s="1"/>
  <c r="N134" i="67"/>
  <c r="N62" i="67"/>
  <c r="G29" i="74" s="1" a="1"/>
  <c r="G29" i="74" s="1"/>
  <c r="M414" i="49"/>
  <c r="M416" i="49" s="1" a="1"/>
  <c r="M416" i="49" s="1"/>
  <c r="K414" i="49"/>
  <c r="K416" i="49" s="1" a="1"/>
  <c r="K416" i="49" s="1"/>
  <c r="M384" i="49"/>
  <c r="M386" i="49" s="1" a="1"/>
  <c r="M386" i="49" s="1"/>
  <c r="K442" i="49"/>
  <c r="K444" i="49" s="1" a="1"/>
  <c r="K444" i="49" s="1"/>
  <c r="L344" i="49"/>
  <c r="L346" i="49" s="1" a="1"/>
  <c r="L346" i="49" s="1"/>
  <c r="K113" i="49"/>
  <c r="K115" i="49" s="1" a="1"/>
  <c r="K115" i="49" s="1"/>
  <c r="J32" i="74"/>
  <c r="I32" i="74"/>
  <c r="I21" i="74"/>
  <c r="J21" i="74"/>
  <c r="I35" i="74"/>
  <c r="J35" i="74"/>
  <c r="I20" i="74"/>
  <c r="J20" i="74"/>
  <c r="O384" i="49"/>
  <c r="O386" i="49" s="1" a="1"/>
  <c r="O386" i="49" s="1"/>
  <c r="K384" i="49"/>
  <c r="O442" i="49"/>
  <c r="O444" i="49" s="1" a="1"/>
  <c r="O444" i="49" s="1"/>
  <c r="L384" i="49"/>
  <c r="N344" i="49"/>
  <c r="N346" i="49" s="1" a="1"/>
  <c r="N346" i="49" s="1"/>
  <c r="N442" i="49"/>
  <c r="N444" i="49" s="1" a="1"/>
  <c r="N444" i="49" s="1"/>
  <c r="K344" i="49"/>
  <c r="K346" i="49" s="1" a="1"/>
  <c r="K346" i="49" s="1"/>
  <c r="N414" i="49"/>
  <c r="N416" i="49" s="1" a="1"/>
  <c r="N416" i="49" s="1"/>
  <c r="O344" i="49"/>
  <c r="O346" i="49" s="1" a="1"/>
  <c r="O346" i="49" s="1"/>
  <c r="L414" i="49"/>
  <c r="L416" i="49" s="1" a="1"/>
  <c r="L416" i="49" s="1"/>
  <c r="M344" i="49"/>
  <c r="M346" i="49" s="1" a="1"/>
  <c r="M346" i="49" s="1"/>
  <c r="N384" i="49"/>
  <c r="N386" i="49" s="1" a="1"/>
  <c r="N386" i="49" s="1"/>
  <c r="O211" i="49"/>
  <c r="O213" i="49" s="1" a="1"/>
  <c r="O213" i="49" s="1"/>
  <c r="O113" i="49"/>
  <c r="O153" i="49"/>
  <c r="O155" i="49" s="1" a="1"/>
  <c r="O155" i="49" s="1"/>
  <c r="L214" i="49"/>
  <c r="L215" i="49" s="1"/>
  <c r="L72" i="49" s="1"/>
  <c r="O417" i="49"/>
  <c r="O418" i="49" s="1"/>
  <c r="L146" i="63" s="1" a="1"/>
  <c r="L146" i="63" s="1"/>
  <c r="L459" i="49"/>
  <c r="L460" i="49" s="1"/>
  <c r="I149" i="63" s="1" a="1"/>
  <c r="I149" i="63" s="1"/>
  <c r="O459" i="49"/>
  <c r="O460" i="49" s="1"/>
  <c r="L149" i="63" s="1" a="1"/>
  <c r="L149" i="63" s="1"/>
  <c r="N459" i="49"/>
  <c r="N460" i="49" s="1"/>
  <c r="K149" i="63" s="1" a="1"/>
  <c r="K149" i="63" s="1"/>
  <c r="M459" i="49"/>
  <c r="M460" i="49" s="1"/>
  <c r="J149" i="63" s="1" a="1"/>
  <c r="J149" i="63" s="1"/>
  <c r="K459" i="49"/>
  <c r="K460" i="49" s="1"/>
  <c r="H149" i="63" s="1" a="1"/>
  <c r="H149" i="63" s="1"/>
  <c r="K359" i="49"/>
  <c r="K361" i="49" s="1" a="1"/>
  <c r="K361" i="49" s="1"/>
  <c r="O228" i="49"/>
  <c r="O229" i="49" s="1"/>
  <c r="O73" i="49" s="1"/>
  <c r="M131" i="49"/>
  <c r="M132" i="49" s="1"/>
  <c r="M64" i="49" s="1"/>
  <c r="K228" i="49"/>
  <c r="K229" i="49" s="1"/>
  <c r="K73" i="49" s="1"/>
  <c r="L171" i="49"/>
  <c r="L172" i="49" s="1"/>
  <c r="L67" i="49" s="1"/>
  <c r="O200" i="49"/>
  <c r="O201" i="49" s="1"/>
  <c r="O70" i="49" s="1"/>
  <c r="L131" i="49"/>
  <c r="L132" i="49" s="1"/>
  <c r="L64" i="49" s="1"/>
  <c r="N228" i="49"/>
  <c r="N229" i="49" s="1"/>
  <c r="N73" i="49" s="1"/>
  <c r="L228" i="49"/>
  <c r="L229" i="49" s="1"/>
  <c r="L73" i="49" s="1"/>
  <c r="M228" i="49"/>
  <c r="M229" i="49" s="1"/>
  <c r="M73" i="49" s="1"/>
  <c r="N171" i="49"/>
  <c r="N172" i="49" s="1"/>
  <c r="N67" i="49" s="1"/>
  <c r="K200" i="49"/>
  <c r="K201" i="49" s="1"/>
  <c r="K70" i="49" s="1"/>
  <c r="N200" i="49"/>
  <c r="N201" i="49" s="1"/>
  <c r="N70" i="49" s="1"/>
  <c r="L200" i="49"/>
  <c r="L201" i="49" s="1"/>
  <c r="L70" i="49" s="1"/>
  <c r="M200" i="49"/>
  <c r="M201" i="49" s="1"/>
  <c r="M70" i="49" s="1"/>
  <c r="K128" i="49"/>
  <c r="K214" i="49"/>
  <c r="K215" i="49" s="1"/>
  <c r="K72" i="49" s="1"/>
  <c r="K399" i="49"/>
  <c r="K401" i="49" s="1" a="1"/>
  <c r="K401" i="49" s="1"/>
  <c r="M168" i="49"/>
  <c r="M170" i="49" s="1" a="1"/>
  <c r="M170" i="49" s="1"/>
  <c r="O168" i="49"/>
  <c r="O170" i="49" s="1" a="1"/>
  <c r="O170" i="49" s="1"/>
  <c r="N399" i="49"/>
  <c r="N401" i="49" s="1" a="1"/>
  <c r="N401" i="49" s="1"/>
  <c r="L359" i="49"/>
  <c r="L361" i="49" s="1" a="1"/>
  <c r="L361" i="49" s="1"/>
  <c r="O359" i="49"/>
  <c r="O361" i="49" s="1" a="1"/>
  <c r="O361" i="49" s="1"/>
  <c r="O399" i="49"/>
  <c r="O401" i="49" s="1" a="1"/>
  <c r="O401" i="49" s="1"/>
  <c r="O186" i="49"/>
  <c r="O187" i="49" s="1"/>
  <c r="N116" i="49"/>
  <c r="N117" i="49" s="1"/>
  <c r="N63" i="49" s="1"/>
  <c r="K156" i="49"/>
  <c r="K157" i="49" s="1"/>
  <c r="K66" i="49" s="1"/>
  <c r="M156" i="49"/>
  <c r="M157" i="49" s="1"/>
  <c r="K168" i="49"/>
  <c r="K170" i="49" s="1" a="1"/>
  <c r="K170" i="49" s="1"/>
  <c r="N186" i="49"/>
  <c r="N187" i="49" s="1"/>
  <c r="N69" i="49" s="1"/>
  <c r="M214" i="49"/>
  <c r="M215" i="49" s="1"/>
  <c r="M72" i="49" s="1"/>
  <c r="L156" i="49"/>
  <c r="L157" i="49" s="1"/>
  <c r="L66" i="49" s="1"/>
  <c r="K116" i="49"/>
  <c r="K117" i="49" s="1"/>
  <c r="H11" i="63" s="1"/>
  <c r="N128" i="49"/>
  <c r="N130" i="49" s="1" a="1"/>
  <c r="N130" i="49" s="1"/>
  <c r="K186" i="49"/>
  <c r="K187" i="49" s="1"/>
  <c r="K69" i="49" s="1"/>
  <c r="L116" i="49"/>
  <c r="L117" i="49" s="1"/>
  <c r="L63" i="49" s="1"/>
  <c r="M117" i="49"/>
  <c r="M63" i="49" s="1"/>
  <c r="M399" i="49"/>
  <c r="M401" i="49" s="1" a="1"/>
  <c r="M401" i="49" s="1"/>
  <c r="M359" i="49"/>
  <c r="M361" i="49" s="1" a="1"/>
  <c r="M361" i="49" s="1"/>
  <c r="L399" i="49"/>
  <c r="L401" i="49" s="1" a="1"/>
  <c r="L401" i="49" s="1"/>
  <c r="N359" i="49"/>
  <c r="N361" i="49" s="1" a="1"/>
  <c r="N361" i="49" s="1"/>
  <c r="M445" i="49"/>
  <c r="M446" i="49" s="1"/>
  <c r="J148" i="63" s="1" a="1"/>
  <c r="J148" i="63" s="1"/>
  <c r="I16" i="63" a="1"/>
  <c r="I16" i="63" s="1"/>
  <c r="K18" i="63" a="1"/>
  <c r="K18" i="63" s="1"/>
  <c r="E2" i="44"/>
  <c r="D2" i="44"/>
  <c r="K47" i="53"/>
  <c r="L44" i="53"/>
  <c r="D44" i="53"/>
  <c r="C42" i="53"/>
  <c r="C5" i="53"/>
  <c r="B3" i="53"/>
  <c r="B5" i="53" s="1"/>
  <c r="C2" i="53"/>
  <c r="E12" i="48"/>
  <c r="C5" i="52"/>
  <c r="K47" i="52"/>
  <c r="P50" i="52"/>
  <c r="Q50" i="52" s="1"/>
  <c r="C42" i="52"/>
  <c r="C5" i="51"/>
  <c r="H50" i="52"/>
  <c r="I50" i="52" s="1"/>
  <c r="E138" i="42"/>
  <c r="E139" i="42"/>
  <c r="E140" i="42"/>
  <c r="E141" i="42"/>
  <c r="E142" i="42"/>
  <c r="E143" i="42"/>
  <c r="E144" i="42"/>
  <c r="E145" i="42"/>
  <c r="E146" i="42"/>
  <c r="E147" i="42"/>
  <c r="E148" i="42"/>
  <c r="E149" i="42"/>
  <c r="E150" i="42"/>
  <c r="E151" i="42"/>
  <c r="E152" i="42"/>
  <c r="E153" i="42"/>
  <c r="E154" i="42"/>
  <c r="E137" i="42"/>
  <c r="D21" i="50"/>
  <c r="D7" i="50"/>
  <c r="C19" i="50"/>
  <c r="C5" i="50"/>
  <c r="C78" i="51"/>
  <c r="C388" i="44"/>
  <c r="C381" i="44"/>
  <c r="C373" i="44"/>
  <c r="C366" i="44"/>
  <c r="C359" i="44"/>
  <c r="C350" i="44"/>
  <c r="C343" i="44"/>
  <c r="C336" i="44"/>
  <c r="C328" i="44"/>
  <c r="C321" i="44"/>
  <c r="C314" i="44"/>
  <c r="N71" i="49" l="1"/>
  <c r="N76" i="49" s="1"/>
  <c r="H50" i="53"/>
  <c r="I50" i="53" s="1"/>
  <c r="C35" i="53"/>
  <c r="C38" i="53"/>
  <c r="F71" i="53"/>
  <c r="D71" i="53"/>
  <c r="G44" i="53"/>
  <c r="H44" i="53" s="1"/>
  <c r="G45" i="53"/>
  <c r="H45" i="53" s="1"/>
  <c r="E71" i="53"/>
  <c r="G71" i="53"/>
  <c r="H71" i="53"/>
  <c r="P50" i="53"/>
  <c r="Q50" i="53" s="1"/>
  <c r="C37" i="53"/>
  <c r="C34" i="53"/>
  <c r="N71" i="53"/>
  <c r="O45" i="53"/>
  <c r="P45" i="53" s="1"/>
  <c r="L71" i="53"/>
  <c r="M71" i="53"/>
  <c r="O71" i="53"/>
  <c r="O44" i="53"/>
  <c r="P44" i="53" s="1"/>
  <c r="P71" i="53"/>
  <c r="L50" i="52"/>
  <c r="L49" i="52"/>
  <c r="L47" i="52"/>
  <c r="D50" i="53"/>
  <c r="D47" i="53"/>
  <c r="D49" i="52"/>
  <c r="L49" i="53"/>
  <c r="D47" i="52"/>
  <c r="L50" i="53"/>
  <c r="D50" i="52"/>
  <c r="L47" i="53"/>
  <c r="D49" i="53"/>
  <c r="L445" i="49"/>
  <c r="L446" i="49" s="1"/>
  <c r="I148" i="63" s="1" a="1"/>
  <c r="I148" i="63" s="1"/>
  <c r="I161" i="63" s="1" a="1"/>
  <c r="I161" i="63" s="1"/>
  <c r="L347" i="49"/>
  <c r="N272" i="49"/>
  <c r="N273" i="49" s="1"/>
  <c r="N241" i="49" s="1"/>
  <c r="M286" i="49"/>
  <c r="M287" i="49" s="1"/>
  <c r="M242" i="49" s="1"/>
  <c r="L68" i="49"/>
  <c r="L75" i="49" s="1"/>
  <c r="J16" i="63" a="1"/>
  <c r="J16" i="63" s="1"/>
  <c r="N65" i="49"/>
  <c r="N28" i="49"/>
  <c r="N29" i="49" s="1"/>
  <c r="N10" i="49" s="1"/>
  <c r="L286" i="49"/>
  <c r="L287" i="49" s="1"/>
  <c r="L242" i="49" s="1"/>
  <c r="K131" i="49"/>
  <c r="K130" i="49" a="1"/>
  <c r="K130" i="49" s="1"/>
  <c r="K13" i="63" a="1"/>
  <c r="K13" i="63" s="1"/>
  <c r="L28" i="49"/>
  <c r="L29" i="49" s="1"/>
  <c r="L10" i="49" s="1"/>
  <c r="O116" i="49"/>
  <c r="O117" i="49" s="1"/>
  <c r="O63" i="49" s="1"/>
  <c r="O115" i="49" a="1"/>
  <c r="O115" i="49" s="1"/>
  <c r="K386" i="49" a="1"/>
  <c r="K386" i="49" s="1"/>
  <c r="K387" i="49" s="1"/>
  <c r="K388" i="49" s="1"/>
  <c r="H143" i="63" s="1"/>
  <c r="L386" i="49" a="1"/>
  <c r="L386" i="49" s="1"/>
  <c r="L387" i="49" s="1"/>
  <c r="L388" i="49" s="1"/>
  <c r="I143" i="63" s="1" a="1"/>
  <c r="I143" i="63" s="1"/>
  <c r="K417" i="49"/>
  <c r="K418" i="49" s="1"/>
  <c r="H146" i="63" s="1" a="1"/>
  <c r="H146" i="63" s="1"/>
  <c r="O387" i="49"/>
  <c r="O388" i="49" s="1"/>
  <c r="L143" i="63" s="1" a="1"/>
  <c r="L143" i="63" s="1"/>
  <c r="M417" i="49"/>
  <c r="M418" i="49" s="1"/>
  <c r="J146" i="63" s="1" a="1"/>
  <c r="J146" i="63" s="1"/>
  <c r="E36" i="63"/>
  <c r="E166" i="63"/>
  <c r="M367" i="49" a="1"/>
  <c r="M367" i="49" s="1"/>
  <c r="M369" i="49" a="1"/>
  <c r="M369" i="49" s="1"/>
  <c r="L367" i="49" a="1"/>
  <c r="L367" i="49" s="1"/>
  <c r="K367" i="49" a="1"/>
  <c r="K367" i="49" s="1"/>
  <c r="N367" i="49" a="1"/>
  <c r="N367" i="49" s="1"/>
  <c r="O367" i="49" a="1"/>
  <c r="O367" i="49" s="1"/>
  <c r="N369" i="49" a="1"/>
  <c r="N369" i="49" s="1"/>
  <c r="K369" i="49" a="1"/>
  <c r="K369" i="49" s="1"/>
  <c r="E34" i="63"/>
  <c r="O369" i="49" a="1"/>
  <c r="O369" i="49" s="1"/>
  <c r="L369" i="49" a="1"/>
  <c r="L369" i="49" s="1"/>
  <c r="K347" i="49"/>
  <c r="K348" i="49" s="1"/>
  <c r="H141" i="63" s="1"/>
  <c r="G69" i="74" a="1"/>
  <c r="G69" i="74" s="1"/>
  <c r="L417" i="49"/>
  <c r="L418" i="49" s="1"/>
  <c r="I146" i="63" s="1" a="1"/>
  <c r="I146" i="63" s="1"/>
  <c r="N387" i="49"/>
  <c r="N388" i="49" s="1"/>
  <c r="K143" i="63" s="1" a="1"/>
  <c r="K143" i="63" s="1"/>
  <c r="N417" i="49"/>
  <c r="N418" i="49" s="1"/>
  <c r="K146" i="63" s="1" a="1"/>
  <c r="K146" i="63" s="1"/>
  <c r="O347" i="49"/>
  <c r="O348" i="49" s="1"/>
  <c r="L141" i="63" s="1" a="1"/>
  <c r="L141" i="63" s="1"/>
  <c r="M347" i="49"/>
  <c r="M348" i="49" s="1"/>
  <c r="J141" i="63" s="1" a="1"/>
  <c r="J141" i="63" s="1"/>
  <c r="N445" i="49"/>
  <c r="N446" i="49" s="1"/>
  <c r="K148" i="63" s="1" a="1"/>
  <c r="K148" i="63" s="1"/>
  <c r="K161" i="63" s="1" a="1"/>
  <c r="K161" i="63" s="1"/>
  <c r="N347" i="49"/>
  <c r="N348" i="49" s="1"/>
  <c r="K141" i="63" s="1" a="1"/>
  <c r="K141" i="63" s="1"/>
  <c r="O214" i="49"/>
  <c r="O215" i="49" s="1"/>
  <c r="O72" i="49" s="1"/>
  <c r="O71" i="49" s="1"/>
  <c r="O76" i="49" s="1"/>
  <c r="M71" i="49"/>
  <c r="M76" i="49" s="1"/>
  <c r="O156" i="49"/>
  <c r="O157" i="49" s="1"/>
  <c r="L13" i="63" s="1" a="1"/>
  <c r="L13" i="63" s="1"/>
  <c r="L71" i="49"/>
  <c r="L76" i="49" s="1"/>
  <c r="I18" i="63" a="1"/>
  <c r="I18" i="63" s="1"/>
  <c r="P49" i="52"/>
  <c r="Q49" i="52" s="1"/>
  <c r="P49" i="53"/>
  <c r="Q49" i="53" s="1"/>
  <c r="H49" i="52"/>
  <c r="I49" i="52" s="1"/>
  <c r="H49" i="53"/>
  <c r="I49" i="53" s="1"/>
  <c r="K136" i="49" a="1"/>
  <c r="K136" i="49" s="1"/>
  <c r="P100" i="53" a="1"/>
  <c r="P100" i="53" s="1"/>
  <c r="N100" i="53" a="1"/>
  <c r="N100" i="53" s="1"/>
  <c r="M100" i="53" a="1"/>
  <c r="M100" i="53" s="1"/>
  <c r="P101" i="53" a="1"/>
  <c r="P101" i="53" s="1"/>
  <c r="L102" i="53" a="1"/>
  <c r="L102" i="53" s="1"/>
  <c r="O100" i="53" a="1"/>
  <c r="O100" i="53" s="1"/>
  <c r="M101" i="53" a="1"/>
  <c r="M101" i="53" s="1"/>
  <c r="O101" i="53" a="1"/>
  <c r="O101" i="53" s="1"/>
  <c r="N101" i="53" a="1"/>
  <c r="N101" i="53" s="1"/>
  <c r="P92" i="53"/>
  <c r="N94" i="53"/>
  <c r="M94" i="53"/>
  <c r="L94" i="53"/>
  <c r="M93" i="53"/>
  <c r="M92" i="53"/>
  <c r="N92" i="53"/>
  <c r="P94" i="53"/>
  <c r="O92" i="53"/>
  <c r="N78" i="53"/>
  <c r="O93" i="53"/>
  <c r="O78" i="53"/>
  <c r="L92" i="53"/>
  <c r="O94" i="53"/>
  <c r="M78" i="53"/>
  <c r="L78" i="53"/>
  <c r="P78" i="53"/>
  <c r="L93" i="53"/>
  <c r="N93" i="53"/>
  <c r="P93" i="53"/>
  <c r="O44" i="52"/>
  <c r="P44" i="52" s="1"/>
  <c r="O45" i="52"/>
  <c r="P45" i="52" s="1"/>
  <c r="O101" i="52" a="1"/>
  <c r="O101" i="52" s="1"/>
  <c r="N101" i="52" a="1"/>
  <c r="N101" i="52" s="1"/>
  <c r="P100" i="52" a="1"/>
  <c r="P100" i="52" s="1"/>
  <c r="P101" i="52" a="1"/>
  <c r="P101" i="52" s="1"/>
  <c r="N100" i="52" a="1"/>
  <c r="N100" i="52" s="1"/>
  <c r="M100" i="52" a="1"/>
  <c r="M100" i="52" s="1"/>
  <c r="M101" i="52" a="1"/>
  <c r="M101" i="52" s="1"/>
  <c r="L102" i="52" a="1"/>
  <c r="L102" i="52" s="1"/>
  <c r="O100" i="52" a="1"/>
  <c r="O100" i="52" s="1"/>
  <c r="M94" i="52"/>
  <c r="P78" i="52"/>
  <c r="O78" i="52"/>
  <c r="M92" i="52"/>
  <c r="N92" i="52"/>
  <c r="L94" i="52"/>
  <c r="L92" i="52"/>
  <c r="O94" i="52"/>
  <c r="P92" i="52"/>
  <c r="N94" i="52"/>
  <c r="N93" i="52"/>
  <c r="O92" i="52"/>
  <c r="P94" i="52"/>
  <c r="M93" i="52"/>
  <c r="M78" i="52"/>
  <c r="L93" i="52"/>
  <c r="O93" i="52"/>
  <c r="P93" i="52"/>
  <c r="L78" i="52"/>
  <c r="N78" i="52"/>
  <c r="L56" i="49"/>
  <c r="L57" i="49" s="1"/>
  <c r="L12" i="49" s="1"/>
  <c r="N43" i="49"/>
  <c r="N11" i="49" s="1"/>
  <c r="M57" i="49"/>
  <c r="M12" i="49" s="1"/>
  <c r="M29" i="49"/>
  <c r="M10" i="49" s="1"/>
  <c r="K43" i="49"/>
  <c r="K11" i="49" s="1"/>
  <c r="M43" i="49"/>
  <c r="M11" i="49" s="1"/>
  <c r="O29" i="49"/>
  <c r="O10" i="49" s="1"/>
  <c r="N57" i="49"/>
  <c r="N12" i="49" s="1"/>
  <c r="E164" i="63"/>
  <c r="J161" i="63" a="1"/>
  <c r="J161" i="63" s="1"/>
  <c r="K258" i="49"/>
  <c r="K259" i="49" s="1"/>
  <c r="K240" i="49" s="1"/>
  <c r="N240" i="49"/>
  <c r="K184" i="63" a="1"/>
  <c r="K184" i="63" s="1"/>
  <c r="K188" i="63" s="1"/>
  <c r="O240" i="49"/>
  <c r="L184" i="63" a="1"/>
  <c r="L184" i="63" s="1"/>
  <c r="L188" i="63" s="1"/>
  <c r="K241" i="49"/>
  <c r="H185" i="63" a="1"/>
  <c r="H185" i="63" s="1"/>
  <c r="H189" i="63" s="1"/>
  <c r="L241" i="49"/>
  <c r="I185" i="63" a="1"/>
  <c r="I185" i="63" s="1"/>
  <c r="I189" i="63" s="1"/>
  <c r="O241" i="49"/>
  <c r="L185" i="63" a="1"/>
  <c r="L185" i="63" s="1"/>
  <c r="L189" i="63" s="1"/>
  <c r="M240" i="49"/>
  <c r="J184" i="63" a="1"/>
  <c r="J184" i="63" s="1"/>
  <c r="J188" i="63" s="1"/>
  <c r="K304" i="49"/>
  <c r="N362" i="49"/>
  <c r="N363" i="49" s="1"/>
  <c r="K142" i="63" s="1" a="1"/>
  <c r="K142" i="63" s="1"/>
  <c r="L402" i="49"/>
  <c r="L403" i="49" s="1"/>
  <c r="I144" i="63" s="1" a="1"/>
  <c r="I144" i="63" s="1"/>
  <c r="K402" i="49"/>
  <c r="K403" i="49" s="1"/>
  <c r="H144" i="63" s="1" a="1"/>
  <c r="H144" i="63" s="1"/>
  <c r="M362" i="49"/>
  <c r="M363" i="49" s="1"/>
  <c r="J142" i="63" s="1" a="1"/>
  <c r="J142" i="63" s="1"/>
  <c r="O402" i="49"/>
  <c r="O403" i="49" s="1"/>
  <c r="L144" i="63" s="1" a="1"/>
  <c r="L144" i="63" s="1"/>
  <c r="O362" i="49"/>
  <c r="O363" i="49" s="1"/>
  <c r="L142" i="63" s="1" a="1"/>
  <c r="L142" i="63" s="1"/>
  <c r="K362" i="49"/>
  <c r="K363" i="49" s="1"/>
  <c r="H142" i="63" s="1" a="1"/>
  <c r="H142" i="63" s="1"/>
  <c r="L362" i="49"/>
  <c r="L363" i="49" s="1"/>
  <c r="I142" i="63" s="1" a="1"/>
  <c r="I142" i="63" s="1"/>
  <c r="N402" i="49"/>
  <c r="N403" i="49" s="1"/>
  <c r="K144" i="63" s="1" a="1"/>
  <c r="K144" i="63" s="1"/>
  <c r="O136" i="49" a="1"/>
  <c r="O136" i="49" s="1"/>
  <c r="O138" i="49" a="1"/>
  <c r="O138" i="49" s="1"/>
  <c r="L138" i="49" a="1"/>
  <c r="L138" i="49" s="1"/>
  <c r="K138" i="49" a="1"/>
  <c r="K138" i="49" s="1"/>
  <c r="L136" i="49" a="1"/>
  <c r="L136" i="49" s="1"/>
  <c r="N136" i="49" a="1"/>
  <c r="N136" i="49" s="1"/>
  <c r="M138" i="49" a="1"/>
  <c r="M138" i="49" s="1"/>
  <c r="M136" i="49" a="1"/>
  <c r="M136" i="49" s="1"/>
  <c r="N138" i="49" a="1"/>
  <c r="N138" i="49" s="1"/>
  <c r="L65" i="49"/>
  <c r="K71" i="49"/>
  <c r="K76" i="49" s="1"/>
  <c r="M62" i="49"/>
  <c r="O171" i="49"/>
  <c r="O172" i="49" s="1"/>
  <c r="O67" i="49" s="1"/>
  <c r="M171" i="49"/>
  <c r="M172" i="49" s="1"/>
  <c r="M67" i="49" s="1"/>
  <c r="L62" i="49"/>
  <c r="M68" i="49"/>
  <c r="M75" i="49" s="1"/>
  <c r="N68" i="49"/>
  <c r="N75" i="49" s="1"/>
  <c r="O131" i="49"/>
  <c r="O132" i="49" s="1"/>
  <c r="O64" i="49" s="1"/>
  <c r="N131" i="49"/>
  <c r="N132" i="49" s="1"/>
  <c r="N64" i="49" s="1"/>
  <c r="N62" i="49" s="1"/>
  <c r="H18" i="63" a="1"/>
  <c r="H18" i="63" s="1"/>
  <c r="O69" i="49"/>
  <c r="O68" i="49" s="1"/>
  <c r="O75" i="49" s="1"/>
  <c r="L16" i="63" a="1"/>
  <c r="L16" i="63" s="1"/>
  <c r="M402" i="49"/>
  <c r="M403" i="49" s="1"/>
  <c r="J144" i="63" s="1" a="1"/>
  <c r="J144" i="63" s="1"/>
  <c r="J11" i="63" a="1"/>
  <c r="J11" i="63" s="1"/>
  <c r="K63" i="49"/>
  <c r="M66" i="49"/>
  <c r="J13" i="63" a="1"/>
  <c r="J13" i="63" s="1"/>
  <c r="K171" i="49"/>
  <c r="K172" i="49" s="1"/>
  <c r="K67" i="49" s="1"/>
  <c r="K132" i="49"/>
  <c r="K64" i="49" s="1"/>
  <c r="K11" i="63" a="1"/>
  <c r="K11" i="63" s="1"/>
  <c r="J18" i="63" a="1"/>
  <c r="J18" i="63" s="1"/>
  <c r="K16" i="63" a="1"/>
  <c r="K16" i="63" s="1"/>
  <c r="I13" i="63" a="1"/>
  <c r="I13" i="63" s="1"/>
  <c r="H16" i="63" a="1"/>
  <c r="H16" i="63" s="1"/>
  <c r="K445" i="49"/>
  <c r="K446" i="49" s="1"/>
  <c r="H148" i="63" s="1" a="1"/>
  <c r="H148" i="63" s="1"/>
  <c r="O445" i="49"/>
  <c r="O446" i="49" s="1"/>
  <c r="L148" i="63" s="1" a="1"/>
  <c r="L148" i="63" s="1"/>
  <c r="M387" i="49"/>
  <c r="M388" i="49" s="1"/>
  <c r="J143" i="63" s="1" a="1"/>
  <c r="J143" i="63" s="1"/>
  <c r="L348" i="49"/>
  <c r="I141" i="63" s="1" a="1"/>
  <c r="I141" i="63" s="1"/>
  <c r="L11" i="63" a="1"/>
  <c r="L11" i="63" s="1"/>
  <c r="I11" i="63" a="1"/>
  <c r="I11" i="63" s="1"/>
  <c r="M303" i="49"/>
  <c r="L42" i="49"/>
  <c r="L43" i="49" s="1"/>
  <c r="L11" i="49" s="1"/>
  <c r="M273" i="49"/>
  <c r="O42" i="49"/>
  <c r="L258" i="49"/>
  <c r="O286" i="49"/>
  <c r="O287" i="49" s="1"/>
  <c r="O242" i="49" s="1"/>
  <c r="N287" i="49"/>
  <c r="N242" i="49" s="1"/>
  <c r="O56" i="49"/>
  <c r="K56" i="49"/>
  <c r="O300" i="49"/>
  <c r="B42" i="53"/>
  <c r="B3" i="52"/>
  <c r="C2" i="52"/>
  <c r="O297" i="49" l="1"/>
  <c r="K185" i="63" a="1"/>
  <c r="K185" i="63" s="1"/>
  <c r="K189" i="63" s="1"/>
  <c r="L159" i="63" a="1"/>
  <c r="L159" i="63" s="1"/>
  <c r="U104" i="51" s="1" a="1"/>
  <c r="U104" i="51" s="1"/>
  <c r="S99" i="67" s="1" a="1"/>
  <c r="S99" i="67" s="1"/>
  <c r="O62" i="49"/>
  <c r="H159" i="63" a="1"/>
  <c r="H159" i="63" s="1"/>
  <c r="Q104" i="51" s="1" a="1"/>
  <c r="Q104" i="51" s="1"/>
  <c r="O99" i="67" s="1" a="1"/>
  <c r="O99" i="67" s="1"/>
  <c r="I159" i="63" a="1"/>
  <c r="I159" i="63" s="1"/>
  <c r="K159" i="63" a="1"/>
  <c r="K159" i="63" s="1"/>
  <c r="T104" i="51" s="1" a="1"/>
  <c r="T104" i="51" s="1"/>
  <c r="P72" i="49"/>
  <c r="Q72" i="49" s="1"/>
  <c r="O66" i="49"/>
  <c r="O65" i="49" s="1"/>
  <c r="L18" i="63" a="1"/>
  <c r="L18" i="63" s="1"/>
  <c r="K370" i="49"/>
  <c r="K372" i="49" s="1" a="1"/>
  <c r="K372" i="49" s="1"/>
  <c r="H47" i="53"/>
  <c r="I51" i="52"/>
  <c r="K55" i="63" a="1"/>
  <c r="K55" i="63" s="1"/>
  <c r="I51" i="53"/>
  <c r="I55" i="63" a="1"/>
  <c r="I55" i="63" s="1"/>
  <c r="I54" i="63" a="1"/>
  <c r="I54" i="63" s="1"/>
  <c r="L54" i="63" a="1"/>
  <c r="L54" i="63" s="1"/>
  <c r="J55" i="63" a="1"/>
  <c r="J55" i="63" s="1"/>
  <c r="H55" i="63" a="1"/>
  <c r="H55" i="63" s="1"/>
  <c r="K54" i="63" a="1"/>
  <c r="K54" i="63" s="1"/>
  <c r="J54" i="63" a="1"/>
  <c r="J54" i="63" s="1"/>
  <c r="P47" i="52"/>
  <c r="P47" i="53"/>
  <c r="Q51" i="53"/>
  <c r="Q51" i="52"/>
  <c r="H47" i="52"/>
  <c r="L205" i="63" a="1"/>
  <c r="L205" i="63" s="1"/>
  <c r="L241" i="63" s="1"/>
  <c r="L215" i="63" a="1"/>
  <c r="L215" i="63" s="1"/>
  <c r="L251" i="63" s="1"/>
  <c r="L212" i="63" a="1"/>
  <c r="L212" i="63" s="1"/>
  <c r="L248" i="63" s="1"/>
  <c r="L211" i="63" a="1"/>
  <c r="L211" i="63" s="1"/>
  <c r="L247" i="63" s="1"/>
  <c r="L214" i="63" a="1"/>
  <c r="L214" i="63" s="1"/>
  <c r="L250" i="63" s="1"/>
  <c r="L213" i="63" a="1"/>
  <c r="L213" i="63" s="1"/>
  <c r="L249" i="63" s="1"/>
  <c r="L206" i="63" a="1"/>
  <c r="L206" i="63" s="1"/>
  <c r="L242" i="63" s="1"/>
  <c r="K204" i="63" a="1"/>
  <c r="K204" i="63" s="1"/>
  <c r="K240" i="63" s="1"/>
  <c r="K200" i="63" a="1"/>
  <c r="K200" i="63" s="1"/>
  <c r="K236" i="63" s="1"/>
  <c r="K203" i="63" a="1"/>
  <c r="K203" i="63" s="1"/>
  <c r="K239" i="63" s="1"/>
  <c r="K201" i="63" a="1"/>
  <c r="K201" i="63" s="1"/>
  <c r="K237" i="63" s="1"/>
  <c r="K194" i="63" a="1"/>
  <c r="K194" i="63" s="1"/>
  <c r="K230" i="63" s="1"/>
  <c r="K202" i="63" a="1"/>
  <c r="K202" i="63" s="1"/>
  <c r="K238" i="63" s="1"/>
  <c r="K195" i="63" a="1"/>
  <c r="K195" i="63" s="1"/>
  <c r="K231" i="63" s="1"/>
  <c r="H207" i="63" a="1"/>
  <c r="H207" i="63" s="1"/>
  <c r="H243" i="63" s="1"/>
  <c r="H210" i="63" a="1"/>
  <c r="H210" i="63" s="1"/>
  <c r="H246" i="63" s="1"/>
  <c r="H212" i="63" a="1"/>
  <c r="H212" i="63" s="1"/>
  <c r="H248" i="63" s="1"/>
  <c r="H214" i="63" a="1"/>
  <c r="H214" i="63" s="1"/>
  <c r="H250" i="63" s="1"/>
  <c r="H208" i="63" a="1"/>
  <c r="H208" i="63" s="1"/>
  <c r="H244" i="63" s="1"/>
  <c r="H209" i="63" a="1"/>
  <c r="H209" i="63" s="1"/>
  <c r="H245" i="63" s="1"/>
  <c r="H213" i="63" a="1"/>
  <c r="H213" i="63" s="1"/>
  <c r="H249" i="63" s="1"/>
  <c r="H215" i="63" a="1"/>
  <c r="H215" i="63" s="1"/>
  <c r="H251" i="63" s="1"/>
  <c r="H211" i="63" a="1"/>
  <c r="H211" i="63" s="1"/>
  <c r="H247" i="63" s="1"/>
  <c r="I206" i="63" a="1"/>
  <c r="I206" i="63" s="1"/>
  <c r="I242" i="63" s="1"/>
  <c r="I211" i="63" a="1"/>
  <c r="I211" i="63" s="1"/>
  <c r="I247" i="63" s="1"/>
  <c r="I214" i="63" a="1"/>
  <c r="I214" i="63" s="1"/>
  <c r="I250" i="63" s="1"/>
  <c r="I215" i="63" a="1"/>
  <c r="I215" i="63" s="1"/>
  <c r="I251" i="63" s="1"/>
  <c r="I212" i="63" a="1"/>
  <c r="I212" i="63" s="1"/>
  <c r="I248" i="63" s="1"/>
  <c r="I205" i="63" a="1"/>
  <c r="I205" i="63" s="1"/>
  <c r="I241" i="63" s="1"/>
  <c r="I213" i="63" a="1"/>
  <c r="I213" i="63" s="1"/>
  <c r="I249" i="63" s="1"/>
  <c r="J194" i="63" a="1"/>
  <c r="J194" i="63" s="1"/>
  <c r="J230" i="63" s="1"/>
  <c r="J201" i="63" a="1"/>
  <c r="J201" i="63" s="1"/>
  <c r="J237" i="63" s="1"/>
  <c r="J202" i="63" a="1"/>
  <c r="J202" i="63" s="1"/>
  <c r="J238" i="63" s="1"/>
  <c r="J195" i="63" a="1"/>
  <c r="J195" i="63" s="1"/>
  <c r="J231" i="63" s="1"/>
  <c r="J203" i="63" a="1"/>
  <c r="J203" i="63" s="1"/>
  <c r="J239" i="63" s="1"/>
  <c r="J204" i="63" a="1"/>
  <c r="J204" i="63" s="1"/>
  <c r="J240" i="63" s="1"/>
  <c r="J200" i="63" a="1"/>
  <c r="J200" i="63" s="1"/>
  <c r="J236" i="63" s="1"/>
  <c r="K212" i="63" a="1"/>
  <c r="K212" i="63" s="1"/>
  <c r="K248" i="63" s="1"/>
  <c r="K213" i="63" a="1"/>
  <c r="K213" i="63" s="1"/>
  <c r="K249" i="63" s="1"/>
  <c r="K211" i="63" a="1"/>
  <c r="K211" i="63" s="1"/>
  <c r="K247" i="63" s="1"/>
  <c r="K214" i="63" a="1"/>
  <c r="K214" i="63" s="1"/>
  <c r="K250" i="63" s="1"/>
  <c r="K206" i="63" a="1"/>
  <c r="K206" i="63" s="1"/>
  <c r="K242" i="63" s="1"/>
  <c r="K205" i="63" a="1"/>
  <c r="K205" i="63" s="1"/>
  <c r="K241" i="63" s="1"/>
  <c r="K215" i="63" a="1"/>
  <c r="K215" i="63" s="1"/>
  <c r="K251" i="63" s="1"/>
  <c r="L195" i="63" a="1"/>
  <c r="L195" i="63" s="1"/>
  <c r="L231" i="63" s="1"/>
  <c r="L203" i="63" a="1"/>
  <c r="L203" i="63" s="1"/>
  <c r="L239" i="63" s="1"/>
  <c r="L202" i="63" a="1"/>
  <c r="L202" i="63" s="1"/>
  <c r="L238" i="63" s="1"/>
  <c r="L201" i="63" a="1"/>
  <c r="L201" i="63" s="1"/>
  <c r="L237" i="63" s="1"/>
  <c r="L200" i="63" a="1"/>
  <c r="L200" i="63" s="1"/>
  <c r="L236" i="63" s="1"/>
  <c r="L204" i="63" a="1"/>
  <c r="L204" i="63" s="1"/>
  <c r="L240" i="63" s="1"/>
  <c r="L194" i="63" a="1"/>
  <c r="L194" i="63" s="1"/>
  <c r="L230" i="63" s="1"/>
  <c r="O43" i="49"/>
  <c r="O11" i="49" s="1"/>
  <c r="K57" i="49"/>
  <c r="K12" i="49" s="1"/>
  <c r="O57" i="49"/>
  <c r="O12" i="49" s="1"/>
  <c r="T105" i="51" a="1"/>
  <c r="T105" i="51" s="1"/>
  <c r="L205" i="73" s="1"/>
  <c r="L254" i="73" s="1"/>
  <c r="K177" i="63"/>
  <c r="R105" i="51" a="1"/>
  <c r="R105" i="51" s="1"/>
  <c r="J205" i="73" s="1"/>
  <c r="J254" i="73" s="1"/>
  <c r="I177" i="63"/>
  <c r="L175" i="63"/>
  <c r="R104" i="51" a="1"/>
  <c r="R104" i="51" s="1"/>
  <c r="M97" i="53" s="1" a="1"/>
  <c r="M97" i="53" s="1"/>
  <c r="I175" i="63"/>
  <c r="S105" i="51" a="1"/>
  <c r="S105" i="51" s="1"/>
  <c r="K205" i="73" s="1"/>
  <c r="K254" i="73" s="1"/>
  <c r="J177" i="63"/>
  <c r="L161" i="63" a="1"/>
  <c r="L161" i="63" s="1"/>
  <c r="J159" i="63" a="1"/>
  <c r="J159" i="63" s="1"/>
  <c r="H161" i="63" a="1"/>
  <c r="H161" i="63" s="1"/>
  <c r="P242" i="49"/>
  <c r="H184" i="63" a="1"/>
  <c r="H184" i="63" s="1"/>
  <c r="H188" i="63" s="1"/>
  <c r="M241" i="49"/>
  <c r="P241" i="49" s="1"/>
  <c r="J185" i="63" a="1"/>
  <c r="J185" i="63" s="1"/>
  <c r="J189" i="63" s="1"/>
  <c r="K158" i="63" a="1"/>
  <c r="K158" i="63" s="1"/>
  <c r="I158" i="63" a="1"/>
  <c r="I158" i="63" s="1"/>
  <c r="J158" i="63" a="1"/>
  <c r="J158" i="63" s="1"/>
  <c r="L158" i="63" a="1"/>
  <c r="L158" i="63" s="1"/>
  <c r="H158" i="63" a="1"/>
  <c r="H158" i="63" s="1"/>
  <c r="M297" i="49"/>
  <c r="O303" i="49"/>
  <c r="M294" i="49"/>
  <c r="M65" i="49"/>
  <c r="K294" i="49"/>
  <c r="K62" i="49"/>
  <c r="N139" i="49"/>
  <c r="L139" i="49"/>
  <c r="L141" i="49" s="1" a="1"/>
  <c r="L141" i="49" s="1"/>
  <c r="K139" i="49"/>
  <c r="K141" i="49" s="1" a="1"/>
  <c r="K141" i="49" s="1"/>
  <c r="O139" i="49"/>
  <c r="O141" i="49" s="1" a="1"/>
  <c r="O141" i="49" s="1"/>
  <c r="M139" i="49"/>
  <c r="M141" i="49" s="1" a="1"/>
  <c r="M141" i="49" s="1"/>
  <c r="K303" i="49"/>
  <c r="N370" i="49"/>
  <c r="N372" i="49" s="1" a="1"/>
  <c r="N372" i="49" s="1"/>
  <c r="O370" i="49"/>
  <c r="O372" i="49" s="1" a="1"/>
  <c r="O372" i="49" s="1"/>
  <c r="L370" i="49"/>
  <c r="L372" i="49" s="1" a="1"/>
  <c r="L372" i="49" s="1"/>
  <c r="M370" i="49"/>
  <c r="M372" i="49" s="1" a="1"/>
  <c r="M372" i="49" s="1"/>
  <c r="N294" i="49"/>
  <c r="N300" i="49"/>
  <c r="N297" i="49"/>
  <c r="K297" i="49"/>
  <c r="M300" i="49"/>
  <c r="N303" i="49"/>
  <c r="L297" i="49"/>
  <c r="K300" i="49"/>
  <c r="O294" i="49"/>
  <c r="L294" i="49"/>
  <c r="L303" i="49"/>
  <c r="I12" i="63" a="1"/>
  <c r="I12" i="63" s="1"/>
  <c r="I28" i="63" s="1" a="1"/>
  <c r="I28" i="63" s="1"/>
  <c r="H31" i="51" s="1" a="1"/>
  <c r="H31" i="51" s="1"/>
  <c r="P69" i="49"/>
  <c r="Q69" i="49" s="1"/>
  <c r="L259" i="49"/>
  <c r="N428" i="49"/>
  <c r="N430" i="49" s="1" a="1"/>
  <c r="N430" i="49" s="1"/>
  <c r="H17" i="63" a="1"/>
  <c r="H17" i="63" s="1"/>
  <c r="H30" i="63" s="1" a="1"/>
  <c r="H30" i="63" s="1"/>
  <c r="G32" i="51" s="1" a="1"/>
  <c r="G32" i="51" s="1"/>
  <c r="J12" i="63" a="1"/>
  <c r="J12" i="63" s="1"/>
  <c r="J28" i="63" s="1" a="1"/>
  <c r="J28" i="63" s="1"/>
  <c r="I31" i="51" s="1" a="1"/>
  <c r="I31" i="51" s="1"/>
  <c r="H12" i="63" a="1"/>
  <c r="H12" i="63" s="1"/>
  <c r="H28" i="63" s="1"/>
  <c r="H44" i="63" s="1"/>
  <c r="O428" i="49"/>
  <c r="O430" i="49" s="1" a="1"/>
  <c r="O430" i="49" s="1"/>
  <c r="J17" i="63" a="1"/>
  <c r="J17" i="63" s="1"/>
  <c r="J30" i="63" s="1" a="1"/>
  <c r="J30" i="63" s="1"/>
  <c r="I32" i="51" s="1" a="1"/>
  <c r="I32" i="51" s="1"/>
  <c r="K12" i="63" a="1"/>
  <c r="K12" i="63" s="1"/>
  <c r="K28" i="63" s="1" a="1"/>
  <c r="K28" i="63" s="1"/>
  <c r="J31" i="51" s="1" a="1"/>
  <c r="J31" i="51" s="1"/>
  <c r="L14" i="63" a="1"/>
  <c r="L14" i="63" s="1"/>
  <c r="L29" i="63" s="1" a="1"/>
  <c r="L29" i="63" s="1"/>
  <c r="I17" i="63" a="1"/>
  <c r="I17" i="63" s="1"/>
  <c r="I30" i="63" s="1" a="1"/>
  <c r="I30" i="63" s="1"/>
  <c r="H32" i="51" s="1" a="1"/>
  <c r="H32" i="51" s="1"/>
  <c r="H14" i="63" a="1"/>
  <c r="H14" i="63" s="1"/>
  <c r="L12" i="63" a="1"/>
  <c r="L12" i="63" s="1"/>
  <c r="L28" i="63" s="1" a="1"/>
  <c r="L28" i="63" s="1"/>
  <c r="K31" i="51" s="1" a="1"/>
  <c r="K31" i="51" s="1"/>
  <c r="L17" i="63" a="1"/>
  <c r="L17" i="63" s="1"/>
  <c r="L30" i="63" s="1" a="1"/>
  <c r="L30" i="63" s="1"/>
  <c r="K32" i="51" s="1" a="1"/>
  <c r="K32" i="51" s="1"/>
  <c r="I14" i="63" a="1"/>
  <c r="I14" i="63" s="1"/>
  <c r="I29" i="63" s="1" a="1"/>
  <c r="I29" i="63" s="1"/>
  <c r="K14" i="63" a="1"/>
  <c r="K14" i="63" s="1"/>
  <c r="K29" i="63" s="1" a="1"/>
  <c r="K29" i="63" s="1"/>
  <c r="K17" i="63" a="1"/>
  <c r="K17" i="63" s="1"/>
  <c r="K30" i="63" s="1" a="1"/>
  <c r="K30" i="63" s="1"/>
  <c r="J32" i="51" s="1" a="1"/>
  <c r="J32" i="51" s="1"/>
  <c r="J14" i="63" a="1"/>
  <c r="J14" i="63" s="1"/>
  <c r="J29" i="63" s="1" a="1"/>
  <c r="J29" i="63" s="1"/>
  <c r="K428" i="49"/>
  <c r="K430" i="49" s="1" a="1"/>
  <c r="K430" i="49" s="1"/>
  <c r="K19" i="63" a="1"/>
  <c r="K19" i="63" s="1"/>
  <c r="K31" i="63" s="1" a="1"/>
  <c r="K31" i="63" s="1"/>
  <c r="M428" i="49"/>
  <c r="M430" i="49" s="1" a="1"/>
  <c r="M430" i="49" s="1"/>
  <c r="L428" i="49"/>
  <c r="L430" i="49" s="1" a="1"/>
  <c r="L430" i="49" s="1"/>
  <c r="B5" i="52"/>
  <c r="B42" i="52" s="1"/>
  <c r="C3" i="51"/>
  <c r="B3" i="51"/>
  <c r="C2" i="51"/>
  <c r="B3" i="50"/>
  <c r="C2" i="50"/>
  <c r="D11" i="41" a="1"/>
  <c r="D11" i="41" s="1"/>
  <c r="C11" i="41" a="1"/>
  <c r="C11" i="41" s="1"/>
  <c r="K175" i="63" l="1"/>
  <c r="P62" i="49"/>
  <c r="Q62" i="49" s="1"/>
  <c r="H175" i="63"/>
  <c r="N142" i="49"/>
  <c r="N141" i="49" a="1"/>
  <c r="N141" i="49" s="1"/>
  <c r="M62" i="53"/>
  <c r="K65" i="63" a="1"/>
  <c r="K65" i="63" s="1"/>
  <c r="K74" i="63" a="1"/>
  <c r="K74" i="63" s="1"/>
  <c r="K64" i="63" a="1"/>
  <c r="K64" i="63" s="1"/>
  <c r="K71" i="63" a="1"/>
  <c r="K71" i="63" s="1"/>
  <c r="K73" i="63" a="1"/>
  <c r="K73" i="63" s="1"/>
  <c r="K70" i="63" a="1"/>
  <c r="K70" i="63" s="1"/>
  <c r="K72" i="63" a="1"/>
  <c r="K72" i="63" s="1"/>
  <c r="I65" i="63" a="1"/>
  <c r="I65" i="63" s="1"/>
  <c r="I71" i="63" a="1"/>
  <c r="I71" i="63" s="1"/>
  <c r="I64" i="63" a="1"/>
  <c r="I64" i="63" s="1"/>
  <c r="I72" i="63" a="1"/>
  <c r="I72" i="63" s="1"/>
  <c r="I74" i="63" a="1"/>
  <c r="I74" i="63" s="1"/>
  <c r="I70" i="63" a="1"/>
  <c r="I70" i="63" s="1"/>
  <c r="I73" i="63" a="1"/>
  <c r="I73" i="63" s="1"/>
  <c r="H78" i="63" a="1"/>
  <c r="H78" i="63" s="1"/>
  <c r="H114" i="63" s="1"/>
  <c r="H82" i="63" a="1"/>
  <c r="H82" i="63" s="1"/>
  <c r="H118" i="63" s="1"/>
  <c r="H81" i="63" a="1"/>
  <c r="H81" i="63" s="1"/>
  <c r="H117" i="63" s="1"/>
  <c r="H79" i="63" a="1"/>
  <c r="H79" i="63" s="1"/>
  <c r="H115" i="63" s="1"/>
  <c r="H77" i="63" a="1"/>
  <c r="H77" i="63" s="1"/>
  <c r="H113" i="63" s="1"/>
  <c r="H85" i="63" a="1"/>
  <c r="H85" i="63" s="1"/>
  <c r="H121" i="63" s="1"/>
  <c r="H83" i="63" a="1"/>
  <c r="H83" i="63" s="1"/>
  <c r="H119" i="63" s="1"/>
  <c r="H84" i="63" a="1"/>
  <c r="H84" i="63" s="1"/>
  <c r="H120" i="63" s="1"/>
  <c r="H80" i="63" a="1"/>
  <c r="H80" i="63" s="1"/>
  <c r="H116" i="63" s="1"/>
  <c r="I81" i="63" a="1"/>
  <c r="I81" i="63" s="1"/>
  <c r="I117" i="63" s="1"/>
  <c r="I76" i="63" a="1"/>
  <c r="I76" i="63" s="1"/>
  <c r="I112" i="63" s="1"/>
  <c r="I83" i="63" a="1"/>
  <c r="I83" i="63" s="1"/>
  <c r="I119" i="63" s="1"/>
  <c r="I84" i="63" a="1"/>
  <c r="I84" i="63" s="1"/>
  <c r="I120" i="63" s="1"/>
  <c r="I85" i="63" a="1"/>
  <c r="I85" i="63" s="1"/>
  <c r="I121" i="63" s="1"/>
  <c r="I75" i="63" a="1"/>
  <c r="I75" i="63" s="1"/>
  <c r="I111" i="63" s="1"/>
  <c r="I82" i="63" a="1"/>
  <c r="I82" i="63" s="1"/>
  <c r="I118" i="63" s="1"/>
  <c r="J85" i="63" a="1"/>
  <c r="J85" i="63" s="1"/>
  <c r="J121" i="63" s="1"/>
  <c r="J82" i="63" a="1"/>
  <c r="J82" i="63" s="1"/>
  <c r="J118" i="63" s="1"/>
  <c r="J75" i="63" a="1"/>
  <c r="J75" i="63" s="1"/>
  <c r="J111" i="63" s="1"/>
  <c r="J81" i="63" a="1"/>
  <c r="J81" i="63" s="1"/>
  <c r="J117" i="63" s="1"/>
  <c r="J84" i="63" a="1"/>
  <c r="J84" i="63" s="1"/>
  <c r="J120" i="63" s="1"/>
  <c r="J83" i="63" a="1"/>
  <c r="J83" i="63" s="1"/>
  <c r="J119" i="63" s="1"/>
  <c r="J76" i="63" a="1"/>
  <c r="J76" i="63" s="1"/>
  <c r="J112" i="63" s="1"/>
  <c r="P11" i="49"/>
  <c r="L55" i="63" a="1"/>
  <c r="L55" i="63" s="1"/>
  <c r="K83" i="63" a="1"/>
  <c r="K83" i="63" s="1"/>
  <c r="K119" i="63" s="1"/>
  <c r="K75" i="63" a="1"/>
  <c r="K75" i="63" s="1"/>
  <c r="K111" i="63" s="1"/>
  <c r="K82" i="63" a="1"/>
  <c r="K82" i="63" s="1"/>
  <c r="K118" i="63" s="1"/>
  <c r="K76" i="63" a="1"/>
  <c r="K76" i="63" s="1"/>
  <c r="K112" i="63" s="1"/>
  <c r="K84" i="63" a="1"/>
  <c r="K84" i="63" s="1"/>
  <c r="K120" i="63" s="1"/>
  <c r="K85" i="63" a="1"/>
  <c r="K85" i="63" s="1"/>
  <c r="K121" i="63" s="1"/>
  <c r="K81" i="63" a="1"/>
  <c r="K81" i="63" s="1"/>
  <c r="K117" i="63" s="1"/>
  <c r="J71" i="63" a="1"/>
  <c r="J71" i="63" s="1"/>
  <c r="J74" i="63" a="1"/>
  <c r="J74" i="63" s="1"/>
  <c r="J73" i="63" a="1"/>
  <c r="J73" i="63" s="1"/>
  <c r="J65" i="63" a="1"/>
  <c r="J65" i="63" s="1"/>
  <c r="J64" i="63" a="1"/>
  <c r="J64" i="63" s="1"/>
  <c r="J70" i="63" a="1"/>
  <c r="J70" i="63" s="1"/>
  <c r="J72" i="63" a="1"/>
  <c r="J72" i="63" s="1"/>
  <c r="L64" i="63" a="1"/>
  <c r="L64" i="63" s="1"/>
  <c r="L73" i="63" a="1"/>
  <c r="L73" i="63" s="1"/>
  <c r="L74" i="63" a="1"/>
  <c r="L74" i="63" s="1"/>
  <c r="L70" i="63" a="1"/>
  <c r="L70" i="63" s="1"/>
  <c r="L71" i="63" a="1"/>
  <c r="L71" i="63" s="1"/>
  <c r="L72" i="63" a="1"/>
  <c r="L72" i="63" s="1"/>
  <c r="L65" i="63" a="1"/>
  <c r="L65" i="63" s="1"/>
  <c r="P12" i="49"/>
  <c r="J211" i="63" a="1"/>
  <c r="J211" i="63" s="1"/>
  <c r="J247" i="63" s="1"/>
  <c r="J205" i="63" a="1"/>
  <c r="J205" i="63" s="1"/>
  <c r="J241" i="63" s="1"/>
  <c r="J213" i="63" a="1"/>
  <c r="J213" i="63" s="1"/>
  <c r="J249" i="63" s="1"/>
  <c r="J206" i="63" a="1"/>
  <c r="J206" i="63" s="1"/>
  <c r="J242" i="63" s="1"/>
  <c r="J215" i="63" a="1"/>
  <c r="J215" i="63" s="1"/>
  <c r="J251" i="63" s="1"/>
  <c r="J214" i="63" a="1"/>
  <c r="J214" i="63" s="1"/>
  <c r="J250" i="63" s="1"/>
  <c r="J212" i="63" a="1"/>
  <c r="J212" i="63" s="1"/>
  <c r="J248" i="63" s="1"/>
  <c r="H203" i="63" a="1"/>
  <c r="H203" i="63" s="1"/>
  <c r="H239" i="63" s="1"/>
  <c r="H201" i="63" a="1"/>
  <c r="H201" i="63" s="1"/>
  <c r="H237" i="63" s="1"/>
  <c r="H197" i="63" a="1"/>
  <c r="H197" i="63" s="1"/>
  <c r="H233" i="63" s="1"/>
  <c r="H204" i="63" a="1"/>
  <c r="H204" i="63" s="1"/>
  <c r="H240" i="63" s="1"/>
  <c r="H198" i="63" a="1"/>
  <c r="H198" i="63" s="1"/>
  <c r="H234" i="63" s="1"/>
  <c r="H199" i="63" a="1"/>
  <c r="H199" i="63" s="1"/>
  <c r="H235" i="63" s="1"/>
  <c r="H196" i="63" a="1"/>
  <c r="H196" i="63" s="1"/>
  <c r="H232" i="63" s="1"/>
  <c r="H200" i="63" a="1"/>
  <c r="H200" i="63" s="1"/>
  <c r="H236" i="63" s="1"/>
  <c r="H202" i="63" a="1"/>
  <c r="H202" i="63" s="1"/>
  <c r="H238" i="63" s="1"/>
  <c r="L201" i="73"/>
  <c r="L250" i="73" s="1"/>
  <c r="M201" i="73"/>
  <c r="M250" i="73" s="1"/>
  <c r="J201" i="73"/>
  <c r="J250" i="73" s="1"/>
  <c r="P97" i="53" a="1"/>
  <c r="P97" i="53" s="1"/>
  <c r="P62" i="53" s="1"/>
  <c r="J110" i="51" a="1"/>
  <c r="J110" i="51" s="1"/>
  <c r="J145" i="51" s="1" a="1"/>
  <c r="J145" i="51" s="1"/>
  <c r="R140" i="51" a="1"/>
  <c r="R140" i="51" s="1"/>
  <c r="U139" i="51" a="1"/>
  <c r="U139" i="51" s="1"/>
  <c r="R139" i="51" a="1"/>
  <c r="R139" i="51" s="1"/>
  <c r="L97" i="53" a="1"/>
  <c r="L97" i="53" s="1"/>
  <c r="L62" i="53" s="1"/>
  <c r="Q139" i="51" a="1"/>
  <c r="Q139" i="51" s="1"/>
  <c r="J112" i="51" a="1"/>
  <c r="J112" i="51" s="1"/>
  <c r="J147" i="51" s="1" a="1"/>
  <c r="J147" i="51" s="1"/>
  <c r="J109" i="51" a="1"/>
  <c r="J109" i="51" s="1"/>
  <c r="K109" i="51" a="1"/>
  <c r="K109" i="51" s="1"/>
  <c r="T140" i="51" a="1"/>
  <c r="T140" i="51" s="1"/>
  <c r="O97" i="53" a="1"/>
  <c r="O97" i="53" s="1"/>
  <c r="O62" i="53" s="1"/>
  <c r="T139" i="51" a="1"/>
  <c r="T139" i="51" s="1"/>
  <c r="J111" i="51" a="1"/>
  <c r="J111" i="51" s="1"/>
  <c r="J146" i="51" s="1" a="1"/>
  <c r="J146" i="51" s="1"/>
  <c r="I201" i="73"/>
  <c r="I250" i="73" s="1"/>
  <c r="R99" i="67" a="1"/>
  <c r="R99" i="67" s="1"/>
  <c r="K111" i="51" a="1"/>
  <c r="K111" i="51" s="1"/>
  <c r="K146" i="51" s="1" a="1"/>
  <c r="K146" i="51" s="1"/>
  <c r="K104" i="51" a="1"/>
  <c r="K104" i="51" s="1"/>
  <c r="L174" i="63"/>
  <c r="S104" i="51" a="1"/>
  <c r="S104" i="51" s="1"/>
  <c r="J175" i="63"/>
  <c r="U105" i="51" a="1"/>
  <c r="U105" i="51" s="1"/>
  <c r="M205" i="73" s="1"/>
  <c r="M254" i="73" s="1"/>
  <c r="L177" i="63"/>
  <c r="I104" i="51" a="1"/>
  <c r="I104" i="51" s="1"/>
  <c r="J174" i="63"/>
  <c r="H104" i="51" a="1"/>
  <c r="H104" i="51" s="1"/>
  <c r="I174" i="63"/>
  <c r="J104" i="51" a="1"/>
  <c r="J104" i="51" s="1"/>
  <c r="K174" i="63"/>
  <c r="P99" i="67" a="1"/>
  <c r="P99" i="67" s="1"/>
  <c r="S140" i="51" a="1"/>
  <c r="S140" i="51" s="1"/>
  <c r="G104" i="51" a="1"/>
  <c r="G104" i="51" s="1"/>
  <c r="G139" i="51" s="1" a="1"/>
  <c r="G139" i="51" s="1"/>
  <c r="H174" i="63"/>
  <c r="Q105" i="51" a="1"/>
  <c r="Q105" i="51" s="1"/>
  <c r="I205" i="73" s="1"/>
  <c r="I254" i="73" s="1"/>
  <c r="H177" i="63"/>
  <c r="K67" i="51" a="1"/>
  <c r="K67" i="51" s="1"/>
  <c r="L46" i="63"/>
  <c r="I66" i="51" a="1"/>
  <c r="I66" i="51" s="1"/>
  <c r="J44" i="63"/>
  <c r="G67" i="51" a="1"/>
  <c r="G67" i="51" s="1"/>
  <c r="H46" i="63"/>
  <c r="K66" i="51" a="1"/>
  <c r="K66" i="51" s="1"/>
  <c r="L44" i="63"/>
  <c r="H67" i="51" a="1"/>
  <c r="H67" i="51" s="1"/>
  <c r="I46" i="63"/>
  <c r="T32" i="51" a="1"/>
  <c r="T32" i="51" s="1"/>
  <c r="T67" i="51" s="1" a="1"/>
  <c r="T67" i="51" s="1"/>
  <c r="K47" i="63"/>
  <c r="S31" i="51" a="1"/>
  <c r="S31" i="51" s="1"/>
  <c r="J45" i="63"/>
  <c r="U31" i="51" a="1"/>
  <c r="U31" i="51" s="1"/>
  <c r="L45" i="63"/>
  <c r="K112" i="51" a="1"/>
  <c r="K112" i="51" s="1"/>
  <c r="K147" i="51" s="1" a="1"/>
  <c r="K147" i="51" s="1"/>
  <c r="J67" i="51" a="1"/>
  <c r="J67" i="51" s="1"/>
  <c r="K46" i="63"/>
  <c r="J66" i="51" a="1"/>
  <c r="J66" i="51" s="1"/>
  <c r="K44" i="63"/>
  <c r="T31" i="51" a="1"/>
  <c r="T31" i="51" s="1"/>
  <c r="K45" i="63"/>
  <c r="I67" i="51" a="1"/>
  <c r="I67" i="51" s="1"/>
  <c r="J46" i="63"/>
  <c r="R31" i="51" a="1"/>
  <c r="R31" i="51" s="1"/>
  <c r="I45" i="63"/>
  <c r="H66" i="51" a="1"/>
  <c r="H66" i="51" s="1"/>
  <c r="I44" i="63"/>
  <c r="K110" i="51" a="1"/>
  <c r="K110" i="51" s="1"/>
  <c r="K145" i="51" s="1" a="1"/>
  <c r="K145" i="51" s="1"/>
  <c r="L240" i="49"/>
  <c r="P240" i="49" s="1"/>
  <c r="I184" i="63"/>
  <c r="I188" i="63" s="1"/>
  <c r="T111" i="51" a="1"/>
  <c r="T111" i="51" s="1"/>
  <c r="T109" i="51" a="1"/>
  <c r="T109" i="51" s="1"/>
  <c r="L204" i="73" s="1"/>
  <c r="L253" i="73" s="1"/>
  <c r="T110" i="51" a="1"/>
  <c r="T110" i="51" s="1"/>
  <c r="U111" i="51" a="1"/>
  <c r="U111" i="51" s="1"/>
  <c r="U110" i="51" a="1"/>
  <c r="U110" i="51" s="1"/>
  <c r="L196" i="73"/>
  <c r="L245" i="73" s="1"/>
  <c r="U109" i="51" a="1"/>
  <c r="U109" i="51" s="1"/>
  <c r="M204" i="73" s="1"/>
  <c r="M253" i="73" s="1"/>
  <c r="M373" i="49"/>
  <c r="M374" i="49" s="1"/>
  <c r="J145" i="63" s="1" a="1"/>
  <c r="J145" i="63" s="1"/>
  <c r="J170" i="63" s="1" a="1"/>
  <c r="J170" i="63" s="1"/>
  <c r="K373" i="49"/>
  <c r="K374" i="49" s="1"/>
  <c r="H145" i="63" s="1" a="1"/>
  <c r="H145" i="63" s="1"/>
  <c r="H170" i="63" s="1" a="1"/>
  <c r="H170" i="63" s="1"/>
  <c r="O373" i="49"/>
  <c r="O374" i="49" s="1"/>
  <c r="L145" i="63" s="1"/>
  <c r="L170" i="63" s="1" a="1"/>
  <c r="L170" i="63" s="1"/>
  <c r="N373" i="49"/>
  <c r="N374" i="49" s="1"/>
  <c r="K145" i="63" s="1" a="1"/>
  <c r="K145" i="63" s="1"/>
  <c r="K170" i="63" s="1" a="1"/>
  <c r="K170" i="63" s="1"/>
  <c r="G31" i="51" a="1"/>
  <c r="G31" i="51" s="1"/>
  <c r="G66" i="51" s="1" a="1"/>
  <c r="G66" i="51" s="1"/>
  <c r="M142" i="49"/>
  <c r="M143" i="49" s="1"/>
  <c r="J15" i="63" s="1" a="1"/>
  <c r="J15" i="63" s="1"/>
  <c r="J40" i="63" s="1" a="1"/>
  <c r="J40" i="63" s="1"/>
  <c r="K142" i="49"/>
  <c r="K143" i="49" s="1"/>
  <c r="H15" i="63" s="1" a="1"/>
  <c r="H15" i="63" s="1"/>
  <c r="H40" i="63" s="1" a="1"/>
  <c r="H40" i="63" s="1"/>
  <c r="O142" i="49"/>
  <c r="O143" i="49" s="1"/>
  <c r="L15" i="63" s="1" a="1"/>
  <c r="L15" i="63" s="1"/>
  <c r="L40" i="63" s="1" a="1"/>
  <c r="L40" i="63" s="1"/>
  <c r="L142" i="49"/>
  <c r="L143" i="49" s="1"/>
  <c r="I15" i="63" s="1" a="1"/>
  <c r="I15" i="63" s="1"/>
  <c r="I40" i="63" s="1" a="1"/>
  <c r="I40" i="63" s="1"/>
  <c r="N143" i="49"/>
  <c r="K15" i="63" s="1" a="1"/>
  <c r="K15" i="63" s="1"/>
  <c r="K40" i="63" s="1" a="1"/>
  <c r="K40" i="63" s="1"/>
  <c r="L373" i="49"/>
  <c r="L374" i="49" s="1"/>
  <c r="I145" i="63" s="1" a="1"/>
  <c r="I145" i="63" s="1"/>
  <c r="I170" i="63" s="1" a="1"/>
  <c r="I170" i="63" s="1"/>
  <c r="H19" i="63" a="1"/>
  <c r="H19" i="63" s="1"/>
  <c r="H31" i="63" s="1" a="1"/>
  <c r="H31" i="63" s="1"/>
  <c r="L19" i="63" a="1"/>
  <c r="L19" i="63" s="1"/>
  <c r="L31" i="63" s="1" a="1"/>
  <c r="L31" i="63" s="1"/>
  <c r="I19" i="63" a="1"/>
  <c r="I19" i="63" s="1"/>
  <c r="I31" i="63" s="1" a="1"/>
  <c r="I31" i="63" s="1"/>
  <c r="O431" i="49"/>
  <c r="N431" i="49"/>
  <c r="M431" i="49"/>
  <c r="L431" i="49"/>
  <c r="K431" i="49"/>
  <c r="P297" i="49"/>
  <c r="Q297" i="49" s="1"/>
  <c r="L300" i="49"/>
  <c r="P300" i="49" s="1"/>
  <c r="Q300" i="49" s="1"/>
  <c r="P294" i="49"/>
  <c r="Q294" i="49" s="1"/>
  <c r="B5" i="51"/>
  <c r="B78" i="51" s="1"/>
  <c r="P303" i="49"/>
  <c r="Q303" i="49" s="1"/>
  <c r="B5" i="50"/>
  <c r="B19" i="50" s="1"/>
  <c r="C94" i="44"/>
  <c r="C87" i="44"/>
  <c r="C139" i="44"/>
  <c r="C132" i="44"/>
  <c r="C124" i="44"/>
  <c r="C117" i="44"/>
  <c r="C110" i="44"/>
  <c r="C101" i="44"/>
  <c r="C72" i="44"/>
  <c r="K178" i="63" l="1"/>
  <c r="I178" i="63"/>
  <c r="L178" i="63"/>
  <c r="H178" i="63"/>
  <c r="J178" i="63"/>
  <c r="K144" i="51" a="1"/>
  <c r="K144" i="51" s="1"/>
  <c r="S104" i="67" a="1"/>
  <c r="S104" i="67" s="1"/>
  <c r="S32" i="67" a="1"/>
  <c r="S32" i="67" s="1"/>
  <c r="J144" i="51" a="1"/>
  <c r="J144" i="51" s="1"/>
  <c r="R104" i="67" a="1"/>
  <c r="R104" i="67" s="1"/>
  <c r="R32" i="67" a="1"/>
  <c r="R32" i="67" s="1"/>
  <c r="I39" i="51" a="1"/>
  <c r="I39" i="51" s="1"/>
  <c r="I74" i="51" s="1" a="1"/>
  <c r="I74" i="51" s="1"/>
  <c r="I38" i="51" a="1"/>
  <c r="I38" i="51" s="1"/>
  <c r="I73" i="51" s="1" a="1"/>
  <c r="I73" i="51" s="1"/>
  <c r="H38" i="51" a="1"/>
  <c r="H38" i="51" s="1"/>
  <c r="H73" i="51" s="1" a="1"/>
  <c r="H73" i="51" s="1"/>
  <c r="J37" i="51" a="1"/>
  <c r="J37" i="51" s="1"/>
  <c r="J72" i="51" s="1" a="1"/>
  <c r="J72" i="51" s="1"/>
  <c r="H48" i="63"/>
  <c r="G33" i="51" a="1"/>
  <c r="G33" i="51" s="1"/>
  <c r="G68" i="51" s="1" a="1"/>
  <c r="G68" i="51" s="1"/>
  <c r="I37" i="51" a="1"/>
  <c r="I37" i="51" s="1"/>
  <c r="I72" i="51" s="1" a="1"/>
  <c r="I72" i="51" s="1"/>
  <c r="J39" i="51" a="1"/>
  <c r="J39" i="51" s="1"/>
  <c r="J74" i="51" s="1" a="1"/>
  <c r="J74" i="51" s="1"/>
  <c r="H39" i="51" a="1"/>
  <c r="H39" i="51" s="1"/>
  <c r="H74" i="51" s="1" a="1"/>
  <c r="H74" i="51" s="1"/>
  <c r="J38" i="51" a="1"/>
  <c r="J38" i="51" s="1"/>
  <c r="J73" i="51" s="1" a="1"/>
  <c r="J73" i="51" s="1"/>
  <c r="L48" i="63"/>
  <c r="K33" i="51" a="1"/>
  <c r="K33" i="51" s="1"/>
  <c r="K68" i="51" s="1" a="1"/>
  <c r="K68" i="51" s="1"/>
  <c r="J48" i="63"/>
  <c r="I33" i="51" a="1"/>
  <c r="I33" i="51" s="1"/>
  <c r="I68" i="51" s="1" a="1"/>
  <c r="I68" i="51" s="1"/>
  <c r="I36" i="51" a="1"/>
  <c r="I36" i="51" s="1"/>
  <c r="J36" i="51" a="1"/>
  <c r="J36" i="51" s="1"/>
  <c r="K48" i="63"/>
  <c r="J33" i="51" a="1"/>
  <c r="J33" i="51" s="1"/>
  <c r="J68" i="51" s="1" a="1"/>
  <c r="J68" i="51" s="1"/>
  <c r="H36" i="51" a="1"/>
  <c r="H36" i="51" s="1"/>
  <c r="I48" i="63"/>
  <c r="H33" i="51" a="1"/>
  <c r="H33" i="51" s="1"/>
  <c r="H68" i="51" s="1" a="1"/>
  <c r="H68" i="51" s="1"/>
  <c r="H37" i="51" a="1"/>
  <c r="H37" i="51" s="1"/>
  <c r="H72" i="51" s="1" a="1"/>
  <c r="H72" i="51" s="1"/>
  <c r="Q107" i="51" a="1"/>
  <c r="Q107" i="51" s="1"/>
  <c r="L110" i="63"/>
  <c r="J110" i="63"/>
  <c r="S38" i="51" a="1"/>
  <c r="S38" i="51" s="1"/>
  <c r="S73" i="51" s="1" a="1"/>
  <c r="S73" i="51" s="1"/>
  <c r="I101" i="63"/>
  <c r="R36" i="51" a="1"/>
  <c r="R36" i="51" s="1"/>
  <c r="I104" i="67" s="1" a="1"/>
  <c r="I104" i="67" s="1"/>
  <c r="L109" i="63"/>
  <c r="J107" i="63"/>
  <c r="L75" i="63" a="1"/>
  <c r="L75" i="63" s="1"/>
  <c r="L111" i="63" s="1"/>
  <c r="L84" i="63" a="1"/>
  <c r="L84" i="63" s="1"/>
  <c r="L120" i="63" s="1"/>
  <c r="L82" i="63" a="1"/>
  <c r="L82" i="63" s="1"/>
  <c r="L118" i="63" s="1"/>
  <c r="L76" i="63" a="1"/>
  <c r="L76" i="63" s="1"/>
  <c r="L112" i="63" s="1"/>
  <c r="L83" i="63" a="1"/>
  <c r="L83" i="63" s="1"/>
  <c r="L119" i="63" s="1"/>
  <c r="L81" i="63" a="1"/>
  <c r="L81" i="63" s="1"/>
  <c r="L117" i="63" s="1"/>
  <c r="L85" i="63" a="1"/>
  <c r="L85" i="63" s="1"/>
  <c r="L121" i="63" s="1"/>
  <c r="K108" i="63"/>
  <c r="T37" i="51" a="1"/>
  <c r="T37" i="51" s="1"/>
  <c r="T72" i="51" s="1" a="1"/>
  <c r="T72" i="51" s="1"/>
  <c r="L100" i="63"/>
  <c r="I109" i="63"/>
  <c r="K106" i="63"/>
  <c r="J108" i="63"/>
  <c r="S37" i="51" a="1"/>
  <c r="S37" i="51" s="1"/>
  <c r="S72" i="51" s="1" a="1"/>
  <c r="S72" i="51" s="1"/>
  <c r="I106" i="63"/>
  <c r="K109" i="63"/>
  <c r="L101" i="63"/>
  <c r="J106" i="63"/>
  <c r="R38" i="51" a="1"/>
  <c r="R38" i="51" s="1"/>
  <c r="R73" i="51" s="1" a="1"/>
  <c r="R73" i="51" s="1"/>
  <c r="I110" i="63"/>
  <c r="K107" i="63"/>
  <c r="L108" i="63"/>
  <c r="J100" i="63"/>
  <c r="I108" i="63"/>
  <c r="R37" i="51" a="1"/>
  <c r="R37" i="51" s="1"/>
  <c r="R72" i="51" s="1" a="1"/>
  <c r="R72" i="51" s="1"/>
  <c r="K100" i="63"/>
  <c r="L107" i="63"/>
  <c r="J101" i="63"/>
  <c r="S36" i="51" a="1"/>
  <c r="S36" i="51" s="1"/>
  <c r="J104" i="67" s="1" a="1"/>
  <c r="J104" i="67" s="1"/>
  <c r="I100" i="63"/>
  <c r="K110" i="63"/>
  <c r="T38" i="51" a="1"/>
  <c r="T38" i="51" s="1"/>
  <c r="T73" i="51" s="1" a="1"/>
  <c r="T73" i="51" s="1"/>
  <c r="L106" i="63"/>
  <c r="J109" i="63"/>
  <c r="I107" i="63"/>
  <c r="K101" i="63"/>
  <c r="T36" i="51" a="1"/>
  <c r="T36" i="51" s="1"/>
  <c r="K104" i="67" s="1" a="1"/>
  <c r="K104" i="67" s="1"/>
  <c r="G110" i="51" a="1"/>
  <c r="G110" i="51" s="1"/>
  <c r="G145" i="51" s="1" a="1"/>
  <c r="G145" i="51" s="1"/>
  <c r="G108" i="51" a="1"/>
  <c r="G108" i="51" s="1"/>
  <c r="G112" i="51" a="1"/>
  <c r="G112" i="51" s="1"/>
  <c r="G147" i="51" s="1" a="1"/>
  <c r="G147" i="51" s="1"/>
  <c r="Q110" i="51" a="1"/>
  <c r="Q110" i="51" s="1"/>
  <c r="Q145" i="51" s="1" a="1"/>
  <c r="Q145" i="51" s="1"/>
  <c r="G111" i="51" a="1"/>
  <c r="G111" i="51" s="1"/>
  <c r="G146" i="51" s="1" a="1"/>
  <c r="G146" i="51" s="1"/>
  <c r="I203" i="63" a="1"/>
  <c r="I203" i="63" s="1"/>
  <c r="I239" i="63" s="1"/>
  <c r="I202" i="63" a="1"/>
  <c r="I202" i="63" s="1"/>
  <c r="I238" i="63" s="1"/>
  <c r="I204" i="63" a="1"/>
  <c r="I204" i="63" s="1"/>
  <c r="I240" i="63" s="1"/>
  <c r="I195" i="63" a="1"/>
  <c r="I195" i="63" s="1"/>
  <c r="I231" i="63" s="1"/>
  <c r="I194" i="63" a="1"/>
  <c r="I194" i="63" s="1"/>
  <c r="I230" i="63" s="1"/>
  <c r="I201" i="63" a="1"/>
  <c r="I201" i="63" s="1"/>
  <c r="I237" i="63" s="1"/>
  <c r="I200" i="63" a="1"/>
  <c r="I200" i="63" s="1"/>
  <c r="I236" i="63" s="1"/>
  <c r="M196" i="73"/>
  <c r="M245" i="73" s="1"/>
  <c r="J139" i="51" a="1"/>
  <c r="J139" i="51" s="1"/>
  <c r="Q99" i="67" a="1"/>
  <c r="Q99" i="67" s="1"/>
  <c r="N99" i="67" s="1"/>
  <c r="G53" i="74" s="1" a="1"/>
  <c r="G53" i="74" s="1"/>
  <c r="H139" i="51" a="1"/>
  <c r="H139" i="51" s="1"/>
  <c r="K139" i="51" a="1"/>
  <c r="K139" i="51" s="1"/>
  <c r="I139" i="51" a="1"/>
  <c r="I139" i="51" s="1"/>
  <c r="F97" i="52" a="1"/>
  <c r="F97" i="52" s="1"/>
  <c r="F62" i="52" s="1"/>
  <c r="T66" i="51" a="1"/>
  <c r="T66" i="51" s="1"/>
  <c r="G97" i="53" a="1"/>
  <c r="G97" i="53" s="1"/>
  <c r="G62" i="53" s="1"/>
  <c r="U66" i="51" a="1"/>
  <c r="U66" i="51" s="1"/>
  <c r="H97" i="53" a="1"/>
  <c r="H97" i="53" s="1"/>
  <c r="H62" i="53" s="1"/>
  <c r="F97" i="53" a="1"/>
  <c r="F97" i="53" s="1"/>
  <c r="F62" i="53" s="1"/>
  <c r="I99" i="67" a="1"/>
  <c r="I99" i="67" s="1"/>
  <c r="E97" i="53" a="1"/>
  <c r="E97" i="53" s="1"/>
  <c r="E62" i="53" s="1"/>
  <c r="U140" i="51" a="1"/>
  <c r="U140" i="51" s="1"/>
  <c r="N97" i="52" a="1"/>
  <c r="N97" i="52" s="1"/>
  <c r="N62" i="52" s="1"/>
  <c r="H97" i="52" a="1"/>
  <c r="H97" i="52" s="1"/>
  <c r="H62" i="52" s="1"/>
  <c r="R27" i="67" a="1"/>
  <c r="R27" i="67" s="1"/>
  <c r="L27" i="67" a="1"/>
  <c r="L27" i="67" s="1"/>
  <c r="I193" i="73"/>
  <c r="I242" i="73" s="1"/>
  <c r="S27" i="67" a="1"/>
  <c r="S27" i="67" s="1"/>
  <c r="L97" i="52" a="1"/>
  <c r="L97" i="52" s="1"/>
  <c r="L62" i="52" s="1"/>
  <c r="Q27" i="67" a="1"/>
  <c r="Q27" i="67" s="1"/>
  <c r="O27" i="67" a="1"/>
  <c r="O27" i="67" s="1"/>
  <c r="R66" i="51" a="1"/>
  <c r="R66" i="51" s="1"/>
  <c r="P97" i="52" a="1"/>
  <c r="P97" i="52" s="1"/>
  <c r="P62" i="52" s="1"/>
  <c r="E97" i="52" a="1"/>
  <c r="E97" i="52" s="1"/>
  <c r="E62" i="52" s="1"/>
  <c r="K99" i="67" a="1"/>
  <c r="K99" i="67" s="1"/>
  <c r="M97" i="52" a="1"/>
  <c r="M97" i="52" s="1"/>
  <c r="M62" i="52" s="1"/>
  <c r="P27" i="67" a="1"/>
  <c r="P27" i="67" s="1"/>
  <c r="Q140" i="51" a="1"/>
  <c r="Q140" i="51" s="1"/>
  <c r="O97" i="52" a="1"/>
  <c r="O97" i="52" s="1"/>
  <c r="O62" i="52" s="1"/>
  <c r="J27" i="67" a="1"/>
  <c r="J27" i="67" s="1"/>
  <c r="I27" i="67" a="1"/>
  <c r="I27" i="67" s="1"/>
  <c r="Q111" i="51" a="1"/>
  <c r="Q111" i="51" s="1"/>
  <c r="Q146" i="51" s="1" a="1"/>
  <c r="Q146" i="51" s="1"/>
  <c r="I111" i="51" a="1"/>
  <c r="I111" i="51" s="1"/>
  <c r="I146" i="51" s="1" a="1"/>
  <c r="I146" i="51" s="1"/>
  <c r="L193" i="73"/>
  <c r="L242" i="73" s="1"/>
  <c r="I110" i="51" a="1"/>
  <c r="I110" i="51" s="1"/>
  <c r="I145" i="51" s="1" a="1"/>
  <c r="I145" i="51" s="1"/>
  <c r="J193" i="73"/>
  <c r="J242" i="73" s="1"/>
  <c r="K193" i="73"/>
  <c r="K242" i="73" s="1"/>
  <c r="K201" i="73"/>
  <c r="K250" i="73" s="1"/>
  <c r="N97" i="53" a="1"/>
  <c r="N97" i="53" s="1"/>
  <c r="N62" i="53" s="1"/>
  <c r="S139" i="51" a="1"/>
  <c r="S139" i="51" s="1"/>
  <c r="G106" i="51" a="1"/>
  <c r="G106" i="51" s="1"/>
  <c r="G141" i="51" s="1" a="1"/>
  <c r="G141" i="51" s="1"/>
  <c r="M193" i="73"/>
  <c r="M242" i="73" s="1"/>
  <c r="L99" i="67" a="1"/>
  <c r="L99" i="67" s="1"/>
  <c r="G107" i="51" a="1"/>
  <c r="G107" i="51" s="1"/>
  <c r="J99" i="67" a="1"/>
  <c r="J99" i="67" s="1"/>
  <c r="I109" i="51" a="1"/>
  <c r="I109" i="51" s="1"/>
  <c r="R32" i="51" a="1"/>
  <c r="R32" i="51" s="1"/>
  <c r="R67" i="51" s="1" a="1"/>
  <c r="R67" i="51" s="1"/>
  <c r="I47" i="63"/>
  <c r="Q32" i="51" a="1"/>
  <c r="Q32" i="51" s="1"/>
  <c r="Q67" i="51" s="1" a="1"/>
  <c r="Q67" i="51" s="1"/>
  <c r="H47" i="63"/>
  <c r="S66" i="51" a="1"/>
  <c r="S66" i="51" s="1"/>
  <c r="U32" i="51" a="1"/>
  <c r="U32" i="51" s="1"/>
  <c r="U67" i="51" s="1" a="1"/>
  <c r="U67" i="51" s="1"/>
  <c r="L47" i="63"/>
  <c r="I112" i="51" a="1"/>
  <c r="I112" i="51" s="1"/>
  <c r="I147" i="51" s="1" a="1"/>
  <c r="I147" i="51" s="1"/>
  <c r="K27" i="67" a="1"/>
  <c r="K27" i="67" s="1"/>
  <c r="G97" i="52" a="1"/>
  <c r="G97" i="52" s="1"/>
  <c r="G62" i="52" s="1"/>
  <c r="Q108" i="51" a="1"/>
  <c r="Q108" i="51" s="1"/>
  <c r="I203" i="73" s="1"/>
  <c r="I252" i="73" s="1"/>
  <c r="M208" i="73"/>
  <c r="M257" i="73" s="1" a="1"/>
  <c r="M257" i="73" s="1"/>
  <c r="M199" i="73"/>
  <c r="M248" i="73" s="1"/>
  <c r="M198" i="73"/>
  <c r="M247" i="73" s="1"/>
  <c r="L208" i="73"/>
  <c r="L257" i="73" s="1" a="1"/>
  <c r="L257" i="73" s="1"/>
  <c r="T146" i="51" a="1"/>
  <c r="T146" i="51" s="1"/>
  <c r="L207" i="73"/>
  <c r="L256" i="73" s="1"/>
  <c r="U145" i="51" a="1"/>
  <c r="U145" i="51" s="1"/>
  <c r="M206" i="73"/>
  <c r="M255" i="73" s="1"/>
  <c r="L198" i="73"/>
  <c r="L247" i="73" s="1"/>
  <c r="U146" i="51" a="1"/>
  <c r="U146" i="51" s="1"/>
  <c r="M207" i="73"/>
  <c r="M256" i="73" s="1"/>
  <c r="L199" i="73"/>
  <c r="L248" i="73" s="1"/>
  <c r="T145" i="51" a="1"/>
  <c r="T145" i="51" s="1"/>
  <c r="L206" i="73"/>
  <c r="L255" i="73" s="1"/>
  <c r="S111" i="51" a="1"/>
  <c r="S111" i="51" s="1"/>
  <c r="O102" i="52" a="1"/>
  <c r="O102" i="52" s="1"/>
  <c r="S110" i="51" a="1"/>
  <c r="S110" i="51" s="1"/>
  <c r="S109" i="51" a="1"/>
  <c r="S109" i="51" s="1"/>
  <c r="K204" i="73" s="1"/>
  <c r="K253" i="73" s="1"/>
  <c r="P102" i="52" a="1"/>
  <c r="P102" i="52" s="1"/>
  <c r="P102" i="53" a="1"/>
  <c r="P102" i="53" s="1"/>
  <c r="P63" i="53" s="1"/>
  <c r="U144" i="51" a="1"/>
  <c r="U144" i="51" s="1"/>
  <c r="T144" i="51" a="1"/>
  <c r="T144" i="51" s="1"/>
  <c r="O102" i="53" a="1"/>
  <c r="O102" i="53" s="1"/>
  <c r="O63" i="53" s="1"/>
  <c r="J19" i="63" a="1"/>
  <c r="J19" i="63" s="1"/>
  <c r="J31" i="63" s="1" a="1"/>
  <c r="J31" i="63" s="1"/>
  <c r="L432" i="49"/>
  <c r="I147" i="63" s="1" a="1"/>
  <c r="I147" i="63" s="1"/>
  <c r="N432" i="49"/>
  <c r="K147" i="63" s="1" a="1"/>
  <c r="K147" i="63" s="1"/>
  <c r="K432" i="49"/>
  <c r="H147" i="63" s="1" a="1"/>
  <c r="H147" i="63" s="1"/>
  <c r="M432" i="49"/>
  <c r="J147" i="63" s="1" a="1"/>
  <c r="J147" i="63" s="1"/>
  <c r="O432" i="49"/>
  <c r="L147" i="63" s="1" a="1"/>
  <c r="L147" i="63" s="1"/>
  <c r="K295" i="49"/>
  <c r="K293" i="49" s="1"/>
  <c r="O295" i="49"/>
  <c r="O293" i="49" s="1"/>
  <c r="M295" i="49"/>
  <c r="M293" i="49" s="1"/>
  <c r="B33" i="50"/>
  <c r="K110" i="67"/>
  <c r="J17" i="44"/>
  <c r="J110" i="67"/>
  <c r="H110" i="67"/>
  <c r="I17" i="44"/>
  <c r="I110" i="67"/>
  <c r="J34" i="44"/>
  <c r="H34" i="44"/>
  <c r="G34" i="44"/>
  <c r="L110" i="67"/>
  <c r="O71" i="67"/>
  <c r="O61" i="67" s="1"/>
  <c r="H17" i="44"/>
  <c r="I34" i="44"/>
  <c r="K34" i="44"/>
  <c r="K17" i="44"/>
  <c r="E10" i="48"/>
  <c r="E11" i="48"/>
  <c r="J71" i="51" l="1" a="1"/>
  <c r="J71" i="51" s="1"/>
  <c r="K32" i="67" a="1"/>
  <c r="K32" i="67" s="1"/>
  <c r="H71" i="51" a="1"/>
  <c r="H71" i="51" s="1"/>
  <c r="I32" i="67" a="1"/>
  <c r="I32" i="67" s="1"/>
  <c r="I71" i="51" a="1"/>
  <c r="I71" i="51" s="1"/>
  <c r="J32" i="67" a="1"/>
  <c r="J32" i="67" s="1"/>
  <c r="I202" i="73"/>
  <c r="I251" i="73" s="1"/>
  <c r="I144" i="51" a="1"/>
  <c r="I144" i="51" s="1"/>
  <c r="Q32" i="67" a="1"/>
  <c r="Q32" i="67" s="1"/>
  <c r="Q104" i="67" a="1"/>
  <c r="Q104" i="67" s="1"/>
  <c r="G142" i="51" a="1"/>
  <c r="G142" i="51" s="1"/>
  <c r="O102" i="67" a="1"/>
  <c r="O102" i="67" s="1"/>
  <c r="N102" i="67" s="1"/>
  <c r="O30" i="67" a="1"/>
  <c r="O30" i="67" s="1"/>
  <c r="G143" i="51" a="1"/>
  <c r="G143" i="51" s="1"/>
  <c r="O103" i="67" a="1"/>
  <c r="O103" i="67" s="1"/>
  <c r="N103" i="67" s="1"/>
  <c r="O31" i="67" a="1"/>
  <c r="O31" i="67" s="1"/>
  <c r="N27" i="67"/>
  <c r="G13" i="74" s="1" a="1"/>
  <c r="G13" i="74" s="1"/>
  <c r="Q142" i="51" a="1"/>
  <c r="Q142" i="51" s="1"/>
  <c r="L100" i="53" a="1"/>
  <c r="L100" i="53" s="1"/>
  <c r="U36" i="51" a="1"/>
  <c r="U36" i="51" s="1"/>
  <c r="I206" i="73"/>
  <c r="I255" i="73" s="1"/>
  <c r="H112" i="51" a="1"/>
  <c r="H112" i="51" s="1"/>
  <c r="H147" i="51" s="1" a="1"/>
  <c r="H147" i="51" s="1"/>
  <c r="H111" i="51" a="1"/>
  <c r="H111" i="51" s="1"/>
  <c r="H146" i="51" s="1" a="1"/>
  <c r="H146" i="51" s="1"/>
  <c r="K37" i="51" a="1"/>
  <c r="K37" i="51" s="1"/>
  <c r="K72" i="51" s="1" a="1"/>
  <c r="K72" i="51" s="1"/>
  <c r="K39" i="51" a="1"/>
  <c r="K39" i="51" s="1"/>
  <c r="K74" i="51" s="1" a="1"/>
  <c r="K74" i="51" s="1"/>
  <c r="K36" i="51" a="1"/>
  <c r="K36" i="51" s="1"/>
  <c r="I199" i="73"/>
  <c r="I248" i="73" s="1"/>
  <c r="K38" i="51" a="1"/>
  <c r="K38" i="51" s="1"/>
  <c r="K73" i="51" s="1" a="1"/>
  <c r="K73" i="51" s="1"/>
  <c r="D97" i="52" a="1"/>
  <c r="D97" i="52" s="1"/>
  <c r="D62" i="52" s="1"/>
  <c r="I62" i="52" s="1"/>
  <c r="I208" i="73"/>
  <c r="I257" i="73" s="1" a="1"/>
  <c r="I257" i="73" s="1"/>
  <c r="I198" i="73"/>
  <c r="I247" i="73" s="1"/>
  <c r="U37" i="51" a="1"/>
  <c r="U37" i="51" s="1"/>
  <c r="U72" i="51" s="1" a="1"/>
  <c r="U72" i="51" s="1"/>
  <c r="G102" i="53" a="1"/>
  <c r="G102" i="53" s="1"/>
  <c r="G63" i="53" s="1"/>
  <c r="T71" i="51" a="1"/>
  <c r="T71" i="51" s="1"/>
  <c r="G102" i="52" a="1"/>
  <c r="G102" i="52" s="1"/>
  <c r="G63" i="52" s="1"/>
  <c r="R71" i="51" a="1"/>
  <c r="R71" i="51" s="1"/>
  <c r="E102" i="53" a="1"/>
  <c r="E102" i="53" s="1"/>
  <c r="E63" i="53" s="1"/>
  <c r="E102" i="52" a="1"/>
  <c r="E102" i="52" s="1"/>
  <c r="E63" i="52" s="1"/>
  <c r="S71" i="51" a="1"/>
  <c r="S71" i="51" s="1"/>
  <c r="F102" i="53" a="1"/>
  <c r="F102" i="53" s="1"/>
  <c r="F63" i="53" s="1"/>
  <c r="F102" i="52" a="1"/>
  <c r="F102" i="52" s="1"/>
  <c r="F63" i="52" s="1"/>
  <c r="U38" i="51" a="1"/>
  <c r="U38" i="51" s="1"/>
  <c r="U73" i="51" s="1" a="1"/>
  <c r="U73" i="51" s="1"/>
  <c r="I195" i="73"/>
  <c r="I244" i="73" s="1"/>
  <c r="L101" i="52" a="1"/>
  <c r="L101" i="52" s="1"/>
  <c r="H109" i="51" a="1"/>
  <c r="H109" i="51" s="1"/>
  <c r="H110" i="51" a="1"/>
  <c r="H110" i="51" s="1"/>
  <c r="H145" i="51" s="1" a="1"/>
  <c r="H145" i="51" s="1"/>
  <c r="O63" i="52"/>
  <c r="K108" i="65" s="1"/>
  <c r="P63" i="52"/>
  <c r="K109" i="65" s="1"/>
  <c r="I207" i="73"/>
  <c r="I256" i="73" s="1"/>
  <c r="K196" i="73"/>
  <c r="K245" i="73" s="1"/>
  <c r="L101" i="53" a="1"/>
  <c r="L101" i="53" s="1"/>
  <c r="H27" i="67" a="1"/>
  <c r="H27" i="67" s="1"/>
  <c r="K106" i="51" a="1"/>
  <c r="K106" i="51" s="1"/>
  <c r="K141" i="51" s="1" a="1"/>
  <c r="K141" i="51" s="1"/>
  <c r="L100" i="52" a="1"/>
  <c r="L100" i="52" s="1"/>
  <c r="J106" i="51" a="1"/>
  <c r="J106" i="51" s="1"/>
  <c r="J141" i="51" s="1" a="1"/>
  <c r="J141" i="51" s="1"/>
  <c r="H106" i="51" a="1"/>
  <c r="H106" i="51" s="1"/>
  <c r="H141" i="51" s="1" a="1"/>
  <c r="H141" i="51" s="1"/>
  <c r="I106" i="51" a="1"/>
  <c r="I106" i="51" s="1"/>
  <c r="I141" i="51" s="1" a="1"/>
  <c r="I141" i="51" s="1"/>
  <c r="S32" i="51" a="1"/>
  <c r="S32" i="51" s="1"/>
  <c r="S67" i="51" s="1" a="1"/>
  <c r="S67" i="51" s="1"/>
  <c r="J47" i="63"/>
  <c r="I194" i="73"/>
  <c r="I243" i="73" s="1"/>
  <c r="Q143" i="51" a="1"/>
  <c r="Q143" i="51" s="1"/>
  <c r="L55" i="52"/>
  <c r="I200" i="73"/>
  <c r="I249" i="73" s="1"/>
  <c r="K160" i="63" a="1"/>
  <c r="K160" i="63" s="1"/>
  <c r="L160" i="63" a="1"/>
  <c r="L160" i="63" s="1"/>
  <c r="I160" i="63" a="1"/>
  <c r="I160" i="63" s="1"/>
  <c r="J160" i="63" a="1"/>
  <c r="J160" i="63" s="1"/>
  <c r="H160" i="63" a="1"/>
  <c r="H160" i="63" s="1"/>
  <c r="S145" i="51" a="1"/>
  <c r="S145" i="51" s="1"/>
  <c r="K206" i="73"/>
  <c r="K255" i="73" s="1"/>
  <c r="K198" i="73"/>
  <c r="K247" i="73" s="1"/>
  <c r="K208" i="73"/>
  <c r="K257" i="73" s="1" a="1"/>
  <c r="K257" i="73" s="1"/>
  <c r="K199" i="73"/>
  <c r="K248" i="73" s="1"/>
  <c r="S146" i="51" a="1"/>
  <c r="S146" i="51" s="1"/>
  <c r="K207" i="73"/>
  <c r="K256" i="73" s="1"/>
  <c r="R109" i="51" a="1"/>
  <c r="R109" i="51" s="1"/>
  <c r="R110" i="51" a="1"/>
  <c r="R110" i="51" s="1"/>
  <c r="R111" i="51" a="1"/>
  <c r="R111" i="51" s="1"/>
  <c r="N102" i="53" a="1"/>
  <c r="N102" i="53" s="1"/>
  <c r="N63" i="53" s="1"/>
  <c r="S144" i="51" a="1"/>
  <c r="S144" i="51" s="1"/>
  <c r="N102" i="52" a="1"/>
  <c r="N102" i="52" s="1"/>
  <c r="L87" i="52"/>
  <c r="G302" i="44"/>
  <c r="N110" i="67"/>
  <c r="G57" i="74" s="1" a="1"/>
  <c r="G57" i="74" s="1"/>
  <c r="G110" i="67"/>
  <c r="L38" i="67"/>
  <c r="I38" i="67"/>
  <c r="K38" i="67"/>
  <c r="H107" i="65"/>
  <c r="X27" i="67"/>
  <c r="J38" i="67"/>
  <c r="H38" i="67"/>
  <c r="H163" i="44"/>
  <c r="E73" i="53" s="1"/>
  <c r="G163" i="44"/>
  <c r="D73" i="53" s="1"/>
  <c r="L301" i="49"/>
  <c r="L299" i="49" s="1"/>
  <c r="L306" i="49" s="1"/>
  <c r="P73" i="49"/>
  <c r="Q73" i="49" s="1"/>
  <c r="M304" i="49"/>
  <c r="M302" i="49" s="1"/>
  <c r="M307" i="49" s="1"/>
  <c r="P71" i="49"/>
  <c r="Q71" i="49" s="1"/>
  <c r="L295" i="49"/>
  <c r="L293" i="49" s="1"/>
  <c r="K301" i="49"/>
  <c r="K299" i="49" s="1"/>
  <c r="K306" i="49" s="1"/>
  <c r="N304" i="49"/>
  <c r="N302" i="49" s="1"/>
  <c r="N307" i="49" s="1"/>
  <c r="L304" i="49"/>
  <c r="L302" i="49" s="1"/>
  <c r="L307" i="49" s="1"/>
  <c r="K298" i="49"/>
  <c r="K296" i="49" s="1"/>
  <c r="N301" i="49"/>
  <c r="N299" i="49" s="1"/>
  <c r="N306" i="49" s="1"/>
  <c r="O304" i="49"/>
  <c r="O302" i="49" s="1"/>
  <c r="O307" i="49" s="1"/>
  <c r="K302" i="49"/>
  <c r="K307" i="49" s="1"/>
  <c r="M298" i="49"/>
  <c r="M296" i="49" s="1"/>
  <c r="O301" i="49"/>
  <c r="O299" i="49" s="1"/>
  <c r="O306" i="49" s="1"/>
  <c r="H245" i="44"/>
  <c r="I125" i="67" s="1"/>
  <c r="L298" i="49"/>
  <c r="L296" i="49" s="1"/>
  <c r="N295" i="49"/>
  <c r="N293" i="49" s="1"/>
  <c r="N298" i="49"/>
  <c r="N296" i="49" s="1"/>
  <c r="H239" i="44"/>
  <c r="I124" i="67" s="1"/>
  <c r="K233" i="44"/>
  <c r="K68" i="49"/>
  <c r="K75" i="49" s="1"/>
  <c r="J245" i="44"/>
  <c r="K125" i="67" s="1"/>
  <c r="I245" i="44"/>
  <c r="J125" i="67" s="1"/>
  <c r="I239" i="44"/>
  <c r="J124" i="67" s="1"/>
  <c r="G245" i="44"/>
  <c r="H125" i="67" s="1"/>
  <c r="G239" i="44"/>
  <c r="H124" i="67" s="1"/>
  <c r="J233" i="44"/>
  <c r="K245" i="44"/>
  <c r="K239" i="44"/>
  <c r="J239" i="44"/>
  <c r="K124" i="67" s="1"/>
  <c r="G233" i="44"/>
  <c r="H233" i="44"/>
  <c r="I233" i="44"/>
  <c r="H113" i="44"/>
  <c r="I106" i="44"/>
  <c r="J113" i="44"/>
  <c r="K113" i="44"/>
  <c r="K106" i="44"/>
  <c r="G120" i="44"/>
  <c r="H106" i="44"/>
  <c r="J106" i="44"/>
  <c r="I113" i="44"/>
  <c r="G75" i="44"/>
  <c r="D94" i="52"/>
  <c r="D55" i="52" s="1"/>
  <c r="F94" i="52"/>
  <c r="J68" i="44"/>
  <c r="G93" i="52"/>
  <c r="K68" i="44"/>
  <c r="H93" i="52"/>
  <c r="H94" i="52"/>
  <c r="I61" i="44"/>
  <c r="F92" i="52"/>
  <c r="H61" i="44"/>
  <c r="E92" i="52"/>
  <c r="E94" i="52"/>
  <c r="K61" i="44"/>
  <c r="H92" i="52"/>
  <c r="I68" i="44"/>
  <c r="F93" i="52"/>
  <c r="J61" i="44"/>
  <c r="G94" i="52"/>
  <c r="H68" i="44"/>
  <c r="E93" i="52"/>
  <c r="J468" i="44"/>
  <c r="H412" i="44"/>
  <c r="H468" i="44"/>
  <c r="I412" i="44"/>
  <c r="J412" i="44"/>
  <c r="H474" i="44"/>
  <c r="K468" i="44"/>
  <c r="I468" i="44"/>
  <c r="K412" i="44"/>
  <c r="K474" i="44"/>
  <c r="G412" i="44"/>
  <c r="G474" i="44"/>
  <c r="O143" i="67" s="1"/>
  <c r="O133" i="67" s="1"/>
  <c r="I474" i="44"/>
  <c r="J474" i="44"/>
  <c r="H97" i="44"/>
  <c r="K83" i="44"/>
  <c r="I75" i="44"/>
  <c r="I90" i="44"/>
  <c r="J97" i="44"/>
  <c r="J120" i="44"/>
  <c r="J90" i="44"/>
  <c r="I97" i="44"/>
  <c r="I128" i="44"/>
  <c r="G68" i="44"/>
  <c r="H120" i="44"/>
  <c r="J135" i="44"/>
  <c r="K75" i="44"/>
  <c r="K90" i="44"/>
  <c r="H90" i="44"/>
  <c r="H135" i="44"/>
  <c r="G97" i="44"/>
  <c r="G113" i="44"/>
  <c r="H128" i="44"/>
  <c r="K128" i="44"/>
  <c r="K97" i="44"/>
  <c r="G90" i="44"/>
  <c r="I120" i="44"/>
  <c r="J128" i="44"/>
  <c r="H75" i="44"/>
  <c r="K120" i="44"/>
  <c r="G135" i="44"/>
  <c r="G106" i="44"/>
  <c r="I135" i="44"/>
  <c r="I83" i="44"/>
  <c r="J75" i="44"/>
  <c r="H83" i="44"/>
  <c r="J83" i="44"/>
  <c r="K135" i="44"/>
  <c r="G128" i="44"/>
  <c r="G83" i="44"/>
  <c r="K71" i="51" l="1" a="1"/>
  <c r="K71" i="51" s="1"/>
  <c r="L32" i="67" a="1"/>
  <c r="L32" i="67" s="1"/>
  <c r="U71" i="51" a="1"/>
  <c r="U71" i="51" s="1"/>
  <c r="L104" i="67" a="1"/>
  <c r="L104" i="67" s="1"/>
  <c r="L124" i="67"/>
  <c r="L125" i="67"/>
  <c r="L63" i="53"/>
  <c r="G32" i="67"/>
  <c r="F57" i="74" a="1"/>
  <c r="F57" i="74" s="1"/>
  <c r="G27" i="67"/>
  <c r="H144" i="51" a="1"/>
  <c r="H144" i="51" s="1"/>
  <c r="P32" i="67" a="1"/>
  <c r="P32" i="67" s="1"/>
  <c r="N32" i="67" s="1"/>
  <c r="P104" i="67" a="1"/>
  <c r="P104" i="67" s="1"/>
  <c r="N101" i="67" s="1"/>
  <c r="G54" i="74" s="1" a="1"/>
  <c r="G54" i="74" s="1"/>
  <c r="N30" i="67"/>
  <c r="H102" i="53" a="1"/>
  <c r="H102" i="53" s="1"/>
  <c r="H63" i="53" s="1"/>
  <c r="H102" i="52" a="1"/>
  <c r="H102" i="52" s="1"/>
  <c r="H63" i="52" s="1"/>
  <c r="J196" i="73"/>
  <c r="J245" i="73" s="1"/>
  <c r="L63" i="52"/>
  <c r="K105" i="65" s="1"/>
  <c r="K120" i="65" s="1"/>
  <c r="I123" i="67"/>
  <c r="I134" i="67" s="1"/>
  <c r="E85" i="53"/>
  <c r="H123" i="67"/>
  <c r="H134" i="67" s="1"/>
  <c r="D85" i="53"/>
  <c r="J123" i="67"/>
  <c r="J134" i="67" s="1"/>
  <c r="F85" i="53"/>
  <c r="L123" i="67"/>
  <c r="L134" i="67" s="1"/>
  <c r="H85" i="53"/>
  <c r="K123" i="67"/>
  <c r="K134" i="67" s="1"/>
  <c r="G85" i="53"/>
  <c r="J204" i="73"/>
  <c r="J253" i="73" s="1"/>
  <c r="N63" i="52"/>
  <c r="K107" i="65" s="1"/>
  <c r="K115" i="65" s="1"/>
  <c r="M200" i="73"/>
  <c r="M249" i="73" s="1"/>
  <c r="J200" i="73"/>
  <c r="J249" i="73" s="1"/>
  <c r="K200" i="73"/>
  <c r="K249" i="73" s="1"/>
  <c r="L200" i="73"/>
  <c r="L249" i="73" s="1"/>
  <c r="K105" i="51" a="1"/>
  <c r="K105" i="51" s="1"/>
  <c r="K140" i="51" s="1" a="1"/>
  <c r="K140" i="51" s="1"/>
  <c r="L176" i="63"/>
  <c r="J105" i="51" a="1"/>
  <c r="J105" i="51" s="1"/>
  <c r="J140" i="51" s="1" a="1"/>
  <c r="J140" i="51" s="1"/>
  <c r="K176" i="63"/>
  <c r="G105" i="51" a="1"/>
  <c r="G105" i="51" s="1"/>
  <c r="G140" i="51" s="1" a="1"/>
  <c r="G140" i="51" s="1"/>
  <c r="H176" i="63"/>
  <c r="I105" i="51" a="1"/>
  <c r="I105" i="51" s="1"/>
  <c r="I140" i="51" s="1" a="1"/>
  <c r="I140" i="51" s="1"/>
  <c r="J176" i="63"/>
  <c r="H105" i="51" a="1"/>
  <c r="H105" i="51" s="1"/>
  <c r="H140" i="51" s="1" a="1"/>
  <c r="H140" i="51" s="1"/>
  <c r="I176" i="63"/>
  <c r="J199" i="73"/>
  <c r="J248" i="73" s="1"/>
  <c r="R145" i="51" a="1"/>
  <c r="R145" i="51" s="1"/>
  <c r="J206" i="73"/>
  <c r="J255" i="73" s="1"/>
  <c r="R146" i="51" a="1"/>
  <c r="R146" i="51" s="1"/>
  <c r="J207" i="73"/>
  <c r="J256" i="73" s="1"/>
  <c r="J208" i="73"/>
  <c r="J257" i="73" s="1" a="1"/>
  <c r="J257" i="73" s="1"/>
  <c r="J198" i="73"/>
  <c r="J247" i="73" s="1"/>
  <c r="P302" i="49"/>
  <c r="R144" i="51" a="1"/>
  <c r="R144" i="51" s="1"/>
  <c r="M102" i="53" a="1"/>
  <c r="M102" i="53" s="1"/>
  <c r="M63" i="53" s="1"/>
  <c r="M102" i="52" a="1"/>
  <c r="M102" i="52" s="1"/>
  <c r="R143" i="67"/>
  <c r="R133" i="67" s="1"/>
  <c r="O87" i="53"/>
  <c r="J303" i="44"/>
  <c r="P143" i="67"/>
  <c r="P133" i="67" s="1"/>
  <c r="M87" i="53"/>
  <c r="H303" i="44"/>
  <c r="P73" i="53"/>
  <c r="P73" i="52"/>
  <c r="Q143" i="67"/>
  <c r="Q133" i="67" s="1"/>
  <c r="N87" i="53"/>
  <c r="I303" i="44"/>
  <c r="O73" i="52"/>
  <c r="O73" i="53"/>
  <c r="S71" i="67"/>
  <c r="S61" i="67" s="1"/>
  <c r="P87" i="52"/>
  <c r="K302" i="44"/>
  <c r="L87" i="53"/>
  <c r="G303" i="44"/>
  <c r="N73" i="53"/>
  <c r="N73" i="52"/>
  <c r="L73" i="53"/>
  <c r="L73" i="52"/>
  <c r="P71" i="67"/>
  <c r="P61" i="67" s="1"/>
  <c r="M87" i="52"/>
  <c r="H302" i="44"/>
  <c r="M73" i="52"/>
  <c r="M73" i="53"/>
  <c r="S143" i="67"/>
  <c r="S133" i="67" s="1"/>
  <c r="P87" i="53"/>
  <c r="K303" i="44"/>
  <c r="R71" i="67"/>
  <c r="R61" i="67" s="1"/>
  <c r="O87" i="52"/>
  <c r="J302" i="44"/>
  <c r="Q71" i="67"/>
  <c r="Q61" i="67" s="1"/>
  <c r="N87" i="52"/>
  <c r="I302" i="44"/>
  <c r="H115" i="65"/>
  <c r="X99" i="67"/>
  <c r="N125" i="67"/>
  <c r="G66" i="74" s="1" a="1"/>
  <c r="G66" i="74" s="1"/>
  <c r="G124" i="67"/>
  <c r="N124" i="67"/>
  <c r="G65" i="74" s="1" a="1"/>
  <c r="G65" i="74" s="1"/>
  <c r="N123" i="67"/>
  <c r="G64" i="74" s="1" a="1"/>
  <c r="G64" i="74" s="1"/>
  <c r="H53" i="67"/>
  <c r="Y38" i="67"/>
  <c r="G38" i="67"/>
  <c r="W99" i="67"/>
  <c r="W27" i="67"/>
  <c r="Y110" i="67"/>
  <c r="Z110" i="67"/>
  <c r="V38" i="67"/>
  <c r="N38" i="67"/>
  <c r="G17" i="74" s="1" a="1"/>
  <c r="G17" i="74" s="1"/>
  <c r="Z38" i="67"/>
  <c r="V110" i="67"/>
  <c r="W38" i="67"/>
  <c r="X38" i="67"/>
  <c r="W110" i="67"/>
  <c r="X110" i="67"/>
  <c r="H106" i="65"/>
  <c r="K123" i="65"/>
  <c r="K117" i="65"/>
  <c r="H13" i="63" a="1"/>
  <c r="H13" i="63" s="1"/>
  <c r="H29" i="63" s="1" a="1"/>
  <c r="H29" i="63" s="1"/>
  <c r="M301" i="49"/>
  <c r="M299" i="49" s="1"/>
  <c r="M306" i="49" s="1"/>
  <c r="O298" i="49"/>
  <c r="O296" i="49" s="1"/>
  <c r="P296" i="49" s="1"/>
  <c r="Q296" i="49" s="1"/>
  <c r="P67" i="49"/>
  <c r="Q67" i="49" s="1"/>
  <c r="P295" i="49"/>
  <c r="Q295" i="49" s="1"/>
  <c r="P304" i="49"/>
  <c r="Q304" i="49" s="1"/>
  <c r="P293" i="49"/>
  <c r="Q293" i="49" s="1"/>
  <c r="P64" i="49"/>
  <c r="Q64" i="49" s="1"/>
  <c r="P70" i="49"/>
  <c r="Q70" i="49" s="1"/>
  <c r="G105" i="65"/>
  <c r="E55" i="52"/>
  <c r="D55" i="53"/>
  <c r="L55" i="53"/>
  <c r="O55" i="52"/>
  <c r="G108" i="65" s="1"/>
  <c r="M55" i="52"/>
  <c r="G106" i="65" s="1"/>
  <c r="N55" i="52"/>
  <c r="G107" i="65" s="1"/>
  <c r="P55" i="52"/>
  <c r="G109" i="65" s="1"/>
  <c r="N55" i="53"/>
  <c r="O55" i="53"/>
  <c r="M55" i="53"/>
  <c r="P55" i="53"/>
  <c r="H366" i="44"/>
  <c r="H367" i="44" s="1" a="1"/>
  <c r="H367" i="44" s="1"/>
  <c r="H365" i="44"/>
  <c r="I320" i="44"/>
  <c r="I321" i="44"/>
  <c r="I322" i="44" s="1" a="1"/>
  <c r="I322" i="44" s="1"/>
  <c r="K314" i="44"/>
  <c r="K315" i="44" s="1" a="1"/>
  <c r="K315" i="44" s="1"/>
  <c r="K313" i="44"/>
  <c r="J358" i="44"/>
  <c r="J359" i="44"/>
  <c r="J360" i="44" s="1" a="1"/>
  <c r="J360" i="44" s="1"/>
  <c r="K320" i="44"/>
  <c r="K321" i="44"/>
  <c r="K322" i="44" s="1" a="1"/>
  <c r="K322" i="44" s="1"/>
  <c r="I359" i="44"/>
  <c r="I360" i="44" s="1" a="1"/>
  <c r="I360" i="44" s="1"/>
  <c r="I358" i="44"/>
  <c r="G372" i="44"/>
  <c r="G373" i="44"/>
  <c r="G374" i="44" s="1" a="1"/>
  <c r="G374" i="44" s="1"/>
  <c r="G328" i="44"/>
  <c r="G329" i="44" s="1" a="1"/>
  <c r="G329" i="44" s="1"/>
  <c r="G327" i="44"/>
  <c r="H313" i="44"/>
  <c r="H314" i="44"/>
  <c r="H315" i="44" s="1" a="1"/>
  <c r="H315" i="44" s="1"/>
  <c r="I366" i="44"/>
  <c r="I367" i="44" s="1" a="1"/>
  <c r="I367" i="44" s="1"/>
  <c r="I365" i="44"/>
  <c r="H321" i="44"/>
  <c r="H322" i="44" s="1" a="1"/>
  <c r="H322" i="44" s="1"/>
  <c r="H320" i="44"/>
  <c r="J366" i="44"/>
  <c r="J367" i="44" s="1" a="1"/>
  <c r="J367" i="44" s="1"/>
  <c r="J365" i="44"/>
  <c r="J313" i="44"/>
  <c r="J314" i="44"/>
  <c r="J315" i="44" s="1" a="1"/>
  <c r="J315" i="44" s="1"/>
  <c r="K365" i="44"/>
  <c r="K366" i="44"/>
  <c r="K367" i="44" s="1" a="1"/>
  <c r="K367" i="44" s="1"/>
  <c r="H359" i="44"/>
  <c r="H360" i="44" s="1" a="1"/>
  <c r="H360" i="44" s="1"/>
  <c r="H358" i="44"/>
  <c r="J320" i="44"/>
  <c r="J321" i="44"/>
  <c r="J322" i="44" s="1" a="1"/>
  <c r="J322" i="44" s="1"/>
  <c r="I313" i="44"/>
  <c r="I314" i="44"/>
  <c r="I315" i="44" s="1" a="1"/>
  <c r="I315" i="44" s="1"/>
  <c r="K358" i="44"/>
  <c r="K359" i="44"/>
  <c r="K360" i="44" s="1" a="1"/>
  <c r="K360" i="44" s="1"/>
  <c r="K116" i="44"/>
  <c r="K117" i="44"/>
  <c r="K118" i="44" s="1" a="1"/>
  <c r="K118" i="44" s="1"/>
  <c r="K115" i="44" a="1"/>
  <c r="K115" i="44" s="1"/>
  <c r="H109" i="44"/>
  <c r="H110" i="44"/>
  <c r="H111" i="44" s="1" a="1"/>
  <c r="H111" i="44" s="1"/>
  <c r="H108" i="44" a="1"/>
  <c r="H108" i="44" s="1"/>
  <c r="I116" i="44"/>
  <c r="I117" i="44"/>
  <c r="I118" i="44" s="1" a="1"/>
  <c r="I118" i="44" s="1"/>
  <c r="I115" i="44" a="1"/>
  <c r="I115" i="44" s="1"/>
  <c r="J116" i="44"/>
  <c r="J117" i="44"/>
  <c r="J118" i="44" s="1" a="1"/>
  <c r="J118" i="44" s="1"/>
  <c r="J115" i="44" a="1"/>
  <c r="J115" i="44" s="1"/>
  <c r="H117" i="44"/>
  <c r="H118" i="44" s="1" a="1"/>
  <c r="H118" i="44" s="1"/>
  <c r="H115" i="44" a="1"/>
  <c r="H115" i="44" s="1"/>
  <c r="H116" i="44"/>
  <c r="G79" i="44"/>
  <c r="G78" i="44"/>
  <c r="G77" i="44" a="1"/>
  <c r="G77" i="44" s="1"/>
  <c r="G124" i="44"/>
  <c r="G125" i="44" s="1" a="1"/>
  <c r="G125" i="44" s="1"/>
  <c r="G123" i="44"/>
  <c r="G122" i="44" a="1"/>
  <c r="G122" i="44" s="1"/>
  <c r="J110" i="44"/>
  <c r="J111" i="44" s="1" a="1"/>
  <c r="J111" i="44" s="1"/>
  <c r="J108" i="44" a="1"/>
  <c r="J108" i="44" s="1"/>
  <c r="J109" i="44"/>
  <c r="K110" i="44"/>
  <c r="K111" i="44" s="1" a="1"/>
  <c r="K111" i="44" s="1"/>
  <c r="K108" i="44" a="1"/>
  <c r="K108" i="44" s="1"/>
  <c r="K109" i="44"/>
  <c r="I109" i="44"/>
  <c r="I110" i="44"/>
  <c r="I111" i="44" s="1" a="1"/>
  <c r="I111" i="44" s="1"/>
  <c r="I108" i="44" a="1"/>
  <c r="I108" i="44" s="1"/>
  <c r="I70" i="44" a="1"/>
  <c r="I70" i="44" s="1"/>
  <c r="I72" i="44"/>
  <c r="I73" i="44" s="1" a="1"/>
  <c r="I73" i="44" s="1"/>
  <c r="I71" i="44"/>
  <c r="K70" i="44" a="1"/>
  <c r="K70" i="44" s="1"/>
  <c r="K71" i="44"/>
  <c r="K72" i="44"/>
  <c r="K73" i="44" s="1" a="1"/>
  <c r="K73" i="44" s="1"/>
  <c r="J72" i="44"/>
  <c r="J73" i="44" s="1" a="1"/>
  <c r="J73" i="44" s="1"/>
  <c r="J70" i="44" a="1"/>
  <c r="J70" i="44" s="1"/>
  <c r="J71" i="44"/>
  <c r="H72" i="44"/>
  <c r="H73" i="44" s="1" a="1"/>
  <c r="H73" i="44" s="1"/>
  <c r="H70" i="44" a="1"/>
  <c r="H70" i="44" s="1"/>
  <c r="H71" i="44"/>
  <c r="H65" i="44"/>
  <c r="H66" i="44" s="1" a="1"/>
  <c r="H66" i="44" s="1"/>
  <c r="H63" i="44" a="1"/>
  <c r="H63" i="44" s="1"/>
  <c r="K63" i="44" a="1"/>
  <c r="K63" i="44" s="1"/>
  <c r="K65" i="44"/>
  <c r="K66" i="44" s="1" a="1"/>
  <c r="K66" i="44" s="1"/>
  <c r="I63" i="44" a="1"/>
  <c r="I63" i="44" s="1"/>
  <c r="I65" i="44"/>
  <c r="I66" i="44" s="1" a="1"/>
  <c r="I66" i="44" s="1"/>
  <c r="J63" i="44" a="1"/>
  <c r="J63" i="44" s="1"/>
  <c r="J65" i="44"/>
  <c r="J66" i="44" s="1" a="1"/>
  <c r="J66" i="44" s="1"/>
  <c r="H64" i="44"/>
  <c r="K64" i="44"/>
  <c r="I64" i="44"/>
  <c r="J64" i="44"/>
  <c r="E55" i="53"/>
  <c r="H55" i="53"/>
  <c r="G55" i="53"/>
  <c r="F55" i="53"/>
  <c r="F55" i="52"/>
  <c r="G55" i="52"/>
  <c r="H55" i="52"/>
  <c r="H225" i="44"/>
  <c r="E87" i="53" s="1"/>
  <c r="K219" i="44"/>
  <c r="J219" i="44"/>
  <c r="H219" i="44"/>
  <c r="G225" i="44"/>
  <c r="K225" i="44"/>
  <c r="H87" i="53" s="1"/>
  <c r="I219" i="44"/>
  <c r="J71" i="67" s="1"/>
  <c r="J61" i="67" s="1"/>
  <c r="G219" i="44"/>
  <c r="H71" i="67" s="1"/>
  <c r="H61" i="67" s="1"/>
  <c r="I225" i="44"/>
  <c r="F87" i="53" s="1"/>
  <c r="J225" i="44"/>
  <c r="G87" i="53" s="1"/>
  <c r="K13" i="44"/>
  <c r="H13" i="44"/>
  <c r="I13" i="44"/>
  <c r="J13" i="44"/>
  <c r="G13" i="44"/>
  <c r="I57" i="74" l="1"/>
  <c r="M57" i="74"/>
  <c r="Q63" i="53"/>
  <c r="Z134" i="67"/>
  <c r="X134" i="67"/>
  <c r="Y134" i="67"/>
  <c r="W134" i="67"/>
  <c r="N133" i="67"/>
  <c r="X61" i="67"/>
  <c r="V61" i="67"/>
  <c r="N61" i="67"/>
  <c r="F65" i="74" a="1"/>
  <c r="F65" i="74" s="1"/>
  <c r="F13" i="74" a="1"/>
  <c r="F13" i="74" s="1"/>
  <c r="M13" i="74" s="1"/>
  <c r="F17" i="74" a="1"/>
  <c r="F17" i="74" s="1"/>
  <c r="M17" i="74" s="1"/>
  <c r="G104" i="67"/>
  <c r="N29" i="67"/>
  <c r="G14" i="74" s="1" a="1"/>
  <c r="G14" i="74" s="1"/>
  <c r="L54" i="52"/>
  <c r="L57" i="52"/>
  <c r="J105" i="65" s="1"/>
  <c r="G123" i="67"/>
  <c r="Q302" i="49"/>
  <c r="G80" i="44" a="1"/>
  <c r="G80" i="44" s="1"/>
  <c r="G23" i="51"/>
  <c r="G12" i="51" s="1" a="1"/>
  <c r="G12" i="51" s="1"/>
  <c r="H143" i="67"/>
  <c r="H133" i="67" s="1"/>
  <c r="D87" i="53"/>
  <c r="M63" i="52"/>
  <c r="Q63" i="52" s="1"/>
  <c r="E3" i="63"/>
  <c r="E23" i="25" s="1"/>
  <c r="I197" i="73"/>
  <c r="I246" i="73" s="1"/>
  <c r="J197" i="73"/>
  <c r="J246" i="73" s="1"/>
  <c r="L197" i="73"/>
  <c r="L246" i="73" s="1"/>
  <c r="K197" i="73"/>
  <c r="K246" i="73" s="1"/>
  <c r="M197" i="73"/>
  <c r="M246" i="73" s="1"/>
  <c r="Q31" i="51" a="1"/>
  <c r="Q31" i="51" s="1"/>
  <c r="H45" i="63"/>
  <c r="N143" i="67"/>
  <c r="G76" i="74" s="1" a="1"/>
  <c r="G76" i="74" s="1"/>
  <c r="H122" i="65"/>
  <c r="O54" i="52"/>
  <c r="F108" i="65" s="1"/>
  <c r="H121" i="65"/>
  <c r="P54" i="52"/>
  <c r="F109" i="65" s="1"/>
  <c r="U38" i="67"/>
  <c r="K143" i="67"/>
  <c r="K133" i="67" s="1"/>
  <c r="J143" i="67"/>
  <c r="J133" i="67" s="1"/>
  <c r="I143" i="67"/>
  <c r="I133" i="67" s="1"/>
  <c r="L143" i="67"/>
  <c r="L133" i="67" s="1"/>
  <c r="N104" i="67"/>
  <c r="G125" i="67"/>
  <c r="U110" i="67"/>
  <c r="Y99" i="67"/>
  <c r="Y27" i="67"/>
  <c r="Z27" i="67"/>
  <c r="M54" i="52"/>
  <c r="F106" i="65" s="1"/>
  <c r="N54" i="52"/>
  <c r="F107" i="65" s="1"/>
  <c r="H105" i="65"/>
  <c r="H108" i="65"/>
  <c r="H109" i="65"/>
  <c r="K122" i="65"/>
  <c r="K113" i="65"/>
  <c r="K124" i="65"/>
  <c r="K116" i="65"/>
  <c r="G114" i="65"/>
  <c r="G121" i="65"/>
  <c r="G115" i="65"/>
  <c r="G122" i="65"/>
  <c r="G116" i="65"/>
  <c r="G123" i="65"/>
  <c r="G117" i="65"/>
  <c r="G124" i="65"/>
  <c r="G113" i="65"/>
  <c r="G120" i="65"/>
  <c r="P66" i="49"/>
  <c r="Q66" i="49" s="1"/>
  <c r="K65" i="49"/>
  <c r="P65" i="49" s="1"/>
  <c r="Q65" i="49" s="1"/>
  <c r="P68" i="49"/>
  <c r="Q68" i="49" s="1"/>
  <c r="P301" i="49"/>
  <c r="Q301" i="49" s="1"/>
  <c r="P298" i="49"/>
  <c r="Q298" i="49" s="1"/>
  <c r="P299" i="49"/>
  <c r="Q299" i="49" s="1"/>
  <c r="S21" i="51"/>
  <c r="S10" i="51" s="1" a="1"/>
  <c r="S10" i="51" s="1"/>
  <c r="T21" i="51"/>
  <c r="T10" i="51" s="1" a="1"/>
  <c r="T10" i="51" s="1"/>
  <c r="R21" i="51"/>
  <c r="R10" i="51" s="1" a="1"/>
  <c r="R10" i="51" s="1"/>
  <c r="U21" i="51"/>
  <c r="U10" i="51" s="1" a="1"/>
  <c r="U10" i="51" s="1"/>
  <c r="Q23" i="51"/>
  <c r="Q12" i="51" s="1" a="1"/>
  <c r="Q12" i="51" s="1"/>
  <c r="R22" i="51"/>
  <c r="R11" i="51" s="1" a="1"/>
  <c r="R11" i="51" s="1"/>
  <c r="T22" i="51"/>
  <c r="T11" i="51" s="1" a="1"/>
  <c r="T11" i="51" s="1"/>
  <c r="U22" i="51"/>
  <c r="U11" i="51" s="1" a="1"/>
  <c r="U11" i="51" s="1"/>
  <c r="I21" i="51"/>
  <c r="I10" i="51" s="1" a="1"/>
  <c r="I10" i="51" s="1"/>
  <c r="K22" i="51"/>
  <c r="K11" i="51" s="1" a="1"/>
  <c r="K11" i="51" s="1"/>
  <c r="J22" i="51"/>
  <c r="J11" i="51" s="1" a="1"/>
  <c r="J11" i="51" s="1"/>
  <c r="H22" i="51"/>
  <c r="H11" i="51" s="1" a="1"/>
  <c r="H11" i="51" s="1"/>
  <c r="J21" i="51"/>
  <c r="J10" i="51" s="1" a="1"/>
  <c r="J10" i="51" s="1"/>
  <c r="K21" i="51"/>
  <c r="K10" i="51" s="1" a="1"/>
  <c r="K10" i="51" s="1"/>
  <c r="S22" i="51"/>
  <c r="S11" i="51" s="1" a="1"/>
  <c r="S11" i="51" s="1"/>
  <c r="U94" i="51"/>
  <c r="M187" i="73" s="1"/>
  <c r="M236" i="73" s="1"/>
  <c r="U95" i="51"/>
  <c r="M188" i="73" s="1"/>
  <c r="M237" i="73" s="1"/>
  <c r="J94" i="51"/>
  <c r="L179" i="73" s="1"/>
  <c r="L228" i="73" s="1"/>
  <c r="T95" i="51"/>
  <c r="L188" i="73" s="1"/>
  <c r="L237" i="73" s="1"/>
  <c r="G96" i="51"/>
  <c r="I181" i="73" s="1"/>
  <c r="I230" i="73" s="1"/>
  <c r="I95" i="51"/>
  <c r="K180" i="73" s="1"/>
  <c r="K229" i="73" s="1"/>
  <c r="R95" i="51"/>
  <c r="J188" i="73" s="1"/>
  <c r="J237" i="73" s="1"/>
  <c r="I22" i="51"/>
  <c r="I11" i="51" s="1" a="1"/>
  <c r="I11" i="51" s="1"/>
  <c r="J95" i="51"/>
  <c r="L180" i="73" s="1"/>
  <c r="L229" i="73" s="1"/>
  <c r="S95" i="51"/>
  <c r="K188" i="73" s="1"/>
  <c r="K237" i="73" s="1"/>
  <c r="Q96" i="51"/>
  <c r="I189" i="73" s="1"/>
  <c r="I238" i="73" s="1"/>
  <c r="S94" i="51"/>
  <c r="K187" i="73" s="1"/>
  <c r="K236" i="73" s="1"/>
  <c r="T94" i="51"/>
  <c r="L187" i="73" s="1"/>
  <c r="L236" i="73" s="1"/>
  <c r="K94" i="51"/>
  <c r="M179" i="73" s="1"/>
  <c r="M228" i="73" s="1"/>
  <c r="H21" i="51"/>
  <c r="H10" i="51" s="1" a="1"/>
  <c r="H10" i="51" s="1"/>
  <c r="I94" i="51"/>
  <c r="K179" i="73" s="1"/>
  <c r="K228" i="73" s="1"/>
  <c r="R94" i="51"/>
  <c r="J187" i="73" s="1"/>
  <c r="J236" i="73" s="1"/>
  <c r="H95" i="51"/>
  <c r="J180" i="73" s="1"/>
  <c r="J229" i="73" s="1"/>
  <c r="H94" i="51"/>
  <c r="J179" i="73" s="1"/>
  <c r="J228" i="73" s="1"/>
  <c r="K95" i="51"/>
  <c r="M180" i="73" s="1"/>
  <c r="M229" i="73" s="1"/>
  <c r="N54" i="53"/>
  <c r="O54" i="53"/>
  <c r="P54" i="53"/>
  <c r="M54" i="53"/>
  <c r="L54" i="53"/>
  <c r="Q55" i="53"/>
  <c r="I55" i="53"/>
  <c r="M57" i="53"/>
  <c r="O57" i="53"/>
  <c r="N57" i="53"/>
  <c r="L57" i="53"/>
  <c r="P57" i="53"/>
  <c r="Q55" i="52"/>
  <c r="O57" i="52"/>
  <c r="J108" i="65" s="1"/>
  <c r="D87" i="52"/>
  <c r="E87" i="52"/>
  <c r="G87" i="52"/>
  <c r="F87" i="52"/>
  <c r="H87" i="52"/>
  <c r="I55" i="52"/>
  <c r="E35" i="52" s="1"/>
  <c r="N57" i="52"/>
  <c r="J107" i="65" s="1"/>
  <c r="P57" i="52"/>
  <c r="J109" i="65" s="1"/>
  <c r="M57" i="52"/>
  <c r="J106" i="65" s="1"/>
  <c r="I65" i="74" l="1"/>
  <c r="M65" i="74"/>
  <c r="G134" i="67"/>
  <c r="V134" i="67"/>
  <c r="I17" i="74"/>
  <c r="J17" i="74"/>
  <c r="I13" i="74"/>
  <c r="J13" i="74"/>
  <c r="F64" i="74" a="1"/>
  <c r="F64" i="74" s="1"/>
  <c r="F66" i="74" a="1"/>
  <c r="F66" i="74" s="1"/>
  <c r="K106" i="65"/>
  <c r="K114" i="65" s="1"/>
  <c r="F105" i="65"/>
  <c r="F120" i="65" s="1"/>
  <c r="H99" i="67" a="1"/>
  <c r="H99" i="67" s="1"/>
  <c r="V99" i="67" s="1"/>
  <c r="D97" i="53" a="1"/>
  <c r="D97" i="53" s="1"/>
  <c r="D62" i="53" s="1"/>
  <c r="I62" i="53" s="1"/>
  <c r="E35" i="53" s="1"/>
  <c r="Q66" i="51" a="1"/>
  <c r="Q66" i="51" s="1"/>
  <c r="M165" i="73"/>
  <c r="M214" i="73" s="1"/>
  <c r="L172" i="73"/>
  <c r="L221" i="73" s="1"/>
  <c r="K164" i="73"/>
  <c r="K213" i="73" s="1"/>
  <c r="K172" i="73"/>
  <c r="K221" i="73" s="1"/>
  <c r="K165" i="73"/>
  <c r="K214" i="73" s="1"/>
  <c r="L165" i="73"/>
  <c r="L214" i="73" s="1"/>
  <c r="K173" i="73"/>
  <c r="K222" i="73" s="1"/>
  <c r="J164" i="73"/>
  <c r="J213" i="73" s="1"/>
  <c r="I166" i="73"/>
  <c r="I215" i="73" s="1"/>
  <c r="L173" i="73"/>
  <c r="L222" i="73" s="1"/>
  <c r="J165" i="73"/>
  <c r="J214" i="73" s="1"/>
  <c r="M173" i="73"/>
  <c r="M222" i="73" s="1"/>
  <c r="M164" i="73"/>
  <c r="M213" i="73" s="1"/>
  <c r="J173" i="73"/>
  <c r="J222" i="73" s="1"/>
  <c r="L164" i="73"/>
  <c r="L213" i="73" s="1"/>
  <c r="I174" i="73"/>
  <c r="I223" i="73" s="1"/>
  <c r="M172" i="73"/>
  <c r="M221" i="73" s="1"/>
  <c r="J172" i="73"/>
  <c r="J221" i="73" s="1"/>
  <c r="I46" i="51"/>
  <c r="S46" i="51"/>
  <c r="U46" i="51"/>
  <c r="G47" i="51"/>
  <c r="S45" i="51"/>
  <c r="T46" i="51"/>
  <c r="K45" i="51"/>
  <c r="R46" i="51"/>
  <c r="H45" i="51"/>
  <c r="Q47" i="51"/>
  <c r="J45" i="51"/>
  <c r="H46" i="51"/>
  <c r="U45" i="51"/>
  <c r="I45" i="51"/>
  <c r="J46" i="51"/>
  <c r="R45" i="51"/>
  <c r="K46" i="51"/>
  <c r="T45" i="51"/>
  <c r="R129" i="51" a="1"/>
  <c r="R129" i="51" s="1"/>
  <c r="R83" i="51" a="1"/>
  <c r="R83" i="51" s="1"/>
  <c r="J172" i="70" s="1"/>
  <c r="J205" i="70" s="1"/>
  <c r="J130" i="51" a="1"/>
  <c r="J130" i="51" s="1"/>
  <c r="J84" i="51" a="1"/>
  <c r="J84" i="51" s="1"/>
  <c r="L165" i="70" s="1"/>
  <c r="L198" i="70" s="1"/>
  <c r="U129" i="51" a="1"/>
  <c r="U129" i="51" s="1"/>
  <c r="U83" i="51" a="1"/>
  <c r="U83" i="51" s="1"/>
  <c r="M172" i="70" s="1"/>
  <c r="M205" i="70" s="1"/>
  <c r="H130" i="51" a="1"/>
  <c r="H130" i="51" s="1"/>
  <c r="H84" i="51" a="1"/>
  <c r="H84" i="51" s="1"/>
  <c r="J165" i="70" s="1"/>
  <c r="J198" i="70" s="1"/>
  <c r="I129" i="51" a="1"/>
  <c r="I129" i="51" s="1"/>
  <c r="I83" i="51" a="1"/>
  <c r="I83" i="51" s="1"/>
  <c r="K164" i="70" s="1"/>
  <c r="K197" i="70" s="1"/>
  <c r="K129" i="51" a="1"/>
  <c r="K129" i="51" s="1"/>
  <c r="K83" i="51" a="1"/>
  <c r="K83" i="51" s="1"/>
  <c r="M164" i="70" s="1"/>
  <c r="M197" i="70" s="1"/>
  <c r="I130" i="51" a="1"/>
  <c r="I130" i="51" s="1"/>
  <c r="I84" i="51" a="1"/>
  <c r="I84" i="51" s="1"/>
  <c r="K165" i="70" s="1"/>
  <c r="K198" i="70" s="1"/>
  <c r="G110" i="65"/>
  <c r="G125" i="65" s="1"/>
  <c r="V55" i="52"/>
  <c r="T129" i="51" a="1"/>
  <c r="T129" i="51" s="1"/>
  <c r="T83" i="51" a="1"/>
  <c r="T83" i="51" s="1"/>
  <c r="K117" i="55" s="1"/>
  <c r="K150" i="55" s="1"/>
  <c r="G131" i="51" a="1"/>
  <c r="G131" i="51" s="1"/>
  <c r="G85" i="51" a="1"/>
  <c r="G85" i="51" s="1"/>
  <c r="I166" i="70" s="1"/>
  <c r="R130" i="51" a="1"/>
  <c r="R130" i="51" s="1"/>
  <c r="R84" i="51" a="1"/>
  <c r="R84" i="51" s="1"/>
  <c r="J173" i="70" s="1"/>
  <c r="J206" i="70" s="1"/>
  <c r="K130" i="51" a="1"/>
  <c r="K130" i="51" s="1"/>
  <c r="K84" i="51" a="1"/>
  <c r="K84" i="51" s="1"/>
  <c r="M165" i="70" s="1"/>
  <c r="M198" i="70" s="1"/>
  <c r="S129" i="51" a="1"/>
  <c r="S129" i="51" s="1"/>
  <c r="S83" i="51" a="1"/>
  <c r="S83" i="51" s="1"/>
  <c r="K172" i="70" s="1"/>
  <c r="K205" i="70" s="1"/>
  <c r="T130" i="51" a="1"/>
  <c r="T130" i="51" s="1"/>
  <c r="T84" i="51" a="1"/>
  <c r="T84" i="51" s="1"/>
  <c r="L173" i="70" s="1"/>
  <c r="L206" i="70" s="1"/>
  <c r="H129" i="51" a="1"/>
  <c r="H129" i="51" s="1"/>
  <c r="H83" i="51" a="1"/>
  <c r="H83" i="51" s="1"/>
  <c r="J164" i="70" s="1"/>
  <c r="J197" i="70" s="1"/>
  <c r="Q131" i="51" a="1"/>
  <c r="Q131" i="51" s="1"/>
  <c r="Q85" i="51" a="1"/>
  <c r="Q85" i="51" s="1"/>
  <c r="I174" i="70" s="1"/>
  <c r="J129" i="51" a="1"/>
  <c r="J129" i="51" s="1"/>
  <c r="J83" i="51" a="1"/>
  <c r="J83" i="51" s="1"/>
  <c r="L164" i="70" s="1"/>
  <c r="L197" i="70" s="1"/>
  <c r="S130" i="51" a="1"/>
  <c r="S130" i="51" s="1"/>
  <c r="S84" i="51" a="1"/>
  <c r="S84" i="51" s="1"/>
  <c r="K173" i="70" s="1"/>
  <c r="K206" i="70" s="1"/>
  <c r="U130" i="51" a="1"/>
  <c r="U130" i="51" s="1"/>
  <c r="U84" i="51" a="1"/>
  <c r="U84" i="51" s="1"/>
  <c r="M173" i="70" s="1"/>
  <c r="M206" i="70" s="1"/>
  <c r="K110" i="65"/>
  <c r="K125" i="65" s="1"/>
  <c r="F123" i="65"/>
  <c r="F121" i="65"/>
  <c r="F117" i="65"/>
  <c r="F116" i="65"/>
  <c r="H114" i="65"/>
  <c r="F115" i="65"/>
  <c r="H123" i="65"/>
  <c r="H120" i="65"/>
  <c r="Q62" i="53"/>
  <c r="E34" i="53" s="1"/>
  <c r="H124" i="65"/>
  <c r="Z99" i="67"/>
  <c r="K57" i="51" a="1"/>
  <c r="K57" i="51" s="1"/>
  <c r="T56" i="51" a="1"/>
  <c r="T56" i="51" s="1"/>
  <c r="I56" i="51" a="1"/>
  <c r="I56" i="51" s="1"/>
  <c r="S56" i="51" a="1"/>
  <c r="S56" i="51" s="1"/>
  <c r="I57" i="51" a="1"/>
  <c r="I57" i="51" s="1"/>
  <c r="S57" i="51" a="1"/>
  <c r="S57" i="51" s="1"/>
  <c r="U57" i="51" a="1"/>
  <c r="U57" i="51" s="1"/>
  <c r="H56" i="51" a="1"/>
  <c r="H56" i="51" s="1"/>
  <c r="G58" i="51" a="1"/>
  <c r="G58" i="51" s="1"/>
  <c r="T57" i="51" a="1"/>
  <c r="T57" i="51" s="1"/>
  <c r="K56" i="51" a="1"/>
  <c r="K56" i="51" s="1"/>
  <c r="R57" i="51" a="1"/>
  <c r="R57" i="51" s="1"/>
  <c r="J56" i="51" a="1"/>
  <c r="J56" i="51" s="1"/>
  <c r="Q58" i="51" a="1"/>
  <c r="Q58" i="51" s="1"/>
  <c r="H57" i="51" a="1"/>
  <c r="H57" i="51" s="1"/>
  <c r="U56" i="51" a="1"/>
  <c r="U56" i="51" s="1"/>
  <c r="J57" i="51" a="1"/>
  <c r="J57" i="51" s="1"/>
  <c r="I102" i="55"/>
  <c r="I135" i="55" s="1"/>
  <c r="R56" i="51" a="1"/>
  <c r="R56" i="51" s="1"/>
  <c r="F114" i="65"/>
  <c r="G143" i="67"/>
  <c r="V27" i="67"/>
  <c r="Q62" i="52"/>
  <c r="E34" i="52" s="1"/>
  <c r="J116" i="65"/>
  <c r="J123" i="65"/>
  <c r="J117" i="65"/>
  <c r="J124" i="65"/>
  <c r="J115" i="65"/>
  <c r="J122" i="65"/>
  <c r="J114" i="65"/>
  <c r="J121" i="65"/>
  <c r="J113" i="65"/>
  <c r="J120" i="65"/>
  <c r="Q54" i="53"/>
  <c r="D34" i="53" s="1"/>
  <c r="K54" i="44"/>
  <c r="K53" i="44"/>
  <c r="G53" i="44"/>
  <c r="I53" i="44"/>
  <c r="G54" i="44"/>
  <c r="H53" i="44"/>
  <c r="J53" i="44"/>
  <c r="H54" i="44"/>
  <c r="I54" i="44"/>
  <c r="J54" i="44"/>
  <c r="M64" i="74" l="1"/>
  <c r="M66" i="74"/>
  <c r="L172" i="70"/>
  <c r="L205" i="70" s="1"/>
  <c r="F69" i="74" a="1"/>
  <c r="F69" i="74" s="1"/>
  <c r="U134" i="67"/>
  <c r="I66" i="74"/>
  <c r="I64" i="74"/>
  <c r="F76" i="74" a="1"/>
  <c r="F76" i="74" s="1"/>
  <c r="K121" i="65"/>
  <c r="F113" i="65"/>
  <c r="G99" i="67"/>
  <c r="M188" i="70"/>
  <c r="M221" i="70" s="1"/>
  <c r="I110" i="55"/>
  <c r="I143" i="55" s="1"/>
  <c r="J180" i="70"/>
  <c r="J213" i="70" s="1"/>
  <c r="J110" i="55"/>
  <c r="J143" i="55" s="1"/>
  <c r="K180" i="70"/>
  <c r="K213" i="70" s="1"/>
  <c r="K110" i="55"/>
  <c r="K143" i="55" s="1"/>
  <c r="L180" i="70"/>
  <c r="L213" i="70" s="1"/>
  <c r="L117" i="55"/>
  <c r="L150" i="55" s="1"/>
  <c r="M187" i="70"/>
  <c r="M220" i="70" s="1"/>
  <c r="H119" i="55"/>
  <c r="H152" i="55" s="1"/>
  <c r="I189" i="70"/>
  <c r="K118" i="55"/>
  <c r="K151" i="55" s="1"/>
  <c r="L188" i="70"/>
  <c r="L221" i="70" s="1"/>
  <c r="K188" i="70"/>
  <c r="K221" i="70" s="1"/>
  <c r="J179" i="70"/>
  <c r="J212" i="70" s="1"/>
  <c r="K187" i="70"/>
  <c r="K220" i="70" s="1"/>
  <c r="H111" i="55"/>
  <c r="H144" i="55" s="1"/>
  <c r="I181" i="70"/>
  <c r="L109" i="55"/>
  <c r="L142" i="55" s="1"/>
  <c r="M179" i="70"/>
  <c r="M212" i="70" s="1"/>
  <c r="I117" i="55"/>
  <c r="I150" i="55" s="1"/>
  <c r="J187" i="70"/>
  <c r="J220" i="70" s="1"/>
  <c r="M180" i="70"/>
  <c r="M213" i="70" s="1"/>
  <c r="L187" i="70"/>
  <c r="L220" i="70" s="1"/>
  <c r="Q174" i="70"/>
  <c r="I207" i="70"/>
  <c r="L179" i="70"/>
  <c r="L212" i="70" s="1"/>
  <c r="I118" i="55"/>
  <c r="I151" i="55" s="1"/>
  <c r="J188" i="70"/>
  <c r="J221" i="70" s="1"/>
  <c r="K179" i="70"/>
  <c r="K212" i="70" s="1"/>
  <c r="I199" i="70"/>
  <c r="Q166" i="70"/>
  <c r="I109" i="55"/>
  <c r="I142" i="55" s="1"/>
  <c r="K109" i="55"/>
  <c r="K142" i="55" s="1"/>
  <c r="U27" i="67"/>
  <c r="U119" i="51"/>
  <c r="Q120" i="51"/>
  <c r="T119" i="51"/>
  <c r="I118" i="51"/>
  <c r="S119" i="51"/>
  <c r="H118" i="51"/>
  <c r="S118" i="51"/>
  <c r="G120" i="51"/>
  <c r="U118" i="51"/>
  <c r="L118" i="55"/>
  <c r="L151" i="55" s="1"/>
  <c r="I119" i="51"/>
  <c r="H119" i="51"/>
  <c r="J118" i="55"/>
  <c r="J151" i="55" s="1"/>
  <c r="K119" i="51"/>
  <c r="T118" i="51"/>
  <c r="J119" i="51"/>
  <c r="K118" i="51"/>
  <c r="H110" i="65"/>
  <c r="H118" i="65" s="1"/>
  <c r="J118" i="51"/>
  <c r="R119" i="51"/>
  <c r="R118" i="51"/>
  <c r="F124" i="65"/>
  <c r="J117" i="55"/>
  <c r="J150" i="55" s="1"/>
  <c r="J109" i="55"/>
  <c r="J142" i="55" s="1"/>
  <c r="E39" i="53"/>
  <c r="F122" i="65"/>
  <c r="H116" i="65"/>
  <c r="H113" i="65"/>
  <c r="H117" i="65"/>
  <c r="K102" i="55"/>
  <c r="K135" i="55" s="1"/>
  <c r="L95" i="55"/>
  <c r="L128" i="55" s="1"/>
  <c r="H96" i="55"/>
  <c r="H129" i="55" s="1"/>
  <c r="J94" i="55"/>
  <c r="J127" i="55" s="1"/>
  <c r="I94" i="55"/>
  <c r="I127" i="55" s="1"/>
  <c r="I103" i="55"/>
  <c r="I136" i="55" s="1"/>
  <c r="J103" i="55"/>
  <c r="J136" i="55" s="1"/>
  <c r="J102" i="55"/>
  <c r="J135" i="55" s="1"/>
  <c r="K103" i="55"/>
  <c r="K136" i="55" s="1"/>
  <c r="K95" i="55"/>
  <c r="K128" i="55" s="1"/>
  <c r="L103" i="55"/>
  <c r="L136" i="55" s="1"/>
  <c r="K94" i="55"/>
  <c r="K127" i="55" s="1"/>
  <c r="L102" i="55"/>
  <c r="L135" i="55" s="1"/>
  <c r="L94" i="55"/>
  <c r="L127" i="55" s="1"/>
  <c r="H104" i="55"/>
  <c r="H137" i="55" s="1"/>
  <c r="J95" i="55"/>
  <c r="J128" i="55" s="1"/>
  <c r="I95" i="55"/>
  <c r="I128" i="55" s="1"/>
  <c r="L110" i="55"/>
  <c r="L143" i="55" s="1"/>
  <c r="G118" i="65"/>
  <c r="K118" i="65"/>
  <c r="B3" i="49"/>
  <c r="B7" i="49" s="1"/>
  <c r="C2" i="49"/>
  <c r="M69" i="74" l="1"/>
  <c r="M76" i="74"/>
  <c r="I69" i="74"/>
  <c r="I76" i="74"/>
  <c r="U99" i="67"/>
  <c r="F53" i="74" a="1"/>
  <c r="F53" i="74" s="1"/>
  <c r="I222" i="70"/>
  <c r="Q189" i="70"/>
  <c r="I214" i="70"/>
  <c r="Q181" i="70"/>
  <c r="E39" i="52"/>
  <c r="H125" i="65"/>
  <c r="I163" i="44"/>
  <c r="F73" i="53" s="1"/>
  <c r="K163" i="44"/>
  <c r="H73" i="53" s="1"/>
  <c r="J163" i="44"/>
  <c r="G73" i="53" s="1"/>
  <c r="E15" i="48"/>
  <c r="D394" i="44" s="1"/>
  <c r="E14" i="48"/>
  <c r="D145" i="44" s="1"/>
  <c r="E9" i="48"/>
  <c r="E8" i="48"/>
  <c r="B3" i="48"/>
  <c r="C2" i="48"/>
  <c r="B3" i="47"/>
  <c r="C2" i="47"/>
  <c r="H156" i="44" l="1"/>
  <c r="I156" i="44" s="1"/>
  <c r="H157" i="44"/>
  <c r="I157" i="44" s="1"/>
  <c r="M53" i="74"/>
  <c r="H148" i="44"/>
  <c r="I148" i="44" s="1"/>
  <c r="G173" i="44" s="1" a="1"/>
  <c r="G173" i="44" s="1"/>
  <c r="H153" i="44"/>
  <c r="I153" i="44" s="1"/>
  <c r="H150" i="44"/>
  <c r="I150" i="44" s="1"/>
  <c r="H154" i="44"/>
  <c r="I154" i="44" s="1"/>
  <c r="H155" i="44"/>
  <c r="I155" i="44" s="1"/>
  <c r="H152" i="44"/>
  <c r="I152" i="44" s="1"/>
  <c r="H401" i="44"/>
  <c r="I401" i="44" s="1"/>
  <c r="H400" i="44"/>
  <c r="I400" i="44" s="1"/>
  <c r="H397" i="44"/>
  <c r="I397" i="44" s="1"/>
  <c r="H399" i="44"/>
  <c r="I399" i="44" s="1"/>
  <c r="B5" i="48"/>
  <c r="B19" i="48" s="1"/>
  <c r="B69" i="48" s="1"/>
  <c r="I53" i="74"/>
  <c r="I402" i="44"/>
  <c r="I404" i="44"/>
  <c r="I403" i="44"/>
  <c r="P63" i="49"/>
  <c r="Q63" i="49" s="1"/>
  <c r="H54" i="53"/>
  <c r="E54" i="53"/>
  <c r="D54" i="53"/>
  <c r="G54" i="53"/>
  <c r="F54" i="53"/>
  <c r="E73" i="52"/>
  <c r="H73" i="52"/>
  <c r="F73" i="52"/>
  <c r="D73" i="52"/>
  <c r="G73" i="52"/>
  <c r="B5" i="47"/>
  <c r="B23" i="47" s="1"/>
  <c r="K186" i="44" l="1" a="1"/>
  <c r="K186" i="44" s="1"/>
  <c r="G186" i="44" a="1"/>
  <c r="G186" i="44" s="1"/>
  <c r="I186" i="44" a="1"/>
  <c r="I186" i="44" s="1"/>
  <c r="H186" i="44" a="1"/>
  <c r="H186" i="44" s="1"/>
  <c r="J186" i="44" a="1"/>
  <c r="J186" i="44" s="1"/>
  <c r="I185" i="44" a="1"/>
  <c r="I185" i="44" s="1"/>
  <c r="J185" i="44" a="1"/>
  <c r="J185" i="44" s="1"/>
  <c r="H185" i="44" a="1"/>
  <c r="H185" i="44" s="1"/>
  <c r="G185" i="44" a="1"/>
  <c r="G185" i="44" s="1"/>
  <c r="K185" i="44" a="1"/>
  <c r="K185" i="44" s="1"/>
  <c r="H422" i="44" a="1"/>
  <c r="H422" i="44" s="1"/>
  <c r="K422" i="44" a="1"/>
  <c r="K422" i="44" s="1"/>
  <c r="J422" i="44" a="1"/>
  <c r="J422" i="44" s="1"/>
  <c r="I422" i="44" a="1"/>
  <c r="I422" i="44" s="1"/>
  <c r="H173" i="44" a="1"/>
  <c r="H173" i="44" s="1"/>
  <c r="K173" i="44" a="1"/>
  <c r="K173" i="44" s="1"/>
  <c r="I173" i="44" a="1"/>
  <c r="I173" i="44" s="1"/>
  <c r="J173" i="44" a="1"/>
  <c r="J173" i="44" s="1"/>
  <c r="J183" i="44" a="1"/>
  <c r="J183" i="44" s="1"/>
  <c r="I183" i="44" a="1"/>
  <c r="I183" i="44" s="1"/>
  <c r="K183" i="44" a="1"/>
  <c r="K183" i="44" s="1"/>
  <c r="G183" i="44" a="1"/>
  <c r="G183" i="44" s="1"/>
  <c r="H183" i="44" a="1"/>
  <c r="H183" i="44" s="1"/>
  <c r="K182" i="44" a="1"/>
  <c r="K182" i="44" s="1"/>
  <c r="G182" i="44" a="1"/>
  <c r="G182" i="44" s="1"/>
  <c r="J182" i="44" a="1"/>
  <c r="J182" i="44" s="1"/>
  <c r="I182" i="44" a="1"/>
  <c r="I182" i="44" s="1"/>
  <c r="H182" i="44" a="1"/>
  <c r="H182" i="44" s="1"/>
  <c r="H174" i="44" a="1"/>
  <c r="H174" i="44" s="1"/>
  <c r="K174" i="44" a="1"/>
  <c r="K174" i="44" s="1"/>
  <c r="J174" i="44" a="1"/>
  <c r="J174" i="44" s="1"/>
  <c r="I174" i="44" a="1"/>
  <c r="I174" i="44" s="1"/>
  <c r="G174" i="44" a="1"/>
  <c r="G174" i="44" s="1"/>
  <c r="J179" i="44" a="1"/>
  <c r="J179" i="44" s="1"/>
  <c r="G179" i="44" a="1"/>
  <c r="G179" i="44" s="1"/>
  <c r="I179" i="44" a="1"/>
  <c r="I179" i="44" s="1"/>
  <c r="H179" i="44" a="1"/>
  <c r="H179" i="44" s="1"/>
  <c r="K179" i="44" a="1"/>
  <c r="K179" i="44" s="1"/>
  <c r="H181" i="44" a="1"/>
  <c r="H181" i="44" s="1"/>
  <c r="I181" i="44" a="1"/>
  <c r="I181" i="44" s="1"/>
  <c r="K181" i="44" a="1"/>
  <c r="K181" i="44" s="1"/>
  <c r="G181" i="44" a="1"/>
  <c r="G181" i="44" s="1"/>
  <c r="J181" i="44" a="1"/>
  <c r="J181" i="44" s="1"/>
  <c r="H428" i="44" a="1"/>
  <c r="H428" i="44" s="1"/>
  <c r="I428" i="44" a="1"/>
  <c r="I428" i="44" s="1"/>
  <c r="G428" i="44" a="1"/>
  <c r="G428" i="44" s="1"/>
  <c r="J428" i="44" a="1"/>
  <c r="J428" i="44" s="1"/>
  <c r="K428" i="44" a="1"/>
  <c r="K428" i="44" s="1"/>
  <c r="K432" i="44" a="1"/>
  <c r="K432" i="44" s="1"/>
  <c r="G432" i="44" a="1"/>
  <c r="G432" i="44" s="1"/>
  <c r="L89" i="52" s="1"/>
  <c r="J432" i="44" a="1"/>
  <c r="J432" i="44" s="1"/>
  <c r="H432" i="44" a="1"/>
  <c r="H432" i="44" s="1"/>
  <c r="I432" i="44" a="1"/>
  <c r="I432" i="44" s="1"/>
  <c r="G430" i="44" a="1"/>
  <c r="G430" i="44" s="1"/>
  <c r="J430" i="44" a="1"/>
  <c r="J430" i="44" s="1"/>
  <c r="K430" i="44" a="1"/>
  <c r="K430" i="44" s="1"/>
  <c r="I430" i="44" a="1"/>
  <c r="I430" i="44" s="1"/>
  <c r="H430" i="44" a="1"/>
  <c r="H430" i="44" s="1"/>
  <c r="J431" i="44" a="1"/>
  <c r="J431" i="44" s="1"/>
  <c r="G431" i="44" a="1"/>
  <c r="G431" i="44" s="1"/>
  <c r="K431" i="44" a="1"/>
  <c r="K431" i="44" s="1"/>
  <c r="H431" i="44" a="1"/>
  <c r="H431" i="44" s="1"/>
  <c r="I431" i="44" a="1"/>
  <c r="I431" i="44" s="1"/>
  <c r="D54" i="52"/>
  <c r="G422" i="44" a="1"/>
  <c r="G422" i="44" s="1"/>
  <c r="K423" i="44" a="1"/>
  <c r="K423" i="44" s="1"/>
  <c r="J423" i="44" a="1"/>
  <c r="J423" i="44" s="1"/>
  <c r="I423" i="44" a="1"/>
  <c r="I423" i="44" s="1"/>
  <c r="G423" i="44" a="1"/>
  <c r="G423" i="44" s="1"/>
  <c r="H423" i="44" a="1"/>
  <c r="H423" i="44" s="1"/>
  <c r="G498" i="44" a="1"/>
  <c r="G498" i="44" s="1"/>
  <c r="H498" i="44" a="1"/>
  <c r="H498" i="44" s="1"/>
  <c r="J498" i="44" a="1"/>
  <c r="J498" i="44" s="1"/>
  <c r="I498" i="44" a="1"/>
  <c r="I498" i="44" s="1"/>
  <c r="K498" i="44" a="1"/>
  <c r="K498" i="44" s="1"/>
  <c r="B43" i="47"/>
  <c r="I54" i="53"/>
  <c r="D35" i="53" s="1"/>
  <c r="F54" i="52"/>
  <c r="H54" i="52"/>
  <c r="G54" i="52"/>
  <c r="E54" i="52"/>
  <c r="F85" i="52"/>
  <c r="F57" i="52" s="1"/>
  <c r="H51" i="44"/>
  <c r="K51" i="44"/>
  <c r="B3" i="17"/>
  <c r="B5" i="17" s="1"/>
  <c r="B3" i="24"/>
  <c r="B3" i="25"/>
  <c r="B3" i="44"/>
  <c r="B7" i="44" s="1"/>
  <c r="B3" i="42"/>
  <c r="B3" i="39"/>
  <c r="B3" i="45"/>
  <c r="B3" i="41"/>
  <c r="B3" i="38"/>
  <c r="B3" i="40"/>
  <c r="A2" i="4"/>
  <c r="C2" i="17"/>
  <c r="C2" i="24"/>
  <c r="C2" i="25"/>
  <c r="C2" i="44"/>
  <c r="C2" i="42"/>
  <c r="C2" i="39"/>
  <c r="C2" i="45"/>
  <c r="C2" i="41"/>
  <c r="C2" i="38"/>
  <c r="C2" i="40"/>
  <c r="B1" i="4"/>
  <c r="I67" i="67" l="1"/>
  <c r="W67" i="67" s="1"/>
  <c r="I139" i="67"/>
  <c r="W139" i="67" s="1"/>
  <c r="I140" i="67"/>
  <c r="W140" i="67" s="1"/>
  <c r="I68" i="67"/>
  <c r="W68" i="67" s="1"/>
  <c r="K139" i="67"/>
  <c r="Y139" i="67" s="1"/>
  <c r="K67" i="67"/>
  <c r="Y67" i="67" s="1"/>
  <c r="J140" i="67"/>
  <c r="X140" i="67" s="1"/>
  <c r="J68" i="67"/>
  <c r="X68" i="67" s="1"/>
  <c r="L139" i="67"/>
  <c r="Z139" i="67" s="1"/>
  <c r="L67" i="67"/>
  <c r="Z67" i="67" s="1"/>
  <c r="J139" i="67"/>
  <c r="X139" i="67" s="1"/>
  <c r="J67" i="67"/>
  <c r="X67" i="67" s="1"/>
  <c r="H140" i="67"/>
  <c r="H68" i="67"/>
  <c r="H139" i="67"/>
  <c r="H67" i="67"/>
  <c r="K68" i="67"/>
  <c r="Y68" i="67" s="1"/>
  <c r="K140" i="67"/>
  <c r="Y140" i="67" s="1"/>
  <c r="L140" i="67"/>
  <c r="Z140" i="67" s="1"/>
  <c r="L68" i="67"/>
  <c r="Z68" i="67" s="1"/>
  <c r="L109" i="67"/>
  <c r="H80" i="53"/>
  <c r="H80" i="52"/>
  <c r="L37" i="67"/>
  <c r="K11" i="44"/>
  <c r="L111" i="67"/>
  <c r="L39" i="67"/>
  <c r="H118" i="67"/>
  <c r="H46" i="67"/>
  <c r="H117" i="67"/>
  <c r="H45" i="67"/>
  <c r="D76" i="53"/>
  <c r="D56" i="53" s="1"/>
  <c r="D76" i="52"/>
  <c r="D56" i="52" s="1"/>
  <c r="G10" i="44"/>
  <c r="E80" i="53"/>
  <c r="I37" i="67"/>
  <c r="E80" i="52"/>
  <c r="I109" i="67"/>
  <c r="H11" i="44"/>
  <c r="G82" i="53"/>
  <c r="G58" i="53" s="1"/>
  <c r="K107" i="67"/>
  <c r="K35" i="67"/>
  <c r="G82" i="52"/>
  <c r="G58" i="52" s="1"/>
  <c r="J12" i="44"/>
  <c r="K111" i="67"/>
  <c r="K39" i="67"/>
  <c r="K118" i="67"/>
  <c r="K46" i="67"/>
  <c r="E82" i="53"/>
  <c r="E58" i="53" s="1"/>
  <c r="E82" i="52"/>
  <c r="E58" i="52" s="1"/>
  <c r="H12" i="44"/>
  <c r="I35" i="67"/>
  <c r="I107" i="67"/>
  <c r="D80" i="53"/>
  <c r="H37" i="67"/>
  <c r="D80" i="52"/>
  <c r="H109" i="67"/>
  <c r="G11" i="44"/>
  <c r="J118" i="67"/>
  <c r="J46" i="67"/>
  <c r="F89" i="52"/>
  <c r="F89" i="53"/>
  <c r="I52" i="44"/>
  <c r="J65" i="67"/>
  <c r="J63" i="67" s="1"/>
  <c r="J137" i="67"/>
  <c r="J112" i="67"/>
  <c r="J40" i="67"/>
  <c r="J45" i="67"/>
  <c r="I10" i="44"/>
  <c r="F76" i="52"/>
  <c r="F56" i="52" s="1"/>
  <c r="J117" i="67"/>
  <c r="F76" i="53"/>
  <c r="F56" i="53" s="1"/>
  <c r="H35" i="67"/>
  <c r="G12" i="44"/>
  <c r="D82" i="52"/>
  <c r="D58" i="52" s="1"/>
  <c r="H107" i="67"/>
  <c r="D82" i="53"/>
  <c r="D58" i="53" s="1"/>
  <c r="E89" i="53"/>
  <c r="H52" i="44"/>
  <c r="H56" i="44" s="1"/>
  <c r="H136" i="44" s="1"/>
  <c r="I137" i="67"/>
  <c r="I65" i="67"/>
  <c r="I63" i="67" s="1"/>
  <c r="E89" i="52"/>
  <c r="I118" i="67"/>
  <c r="I46" i="67"/>
  <c r="H112" i="67"/>
  <c r="H40" i="67"/>
  <c r="I12" i="44"/>
  <c r="J107" i="67"/>
  <c r="F82" i="52"/>
  <c r="F58" i="52" s="1"/>
  <c r="F82" i="53"/>
  <c r="F58" i="53" s="1"/>
  <c r="J35" i="67"/>
  <c r="H111" i="67"/>
  <c r="H39" i="67"/>
  <c r="I112" i="67"/>
  <c r="I40" i="67"/>
  <c r="H76" i="52"/>
  <c r="H56" i="52" s="1"/>
  <c r="K10" i="44"/>
  <c r="H76" i="53"/>
  <c r="H56" i="53" s="1"/>
  <c r="L45" i="67"/>
  <c r="L117" i="67"/>
  <c r="L107" i="67"/>
  <c r="H82" i="52"/>
  <c r="H58" i="52" s="1"/>
  <c r="H82" i="53"/>
  <c r="H58" i="53" s="1"/>
  <c r="L35" i="67"/>
  <c r="K12" i="44"/>
  <c r="K52" i="44"/>
  <c r="K55" i="44" s="1"/>
  <c r="K91" i="44" s="1"/>
  <c r="H89" i="52"/>
  <c r="L65" i="67"/>
  <c r="L63" i="67" s="1"/>
  <c r="L137" i="67"/>
  <c r="H89" i="53"/>
  <c r="K112" i="67"/>
  <c r="K40" i="67"/>
  <c r="I111" i="67"/>
  <c r="I39" i="67"/>
  <c r="L112" i="67"/>
  <c r="L40" i="67"/>
  <c r="H10" i="44"/>
  <c r="E76" i="52"/>
  <c r="E56" i="52" s="1"/>
  <c r="I45" i="67"/>
  <c r="I117" i="67"/>
  <c r="E76" i="53"/>
  <c r="E56" i="53" s="1"/>
  <c r="J37" i="67"/>
  <c r="F80" i="53"/>
  <c r="F80" i="52"/>
  <c r="J109" i="67"/>
  <c r="I11" i="44"/>
  <c r="K65" i="67"/>
  <c r="K63" i="67" s="1"/>
  <c r="K137" i="67"/>
  <c r="G89" i="53"/>
  <c r="G89" i="52"/>
  <c r="J52" i="44"/>
  <c r="J111" i="67"/>
  <c r="J39" i="67"/>
  <c r="L118" i="67"/>
  <c r="L46" i="67"/>
  <c r="K45" i="67"/>
  <c r="K117" i="67"/>
  <c r="G76" i="53"/>
  <c r="G56" i="53" s="1"/>
  <c r="J10" i="44"/>
  <c r="G76" i="52"/>
  <c r="G56" i="52" s="1"/>
  <c r="G80" i="52"/>
  <c r="K109" i="67"/>
  <c r="K37" i="67"/>
  <c r="G80" i="53"/>
  <c r="J11" i="44"/>
  <c r="H65" i="67"/>
  <c r="H63" i="67" s="1"/>
  <c r="D89" i="53"/>
  <c r="H137" i="67"/>
  <c r="H135" i="67" s="1"/>
  <c r="G52" i="44"/>
  <c r="D89" i="52"/>
  <c r="B10" i="24"/>
  <c r="B31" i="24" s="1"/>
  <c r="S117" i="67"/>
  <c r="S45" i="67"/>
  <c r="O45" i="67"/>
  <c r="O117" i="67"/>
  <c r="P117" i="67"/>
  <c r="P45" i="67"/>
  <c r="Q45" i="67"/>
  <c r="Q117" i="67"/>
  <c r="R45" i="67"/>
  <c r="R117" i="67"/>
  <c r="N82" i="52"/>
  <c r="N58" i="52" s="1"/>
  <c r="L107" i="65" s="1"/>
  <c r="I261" i="44"/>
  <c r="Q107" i="67"/>
  <c r="Q35" i="67"/>
  <c r="N82" i="53"/>
  <c r="N58" i="53" s="1"/>
  <c r="G260" i="44"/>
  <c r="O109" i="67"/>
  <c r="O37" i="67"/>
  <c r="L80" i="52"/>
  <c r="L59" i="52" s="1"/>
  <c r="L80" i="53"/>
  <c r="Q118" i="67"/>
  <c r="Q46" i="67"/>
  <c r="N76" i="52"/>
  <c r="N56" i="52" s="1"/>
  <c r="I107" i="65" s="1"/>
  <c r="N76" i="53"/>
  <c r="N56" i="53" s="1"/>
  <c r="I259" i="44"/>
  <c r="O82" i="52"/>
  <c r="O58" i="52" s="1"/>
  <c r="L108" i="65" s="1"/>
  <c r="R35" i="67"/>
  <c r="O82" i="53"/>
  <c r="O58" i="53" s="1"/>
  <c r="R107" i="67"/>
  <c r="J261" i="44"/>
  <c r="O111" i="67"/>
  <c r="O39" i="67"/>
  <c r="R118" i="67"/>
  <c r="R46" i="67"/>
  <c r="O76" i="53"/>
  <c r="O56" i="53" s="1"/>
  <c r="J259" i="44"/>
  <c r="O76" i="52"/>
  <c r="O56" i="52" s="1"/>
  <c r="I108" i="65" s="1"/>
  <c r="L89" i="53"/>
  <c r="O65" i="67"/>
  <c r="O63" i="67" s="1"/>
  <c r="G301" i="44"/>
  <c r="O137" i="67"/>
  <c r="O135" i="67" s="1"/>
  <c r="P107" i="67"/>
  <c r="P35" i="67"/>
  <c r="M82" i="53"/>
  <c r="M58" i="53" s="1"/>
  <c r="H261" i="44"/>
  <c r="M82" i="52"/>
  <c r="M58" i="52" s="1"/>
  <c r="L106" i="65" s="1"/>
  <c r="P111" i="67"/>
  <c r="P39" i="67"/>
  <c r="S118" i="67"/>
  <c r="S46" i="67"/>
  <c r="P76" i="52"/>
  <c r="P56" i="52" s="1"/>
  <c r="I109" i="65" s="1"/>
  <c r="P76" i="53"/>
  <c r="P56" i="53" s="1"/>
  <c r="K259" i="44"/>
  <c r="M89" i="53"/>
  <c r="M89" i="52"/>
  <c r="H301" i="44"/>
  <c r="P65" i="67"/>
  <c r="P63" i="67" s="1"/>
  <c r="P73" i="67" s="1"/>
  <c r="P137" i="67"/>
  <c r="P135" i="67" s="1"/>
  <c r="L82" i="53"/>
  <c r="L58" i="53" s="1"/>
  <c r="L82" i="52"/>
  <c r="L58" i="52" s="1"/>
  <c r="L105" i="65" s="1"/>
  <c r="G261" i="44"/>
  <c r="O107" i="67"/>
  <c r="O35" i="67"/>
  <c r="Q111" i="67"/>
  <c r="Q39" i="67"/>
  <c r="R112" i="67"/>
  <c r="R40" i="67"/>
  <c r="I301" i="44"/>
  <c r="N89" i="53"/>
  <c r="N89" i="52"/>
  <c r="Q137" i="67"/>
  <c r="Q135" i="67" s="1"/>
  <c r="Q65" i="67"/>
  <c r="Q63" i="67" s="1"/>
  <c r="Q73" i="67" s="1"/>
  <c r="N80" i="52"/>
  <c r="I260" i="44"/>
  <c r="N80" i="53"/>
  <c r="Q109" i="67"/>
  <c r="Q37" i="67"/>
  <c r="R39" i="67"/>
  <c r="R111" i="67"/>
  <c r="Q40" i="67"/>
  <c r="Q112" i="67"/>
  <c r="O89" i="52"/>
  <c r="O89" i="53"/>
  <c r="J301" i="44"/>
  <c r="R65" i="67"/>
  <c r="R63" i="67" s="1"/>
  <c r="R73" i="67" s="1"/>
  <c r="R137" i="67"/>
  <c r="R135" i="67" s="1"/>
  <c r="J260" i="44"/>
  <c r="R109" i="67"/>
  <c r="R37" i="67"/>
  <c r="O80" i="53"/>
  <c r="O80" i="52"/>
  <c r="S39" i="67"/>
  <c r="S111" i="67"/>
  <c r="S112" i="67"/>
  <c r="S40" i="67"/>
  <c r="P89" i="52"/>
  <c r="P89" i="53"/>
  <c r="K301" i="44"/>
  <c r="S137" i="67"/>
  <c r="S135" i="67" s="1"/>
  <c r="S65" i="67"/>
  <c r="S63" i="67" s="1"/>
  <c r="S73" i="67" s="1"/>
  <c r="K260" i="44"/>
  <c r="S109" i="67"/>
  <c r="S37" i="67"/>
  <c r="P80" i="52"/>
  <c r="P80" i="53"/>
  <c r="P118" i="67"/>
  <c r="P46" i="67"/>
  <c r="M76" i="53"/>
  <c r="M56" i="53" s="1"/>
  <c r="M76" i="52"/>
  <c r="M56" i="52" s="1"/>
  <c r="I106" i="65" s="1"/>
  <c r="H259" i="44"/>
  <c r="O112" i="67"/>
  <c r="O40" i="67"/>
  <c r="K261" i="44"/>
  <c r="S107" i="67"/>
  <c r="S35" i="67"/>
  <c r="P82" i="53"/>
  <c r="P58" i="53" s="1"/>
  <c r="P82" i="52"/>
  <c r="P58" i="52" s="1"/>
  <c r="L109" i="65" s="1"/>
  <c r="H260" i="44"/>
  <c r="P109" i="67"/>
  <c r="W109" i="67" s="1"/>
  <c r="P37" i="67"/>
  <c r="M80" i="53"/>
  <c r="M80" i="52"/>
  <c r="O118" i="67"/>
  <c r="O46" i="67"/>
  <c r="L76" i="52"/>
  <c r="L56" i="52" s="1"/>
  <c r="L76" i="53"/>
  <c r="L56" i="53" s="1"/>
  <c r="G259" i="44"/>
  <c r="P112" i="67"/>
  <c r="P40" i="67"/>
  <c r="B5" i="39"/>
  <c r="B19" i="39" s="1"/>
  <c r="B5" i="25"/>
  <c r="B12" i="25" s="1"/>
  <c r="J51" i="44"/>
  <c r="G51" i="44"/>
  <c r="I51" i="44"/>
  <c r="G57" i="53"/>
  <c r="E57" i="53"/>
  <c r="F57" i="53"/>
  <c r="D57" i="53"/>
  <c r="H57" i="53"/>
  <c r="G85" i="52"/>
  <c r="E85" i="52"/>
  <c r="E57" i="52" s="1"/>
  <c r="D85" i="52"/>
  <c r="H85" i="52"/>
  <c r="I54" i="52"/>
  <c r="D35" i="52" s="1"/>
  <c r="Q54" i="52"/>
  <c r="D34" i="52" s="1"/>
  <c r="B5" i="40"/>
  <c r="B39" i="40" s="1"/>
  <c r="B142" i="44"/>
  <c r="B5" i="42"/>
  <c r="B131" i="42" s="1"/>
  <c r="B5" i="38"/>
  <c r="B12" i="38" s="1"/>
  <c r="B19" i="38" s="1"/>
  <c r="B5" i="41"/>
  <c r="B136" i="41" s="1"/>
  <c r="B5" i="45"/>
  <c r="G67" i="67" l="1"/>
  <c r="V67" i="67"/>
  <c r="V139" i="67"/>
  <c r="G139" i="67"/>
  <c r="G68" i="67"/>
  <c r="V68" i="67"/>
  <c r="V140" i="67"/>
  <c r="G140" i="67"/>
  <c r="K135" i="67"/>
  <c r="K145" i="67" s="1"/>
  <c r="I135" i="67"/>
  <c r="I145" i="67" s="1"/>
  <c r="L135" i="67"/>
  <c r="L145" i="67" s="1"/>
  <c r="J135" i="67"/>
  <c r="X135" i="67" s="1"/>
  <c r="H55" i="44"/>
  <c r="H91" i="44" s="1"/>
  <c r="Y118" i="67"/>
  <c r="Y111" i="67"/>
  <c r="H145" i="67"/>
  <c r="S145" i="67"/>
  <c r="W135" i="67"/>
  <c r="P145" i="67"/>
  <c r="V135" i="67"/>
  <c r="N135" i="67"/>
  <c r="O145" i="67"/>
  <c r="Q145" i="67"/>
  <c r="R145" i="67"/>
  <c r="Y135" i="67"/>
  <c r="F59" i="52"/>
  <c r="F60" i="52" s="1"/>
  <c r="F61" i="52" s="1"/>
  <c r="Z109" i="67"/>
  <c r="N63" i="67"/>
  <c r="G30" i="74" s="1" a="1"/>
  <c r="G30" i="74" s="1"/>
  <c r="O73" i="67"/>
  <c r="X118" i="67"/>
  <c r="X112" i="67"/>
  <c r="G59" i="53"/>
  <c r="V35" i="67"/>
  <c r="Z117" i="67"/>
  <c r="Y112" i="67"/>
  <c r="I18" i="44"/>
  <c r="I19" i="44" s="1" a="1"/>
  <c r="I19" i="44" s="1"/>
  <c r="I20" i="44" s="1"/>
  <c r="I21" i="44" s="1"/>
  <c r="I22" i="44" s="1"/>
  <c r="I23" i="44" s="1" a="1"/>
  <c r="I23" i="44" s="1"/>
  <c r="X109" i="67"/>
  <c r="W117" i="67"/>
  <c r="Y117" i="67"/>
  <c r="F59" i="53"/>
  <c r="F60" i="53" s="1"/>
  <c r="F61" i="53" s="1"/>
  <c r="F65" i="53" s="1"/>
  <c r="Z118" i="67"/>
  <c r="G118" i="67"/>
  <c r="F63" i="74" s="1" a="1"/>
  <c r="F63" i="74" s="1"/>
  <c r="G18" i="44"/>
  <c r="G19" i="44" s="1" a="1"/>
  <c r="G19" i="44" s="1"/>
  <c r="G20" i="44" s="1"/>
  <c r="G21" i="44" s="1"/>
  <c r="G22" i="44" s="1"/>
  <c r="G23" i="44" s="1" a="1"/>
  <c r="G23" i="44" s="1"/>
  <c r="K48" i="67"/>
  <c r="W111" i="67"/>
  <c r="W118" i="67"/>
  <c r="Z112" i="67"/>
  <c r="G111" i="67"/>
  <c r="F58" i="74" s="1" a="1"/>
  <c r="F58" i="74" s="1"/>
  <c r="H120" i="67"/>
  <c r="G107" i="67"/>
  <c r="F55" i="74" s="1" a="1"/>
  <c r="F55" i="74" s="1"/>
  <c r="I48" i="67"/>
  <c r="X111" i="67"/>
  <c r="J35" i="44"/>
  <c r="J43" i="44"/>
  <c r="J26" i="44"/>
  <c r="J48" i="67"/>
  <c r="I58" i="52"/>
  <c r="E59" i="53"/>
  <c r="E60" i="53" s="1"/>
  <c r="E61" i="53" s="1"/>
  <c r="E65" i="53" s="1"/>
  <c r="G137" i="67"/>
  <c r="F71" i="74" s="1" a="1"/>
  <c r="F71" i="74" s="1"/>
  <c r="V107" i="67"/>
  <c r="J18" i="44"/>
  <c r="J19" i="44" s="1" a="1"/>
  <c r="J19" i="44" s="1"/>
  <c r="J20" i="44" s="1"/>
  <c r="J21" i="44" s="1"/>
  <c r="J22" i="44" s="1"/>
  <c r="K43" i="44"/>
  <c r="K44" i="44" s="1" a="1"/>
  <c r="K44" i="44" s="1"/>
  <c r="K45" i="44" s="1"/>
  <c r="K46" i="44" s="1"/>
  <c r="K47" i="44" s="1"/>
  <c r="K35" i="44"/>
  <c r="K26" i="44"/>
  <c r="H48" i="67"/>
  <c r="G35" i="67"/>
  <c r="F15" i="74" s="1" a="1"/>
  <c r="F15" i="74" s="1"/>
  <c r="G109" i="67"/>
  <c r="F56" i="74" s="1" a="1"/>
  <c r="F56" i="74" s="1"/>
  <c r="K120" i="67"/>
  <c r="I56" i="52"/>
  <c r="F35" i="52" s="1"/>
  <c r="K18" i="44"/>
  <c r="K19" i="44" s="1" a="1"/>
  <c r="K19" i="44" s="1"/>
  <c r="K20" i="44" s="1"/>
  <c r="K21" i="44" s="1"/>
  <c r="K22" i="44" s="1"/>
  <c r="G65" i="67"/>
  <c r="F31" i="74" s="1" a="1"/>
  <c r="F31" i="74" s="1"/>
  <c r="L48" i="67"/>
  <c r="J120" i="67"/>
  <c r="D59" i="52"/>
  <c r="I56" i="53"/>
  <c r="F35" i="53" s="1"/>
  <c r="K56" i="44"/>
  <c r="K136" i="44" s="1"/>
  <c r="K137" i="44" s="1" a="1"/>
  <c r="K137" i="44" s="1"/>
  <c r="G37" i="67"/>
  <c r="F16" i="74" s="1" a="1"/>
  <c r="F16" i="74" s="1"/>
  <c r="H18" i="44"/>
  <c r="G45" i="67"/>
  <c r="F22" i="74" s="1" a="1"/>
  <c r="F22" i="74" s="1"/>
  <c r="H59" i="52"/>
  <c r="G26" i="44"/>
  <c r="G43" i="44"/>
  <c r="G35" i="44"/>
  <c r="G36" i="44" s="1" a="1"/>
  <c r="G36" i="44" s="1"/>
  <c r="G37" i="44" s="1"/>
  <c r="G38" i="44" s="1"/>
  <c r="G39" i="44" s="1"/>
  <c r="G40" i="67"/>
  <c r="F19" i="74" s="1" a="1"/>
  <c r="F19" i="74" s="1"/>
  <c r="D59" i="53"/>
  <c r="D60" i="53" s="1"/>
  <c r="D61" i="53" s="1"/>
  <c r="G117" i="67"/>
  <c r="F62" i="74" s="1" a="1"/>
  <c r="F62" i="74" s="1"/>
  <c r="H59" i="53"/>
  <c r="H60" i="53" s="1"/>
  <c r="G59" i="52"/>
  <c r="H35" i="44"/>
  <c r="H36" i="44" s="1" a="1"/>
  <c r="H36" i="44" s="1"/>
  <c r="H37" i="44" s="1"/>
  <c r="H38" i="44" s="1"/>
  <c r="H39" i="44" s="1"/>
  <c r="H26" i="44"/>
  <c r="H43" i="44"/>
  <c r="L120" i="67"/>
  <c r="G39" i="67"/>
  <c r="F18" i="74" s="1" a="1"/>
  <c r="F18" i="74" s="1"/>
  <c r="G112" i="67"/>
  <c r="F59" i="74" s="1" a="1"/>
  <c r="F59" i="74" s="1"/>
  <c r="I58" i="53"/>
  <c r="I43" i="44"/>
  <c r="I35" i="44"/>
  <c r="I36" i="44" s="1" a="1"/>
  <c r="I36" i="44" s="1"/>
  <c r="I37" i="44" s="1"/>
  <c r="I38" i="44" s="1"/>
  <c r="I39" i="44" s="1"/>
  <c r="I26" i="44"/>
  <c r="I27" i="44" s="1" a="1"/>
  <c r="I27" i="44" s="1"/>
  <c r="I28" i="44" s="1"/>
  <c r="I29" i="44" s="1"/>
  <c r="I30" i="44" s="1"/>
  <c r="I120" i="67"/>
  <c r="E59" i="52"/>
  <c r="G46" i="67"/>
  <c r="F23" i="74" s="1" a="1"/>
  <c r="F23" i="74" s="1"/>
  <c r="D57" i="52"/>
  <c r="D39" i="52"/>
  <c r="V54" i="52"/>
  <c r="G68" i="74" a="1"/>
  <c r="G68" i="74" s="1"/>
  <c r="N117" i="67"/>
  <c r="D39" i="53"/>
  <c r="X117" i="67"/>
  <c r="L60" i="52"/>
  <c r="R120" i="67"/>
  <c r="O120" i="67"/>
  <c r="N112" i="67"/>
  <c r="Q120" i="67"/>
  <c r="Y109" i="67"/>
  <c r="W112" i="67"/>
  <c r="N118" i="67"/>
  <c r="G63" i="74" s="1" a="1"/>
  <c r="G63" i="74" s="1"/>
  <c r="N107" i="67"/>
  <c r="G55" i="74" s="1" a="1"/>
  <c r="G55" i="74" s="1"/>
  <c r="P120" i="67"/>
  <c r="I105" i="65"/>
  <c r="I113" i="65" s="1"/>
  <c r="H304" i="44"/>
  <c r="H311" i="44" s="1"/>
  <c r="H305" i="44"/>
  <c r="H363" i="44" s="1"/>
  <c r="G304" i="44"/>
  <c r="G347" i="44" s="1"/>
  <c r="G348" i="44" s="1" a="1"/>
  <c r="G348" i="44" s="1"/>
  <c r="G305" i="44"/>
  <c r="G370" i="44" s="1"/>
  <c r="I275" i="44"/>
  <c r="I276" i="44" s="1" a="1"/>
  <c r="I276" i="44" s="1"/>
  <c r="I292" i="44"/>
  <c r="I293" i="44" s="1" a="1"/>
  <c r="I293" i="44" s="1"/>
  <c r="I284" i="44"/>
  <c r="I285" i="44" s="1" a="1"/>
  <c r="I285" i="44" s="1"/>
  <c r="I267" i="44"/>
  <c r="I268" i="44" s="1" a="1"/>
  <c r="I268" i="44" s="1"/>
  <c r="G292" i="44"/>
  <c r="G293" i="44" s="1" a="1"/>
  <c r="G293" i="44" s="1"/>
  <c r="G267" i="44"/>
  <c r="G268" i="44" s="1" a="1"/>
  <c r="G268" i="44" s="1"/>
  <c r="G284" i="44"/>
  <c r="G285" i="44" s="1" a="1"/>
  <c r="G285" i="44" s="1"/>
  <c r="G275" i="44"/>
  <c r="G276" i="44" s="1" a="1"/>
  <c r="G276" i="44" s="1"/>
  <c r="H275" i="44"/>
  <c r="H276" i="44" s="1" a="1"/>
  <c r="H276" i="44" s="1"/>
  <c r="H292" i="44"/>
  <c r="H293" i="44" s="1" a="1"/>
  <c r="H293" i="44" s="1"/>
  <c r="H284" i="44"/>
  <c r="H285" i="44" s="1" a="1"/>
  <c r="H285" i="44" s="1"/>
  <c r="H267" i="44"/>
  <c r="H268" i="44" s="1" a="1"/>
  <c r="H268" i="44" s="1"/>
  <c r="K275" i="44"/>
  <c r="K276" i="44" s="1" a="1"/>
  <c r="K276" i="44" s="1"/>
  <c r="K292" i="44"/>
  <c r="K293" i="44" s="1" a="1"/>
  <c r="K293" i="44" s="1"/>
  <c r="K284" i="44"/>
  <c r="K285" i="44" s="1" a="1"/>
  <c r="K285" i="44" s="1"/>
  <c r="K267" i="44"/>
  <c r="K268" i="44" s="1" a="1"/>
  <c r="K268" i="44" s="1"/>
  <c r="J305" i="44"/>
  <c r="J378" i="44" s="1"/>
  <c r="J379" i="44" s="1" a="1"/>
  <c r="J379" i="44" s="1"/>
  <c r="J304" i="44"/>
  <c r="J333" i="44" s="1"/>
  <c r="J334" i="44" s="1" a="1"/>
  <c r="J334" i="44" s="1"/>
  <c r="I305" i="44"/>
  <c r="I370" i="44" s="1"/>
  <c r="I371" i="44" s="1" a="1"/>
  <c r="I371" i="44" s="1"/>
  <c r="I304" i="44"/>
  <c r="I311" i="44" s="1"/>
  <c r="J292" i="44"/>
  <c r="J293" i="44" s="1" a="1"/>
  <c r="J293" i="44" s="1"/>
  <c r="J267" i="44"/>
  <c r="J268" i="44" s="1" a="1"/>
  <c r="J268" i="44" s="1"/>
  <c r="J275" i="44"/>
  <c r="J276" i="44" s="1" a="1"/>
  <c r="J276" i="44" s="1"/>
  <c r="J284" i="44"/>
  <c r="J285" i="44" s="1" a="1"/>
  <c r="J285" i="44" s="1"/>
  <c r="K304" i="44"/>
  <c r="K340" i="44" s="1"/>
  <c r="K341" i="44" s="1" a="1"/>
  <c r="K341" i="44" s="1"/>
  <c r="K305" i="44"/>
  <c r="K363" i="44" s="1"/>
  <c r="F110" i="65"/>
  <c r="F125" i="65" s="1"/>
  <c r="N137" i="67"/>
  <c r="G71" i="74" s="1" a="1"/>
  <c r="G71" i="74" s="1"/>
  <c r="W39" i="67"/>
  <c r="Y40" i="67"/>
  <c r="Z45" i="67"/>
  <c r="Y45" i="67"/>
  <c r="Y46" i="67"/>
  <c r="W45" i="67"/>
  <c r="X45" i="67"/>
  <c r="X40" i="67"/>
  <c r="W40" i="67"/>
  <c r="Z40" i="67"/>
  <c r="W46" i="67"/>
  <c r="Z46" i="67"/>
  <c r="Y39" i="67"/>
  <c r="Z39" i="67"/>
  <c r="X39" i="67"/>
  <c r="X46" i="67"/>
  <c r="W37" i="67"/>
  <c r="Z37" i="67"/>
  <c r="Y37" i="67"/>
  <c r="X37" i="67"/>
  <c r="O48" i="67"/>
  <c r="N109" i="67"/>
  <c r="G56" i="74" s="1" a="1"/>
  <c r="G56" i="74" s="1"/>
  <c r="I115" i="65"/>
  <c r="I117" i="65"/>
  <c r="I114" i="65"/>
  <c r="I116" i="65"/>
  <c r="N35" i="67"/>
  <c r="X107" i="67"/>
  <c r="R48" i="67"/>
  <c r="Y35" i="67"/>
  <c r="V37" i="67"/>
  <c r="N37" i="67"/>
  <c r="Y107" i="67"/>
  <c r="V109" i="67"/>
  <c r="P48" i="67"/>
  <c r="W35" i="67"/>
  <c r="W107" i="67"/>
  <c r="V118" i="67"/>
  <c r="V112" i="67"/>
  <c r="S48" i="67"/>
  <c r="Z35" i="67"/>
  <c r="V39" i="67"/>
  <c r="N39" i="67"/>
  <c r="N45" i="67"/>
  <c r="V45" i="67"/>
  <c r="Q48" i="67"/>
  <c r="X35" i="67"/>
  <c r="V46" i="67"/>
  <c r="N46" i="67"/>
  <c r="V40" i="67"/>
  <c r="N40" i="67"/>
  <c r="Z107" i="67"/>
  <c r="V111" i="67"/>
  <c r="V117" i="67"/>
  <c r="L115" i="65"/>
  <c r="L122" i="65"/>
  <c r="L113" i="65"/>
  <c r="L120" i="65"/>
  <c r="L116" i="65"/>
  <c r="L123" i="65"/>
  <c r="L117" i="65"/>
  <c r="L124" i="65"/>
  <c r="L114" i="65"/>
  <c r="L121" i="65"/>
  <c r="Q58" i="53"/>
  <c r="H57" i="52"/>
  <c r="G57" i="52"/>
  <c r="Q58" i="52"/>
  <c r="O59" i="52"/>
  <c r="M108" i="65" s="1"/>
  <c r="M105" i="65"/>
  <c r="O59" i="53"/>
  <c r="O60" i="53" s="1"/>
  <c r="O61" i="53" s="1"/>
  <c r="O65" i="53" s="1"/>
  <c r="N59" i="53"/>
  <c r="N60" i="53" s="1"/>
  <c r="N61" i="53" s="1"/>
  <c r="N65" i="53" s="1"/>
  <c r="P59" i="52"/>
  <c r="M109" i="65" s="1"/>
  <c r="P59" i="53"/>
  <c r="P60" i="53" s="1"/>
  <c r="P61" i="53" s="1"/>
  <c r="L59" i="53"/>
  <c r="L60" i="53" s="1"/>
  <c r="N59" i="52"/>
  <c r="M107" i="65" s="1"/>
  <c r="M59" i="52"/>
  <c r="M106" i="65" s="1"/>
  <c r="M59" i="53"/>
  <c r="M60" i="53" s="1"/>
  <c r="M61" i="53" s="1"/>
  <c r="Q56" i="53"/>
  <c r="F34" i="53" s="1"/>
  <c r="Q57" i="53"/>
  <c r="Q56" i="52"/>
  <c r="F34" i="52" s="1"/>
  <c r="Q57" i="52"/>
  <c r="H137" i="44" a="1"/>
  <c r="H137" i="44" s="1"/>
  <c r="H138" i="44" s="1"/>
  <c r="G55" i="44"/>
  <c r="G62" i="44" s="1"/>
  <c r="G60" i="53"/>
  <c r="G61" i="53" s="1"/>
  <c r="G65" i="53" s="1"/>
  <c r="H92" i="44" a="1"/>
  <c r="H92" i="44" s="1"/>
  <c r="H93" i="44" s="1"/>
  <c r="K92" i="44" a="1"/>
  <c r="K92" i="44" s="1"/>
  <c r="K93" i="44" s="1"/>
  <c r="H84" i="44"/>
  <c r="H129" i="44"/>
  <c r="H121" i="44"/>
  <c r="K76" i="44"/>
  <c r="H76" i="44"/>
  <c r="H98" i="44"/>
  <c r="K84" i="44"/>
  <c r="H114" i="44"/>
  <c r="H107" i="44"/>
  <c r="K98" i="44"/>
  <c r="K69" i="44"/>
  <c r="H69" i="44"/>
  <c r="K62" i="44"/>
  <c r="H62" i="44"/>
  <c r="I57" i="53"/>
  <c r="J56" i="44"/>
  <c r="J121" i="44" s="1"/>
  <c r="I56" i="44"/>
  <c r="I107" i="44" s="1"/>
  <c r="B106" i="40"/>
  <c r="G56" i="44"/>
  <c r="G114" i="44" s="1"/>
  <c r="I55" i="44"/>
  <c r="I84" i="44" s="1"/>
  <c r="J55" i="44"/>
  <c r="J76" i="44" s="1"/>
  <c r="F74" i="74" l="1" a="1"/>
  <c r="F74" i="74" s="1"/>
  <c r="U140" i="67"/>
  <c r="F73" i="74" a="1"/>
  <c r="F73" i="74" s="1"/>
  <c r="U139" i="67"/>
  <c r="F34" i="74" a="1"/>
  <c r="F34" i="74" s="1"/>
  <c r="U68" i="67"/>
  <c r="F33" i="74" a="1"/>
  <c r="F33" i="74" s="1"/>
  <c r="U67" i="67"/>
  <c r="Z135" i="67"/>
  <c r="G135" i="67"/>
  <c r="F70" i="74" s="1" a="1"/>
  <c r="F70" i="74" s="1"/>
  <c r="I70" i="74" s="1"/>
  <c r="H97" i="67"/>
  <c r="I62" i="74"/>
  <c r="I63" i="74"/>
  <c r="M63" i="74"/>
  <c r="I59" i="74"/>
  <c r="I55" i="74"/>
  <c r="M55" i="74"/>
  <c r="I58" i="74"/>
  <c r="I56" i="74"/>
  <c r="M56" i="74"/>
  <c r="I71" i="74"/>
  <c r="M71" i="74"/>
  <c r="L97" i="67"/>
  <c r="L96" i="67" s="1"/>
  <c r="L93" i="67" s="1"/>
  <c r="K97" i="67"/>
  <c r="K96" i="67" s="1"/>
  <c r="K93" i="67" s="1"/>
  <c r="J145" i="67"/>
  <c r="G145" i="67" s="1"/>
  <c r="I97" i="67"/>
  <c r="I96" i="67" s="1"/>
  <c r="I93" i="67" s="1"/>
  <c r="G34" i="53"/>
  <c r="R97" i="67"/>
  <c r="R96" i="67" s="1"/>
  <c r="R93" i="67" s="1"/>
  <c r="G34" i="52"/>
  <c r="Z48" i="67"/>
  <c r="Q97" i="67"/>
  <c r="Q96" i="67" s="1"/>
  <c r="Q93" i="67" s="1"/>
  <c r="N145" i="67"/>
  <c r="P97" i="67"/>
  <c r="P96" i="67" s="1"/>
  <c r="P93" i="67" s="1"/>
  <c r="U135" i="67"/>
  <c r="G70" i="74" a="1"/>
  <c r="G70" i="74" s="1"/>
  <c r="H325" i="44"/>
  <c r="H326" i="44" s="1" a="1"/>
  <c r="H326" i="44" s="1"/>
  <c r="K114" i="44"/>
  <c r="K107" i="44"/>
  <c r="F65" i="52"/>
  <c r="I20" i="51"/>
  <c r="I9" i="51" s="1" a="1"/>
  <c r="I9" i="51" s="1"/>
  <c r="V56" i="52"/>
  <c r="Y48" i="67"/>
  <c r="D60" i="52"/>
  <c r="D61" i="52" s="1"/>
  <c r="G20" i="51"/>
  <c r="G9" i="51" s="1" a="1"/>
  <c r="G9" i="51" s="1"/>
  <c r="W48" i="67"/>
  <c r="I19" i="74"/>
  <c r="J19" i="74"/>
  <c r="I22" i="74"/>
  <c r="J22" i="74"/>
  <c r="I16" i="74"/>
  <c r="J16" i="74"/>
  <c r="I15" i="74"/>
  <c r="J15" i="74"/>
  <c r="I23" i="74"/>
  <c r="J23" i="74"/>
  <c r="I18" i="74"/>
  <c r="J18" i="74"/>
  <c r="I31" i="74"/>
  <c r="J31" i="74"/>
  <c r="V120" i="67"/>
  <c r="X48" i="67"/>
  <c r="K121" i="44"/>
  <c r="K122" i="44" s="1" a="1"/>
  <c r="K122" i="44" s="1"/>
  <c r="K123" i="44" s="1"/>
  <c r="K124" i="44" s="1"/>
  <c r="K125" i="44" s="1" a="1"/>
  <c r="K125" i="44" s="1"/>
  <c r="K129" i="44"/>
  <c r="K130" i="44" s="1" a="1"/>
  <c r="K130" i="44" s="1"/>
  <c r="K131" i="44" s="1"/>
  <c r="G27" i="44" a="1"/>
  <c r="G27" i="44" s="1"/>
  <c r="G28" i="44" s="1"/>
  <c r="G29" i="44" s="1"/>
  <c r="G30" i="44" s="1"/>
  <c r="J36" i="44" a="1"/>
  <c r="J36" i="44" s="1"/>
  <c r="J37" i="44" s="1"/>
  <c r="I59" i="52"/>
  <c r="H35" i="52" s="1"/>
  <c r="G133" i="67"/>
  <c r="F68" i="74" s="1" a="1"/>
  <c r="F68" i="74" s="1"/>
  <c r="G48" i="67"/>
  <c r="I59" i="53"/>
  <c r="H35" i="53" s="1"/>
  <c r="H44" i="44" a="1"/>
  <c r="H44" i="44" s="1"/>
  <c r="H45" i="44" s="1"/>
  <c r="H46" i="44" s="1"/>
  <c r="H47" i="44" s="1"/>
  <c r="K27" i="44" a="1"/>
  <c r="K27" i="44" s="1"/>
  <c r="K28" i="44" s="1"/>
  <c r="K29" i="44" s="1"/>
  <c r="K30" i="44" s="1"/>
  <c r="I31" i="44" a="1"/>
  <c r="I31" i="44" s="1"/>
  <c r="I24" i="51"/>
  <c r="H27" i="44" a="1"/>
  <c r="H27" i="44" s="1"/>
  <c r="H28" i="44" s="1"/>
  <c r="H29" i="44" s="1"/>
  <c r="H30" i="44" s="1"/>
  <c r="H19" i="44" a="1"/>
  <c r="H19" i="44" s="1"/>
  <c r="H20" i="44" s="1"/>
  <c r="K36" i="44" a="1"/>
  <c r="K36" i="44" s="1"/>
  <c r="K37" i="44" s="1"/>
  <c r="I40" i="44" a="1"/>
  <c r="I40" i="44" s="1"/>
  <c r="S20" i="51"/>
  <c r="R20" i="51"/>
  <c r="H40" i="44" a="1"/>
  <c r="H40" i="44" s="1"/>
  <c r="Q20" i="51"/>
  <c r="G40" i="44" a="1"/>
  <c r="G40" i="44" s="1"/>
  <c r="K23" i="44" a="1"/>
  <c r="K23" i="44" s="1"/>
  <c r="K20" i="51"/>
  <c r="K48" i="44" a="1"/>
  <c r="K48" i="44" s="1"/>
  <c r="U24" i="51"/>
  <c r="J27" i="44" a="1"/>
  <c r="J27" i="44" s="1"/>
  <c r="J28" i="44" s="1"/>
  <c r="G120" i="67"/>
  <c r="I44" i="44" a="1"/>
  <c r="I44" i="44" s="1"/>
  <c r="I45" i="44" s="1"/>
  <c r="G44" i="44" a="1"/>
  <c r="G44" i="44" s="1"/>
  <c r="G45" i="44" s="1"/>
  <c r="G46" i="44" s="1"/>
  <c r="G47" i="44" s="1"/>
  <c r="J20" i="51"/>
  <c r="J23" i="44" a="1"/>
  <c r="J23" i="44" s="1"/>
  <c r="J44" i="44" a="1"/>
  <c r="J44" i="44" s="1"/>
  <c r="J45" i="44" s="1"/>
  <c r="J46" i="44" s="1"/>
  <c r="J47" i="44" s="1"/>
  <c r="U45" i="67"/>
  <c r="G22" i="74" a="1"/>
  <c r="G22" i="74" s="1"/>
  <c r="U117" i="67"/>
  <c r="G62" i="74" a="1"/>
  <c r="G62" i="74" s="1"/>
  <c r="U39" i="67"/>
  <c r="G18" i="74" a="1"/>
  <c r="G18" i="74" s="1"/>
  <c r="U35" i="67"/>
  <c r="G15" i="74" a="1"/>
  <c r="G15" i="74" s="1"/>
  <c r="U46" i="67"/>
  <c r="G23" i="74" a="1"/>
  <c r="G23" i="74" s="1"/>
  <c r="U40" i="67"/>
  <c r="G19" i="74" a="1"/>
  <c r="G19" i="74" s="1"/>
  <c r="U37" i="67"/>
  <c r="G16" i="74" a="1"/>
  <c r="G16" i="74" s="1"/>
  <c r="U112" i="67"/>
  <c r="G59" i="74" a="1"/>
  <c r="G59" i="74" s="1"/>
  <c r="U109" i="67"/>
  <c r="U107" i="67"/>
  <c r="U118" i="67"/>
  <c r="Y120" i="67"/>
  <c r="W120" i="67"/>
  <c r="X120" i="67"/>
  <c r="K277" i="44"/>
  <c r="K278" i="44" s="1"/>
  <c r="K279" i="44" s="1"/>
  <c r="K280" i="44" s="1" a="1"/>
  <c r="K280" i="44" s="1"/>
  <c r="K269" i="44"/>
  <c r="K270" i="44" s="1"/>
  <c r="K271" i="44" s="1"/>
  <c r="K272" i="44" s="1" a="1"/>
  <c r="K272" i="44" s="1"/>
  <c r="I277" i="44"/>
  <c r="I278" i="44" s="1"/>
  <c r="I279" i="44" s="1"/>
  <c r="I280" i="44" s="1" a="1"/>
  <c r="I280" i="44" s="1"/>
  <c r="K286" i="44"/>
  <c r="K287" i="44" s="1"/>
  <c r="K288" i="44" s="1"/>
  <c r="K289" i="44" s="1" a="1"/>
  <c r="K289" i="44" s="1"/>
  <c r="G286" i="44"/>
  <c r="G287" i="44" s="1"/>
  <c r="G288" i="44" s="1"/>
  <c r="G289" i="44" s="1" a="1"/>
  <c r="G289" i="44" s="1"/>
  <c r="I269" i="44"/>
  <c r="I270" i="44" s="1"/>
  <c r="I271" i="44" s="1"/>
  <c r="I272" i="44" s="1" a="1"/>
  <c r="I272" i="44" s="1"/>
  <c r="H269" i="44"/>
  <c r="H270" i="44" s="1"/>
  <c r="H271" i="44" s="1"/>
  <c r="H272" i="44" s="1" a="1"/>
  <c r="H272" i="44" s="1"/>
  <c r="J277" i="44"/>
  <c r="J278" i="44" s="1"/>
  <c r="J279" i="44" s="1"/>
  <c r="J280" i="44" s="1" a="1"/>
  <c r="J280" i="44" s="1"/>
  <c r="J286" i="44"/>
  <c r="J287" i="44" s="1"/>
  <c r="J288" i="44" s="1"/>
  <c r="J289" i="44" s="1" a="1"/>
  <c r="J289" i="44" s="1"/>
  <c r="G277" i="44"/>
  <c r="G278" i="44" s="1"/>
  <c r="G279" i="44" s="1"/>
  <c r="G280" i="44" s="1" a="1"/>
  <c r="G280" i="44" s="1"/>
  <c r="H294" i="44"/>
  <c r="H295" i="44" s="1"/>
  <c r="H296" i="44" s="1"/>
  <c r="H297" i="44" s="1" a="1"/>
  <c r="H297" i="44" s="1"/>
  <c r="H286" i="44"/>
  <c r="H287" i="44" s="1"/>
  <c r="H288" i="44" s="1"/>
  <c r="H289" i="44" s="1" a="1"/>
  <c r="H289" i="44" s="1"/>
  <c r="K356" i="44"/>
  <c r="K385" i="44"/>
  <c r="K386" i="44" s="1" a="1"/>
  <c r="K386" i="44" s="1"/>
  <c r="H385" i="44"/>
  <c r="H386" i="44" s="1" a="1"/>
  <c r="H386" i="44" s="1"/>
  <c r="K370" i="44"/>
  <c r="K371" i="44" s="1" a="1"/>
  <c r="K371" i="44" s="1"/>
  <c r="H378" i="44"/>
  <c r="H379" i="44" s="1" a="1"/>
  <c r="H379" i="44" s="1"/>
  <c r="K378" i="44"/>
  <c r="K379" i="44" s="1" a="1"/>
  <c r="K379" i="44" s="1"/>
  <c r="G385" i="44"/>
  <c r="G386" i="44" s="1" a="1"/>
  <c r="G386" i="44" s="1"/>
  <c r="I347" i="44"/>
  <c r="I348" i="44" s="1" a="1"/>
  <c r="I348" i="44" s="1"/>
  <c r="H333" i="44"/>
  <c r="H334" i="44" s="1" a="1"/>
  <c r="H334" i="44" s="1"/>
  <c r="K333" i="44"/>
  <c r="K334" i="44" s="1" a="1"/>
  <c r="K334" i="44" s="1"/>
  <c r="I325" i="44"/>
  <c r="G378" i="44"/>
  <c r="G379" i="44" s="1" a="1"/>
  <c r="G379" i="44" s="1"/>
  <c r="H340" i="44"/>
  <c r="H341" i="44" s="1" a="1"/>
  <c r="H341" i="44" s="1"/>
  <c r="I318" i="44"/>
  <c r="G363" i="44"/>
  <c r="G364" i="44" s="1" a="1"/>
  <c r="G364" i="44" s="1"/>
  <c r="G356" i="44"/>
  <c r="G357" i="44" s="1" a="1"/>
  <c r="G357" i="44" s="1"/>
  <c r="H356" i="44"/>
  <c r="K325" i="44"/>
  <c r="K326" i="44" s="1" a="1"/>
  <c r="K326" i="44" s="1"/>
  <c r="J318" i="44"/>
  <c r="H370" i="44"/>
  <c r="H371" i="44" s="1" a="1"/>
  <c r="H371" i="44" s="1"/>
  <c r="J294" i="44"/>
  <c r="J295" i="44" s="1"/>
  <c r="J296" i="44" s="1"/>
  <c r="J297" i="44" s="1" a="1"/>
  <c r="J297" i="44" s="1"/>
  <c r="K311" i="44"/>
  <c r="J311" i="44"/>
  <c r="I333" i="44"/>
  <c r="I334" i="44" s="1" a="1"/>
  <c r="I334" i="44" s="1"/>
  <c r="J385" i="44"/>
  <c r="J386" i="44" s="1" a="1"/>
  <c r="J386" i="44" s="1"/>
  <c r="I363" i="44"/>
  <c r="J325" i="44"/>
  <c r="J326" i="44" s="1" a="1"/>
  <c r="J326" i="44" s="1"/>
  <c r="I340" i="44"/>
  <c r="I341" i="44" s="1" a="1"/>
  <c r="I341" i="44" s="1"/>
  <c r="J340" i="44"/>
  <c r="J341" i="44" s="1" a="1"/>
  <c r="J341" i="44" s="1"/>
  <c r="G318" i="44"/>
  <c r="G319" i="44" s="1" a="1"/>
  <c r="G319" i="44" s="1"/>
  <c r="J347" i="44"/>
  <c r="J348" i="44" s="1" a="1"/>
  <c r="J348" i="44" s="1"/>
  <c r="G311" i="44"/>
  <c r="G312" i="44" s="1" a="1"/>
  <c r="G312" i="44" s="1"/>
  <c r="H318" i="44"/>
  <c r="J370" i="44"/>
  <c r="J371" i="44" s="1" a="1"/>
  <c r="J371" i="44" s="1"/>
  <c r="K347" i="44"/>
  <c r="K348" i="44" s="1" a="1"/>
  <c r="K348" i="44" s="1"/>
  <c r="G333" i="44"/>
  <c r="G334" i="44" s="1" a="1"/>
  <c r="G334" i="44" s="1"/>
  <c r="G325" i="44"/>
  <c r="K318" i="44"/>
  <c r="I385" i="44"/>
  <c r="I386" i="44" s="1" a="1"/>
  <c r="I386" i="44" s="1"/>
  <c r="J356" i="44"/>
  <c r="G340" i="44"/>
  <c r="I356" i="44"/>
  <c r="I378" i="44"/>
  <c r="I379" i="44" s="1" a="1"/>
  <c r="I379" i="44" s="1"/>
  <c r="J363" i="44"/>
  <c r="H347" i="44"/>
  <c r="H348" i="44" s="1" a="1"/>
  <c r="H348" i="44" s="1"/>
  <c r="V58" i="52"/>
  <c r="L110" i="65"/>
  <c r="L125" i="65" s="1"/>
  <c r="J110" i="65"/>
  <c r="J125" i="65" s="1"/>
  <c r="I110" i="65"/>
  <c r="I125" i="65" s="1"/>
  <c r="F39" i="53"/>
  <c r="N111" i="67"/>
  <c r="Z111" i="67"/>
  <c r="S120" i="67"/>
  <c r="N48" i="67"/>
  <c r="V48" i="67"/>
  <c r="I122" i="65"/>
  <c r="I123" i="65"/>
  <c r="I124" i="65"/>
  <c r="I121" i="65"/>
  <c r="M65" i="53"/>
  <c r="E60" i="52"/>
  <c r="E61" i="52" s="1"/>
  <c r="G60" i="52"/>
  <c r="G61" i="52" s="1"/>
  <c r="G65" i="52" s="1"/>
  <c r="H60" i="52"/>
  <c r="P65" i="53"/>
  <c r="O97" i="67"/>
  <c r="F118" i="65"/>
  <c r="I120" i="65"/>
  <c r="M114" i="65"/>
  <c r="I57" i="52"/>
  <c r="N105" i="65"/>
  <c r="O60" i="52"/>
  <c r="N108" i="65" s="1"/>
  <c r="N60" i="52"/>
  <c r="N107" i="65" s="1"/>
  <c r="P60" i="52"/>
  <c r="N109" i="65" s="1"/>
  <c r="K342" i="44"/>
  <c r="H277" i="44"/>
  <c r="K294" i="44"/>
  <c r="K295" i="44" s="1"/>
  <c r="K296" i="44" s="1"/>
  <c r="K297" i="44" s="1" a="1"/>
  <c r="K297" i="44" s="1"/>
  <c r="G269" i="44"/>
  <c r="I286" i="44"/>
  <c r="I294" i="44"/>
  <c r="G294" i="44"/>
  <c r="G295" i="44" s="1"/>
  <c r="G296" i="44" s="1"/>
  <c r="G297" i="44" s="1" a="1"/>
  <c r="G297" i="44" s="1"/>
  <c r="J269" i="44"/>
  <c r="M60" i="52"/>
  <c r="N106" i="65" s="1"/>
  <c r="Q59" i="52"/>
  <c r="H34" i="52" s="1"/>
  <c r="L61" i="53"/>
  <c r="L65" i="53" s="1"/>
  <c r="Q60" i="53"/>
  <c r="I34" i="53" s="1"/>
  <c r="G349" i="44"/>
  <c r="G350" i="44" s="1"/>
  <c r="G351" i="44" s="1" a="1"/>
  <c r="G351" i="44" s="1"/>
  <c r="J335" i="44"/>
  <c r="J336" i="44" s="1"/>
  <c r="J337" i="44" s="1" a="1"/>
  <c r="J337" i="44" s="1"/>
  <c r="Q59" i="53"/>
  <c r="H34" i="53" s="1"/>
  <c r="H130" i="44" a="1"/>
  <c r="H130" i="44" s="1"/>
  <c r="H131" i="44" s="1"/>
  <c r="H132" i="44" s="1"/>
  <c r="H133" i="44" s="1" a="1"/>
  <c r="H133" i="44" s="1"/>
  <c r="K138" i="44"/>
  <c r="K139" i="44" s="1"/>
  <c r="K140" i="44" s="1" a="1"/>
  <c r="K140" i="44" s="1"/>
  <c r="H139" i="44"/>
  <c r="H140" i="44" s="1" a="1"/>
  <c r="H140" i="44" s="1"/>
  <c r="G69" i="44"/>
  <c r="G63" i="44" a="1"/>
  <c r="G63" i="44" s="1"/>
  <c r="G64" i="44" s="1"/>
  <c r="F11" i="58"/>
  <c r="N156" i="58" s="1"/>
  <c r="N160" i="58" s="1"/>
  <c r="F34" i="58"/>
  <c r="E57" i="58"/>
  <c r="J161" i="58" s="1"/>
  <c r="E80" i="58"/>
  <c r="B175" i="42"/>
  <c r="E20" i="61"/>
  <c r="E24" i="61" s="1"/>
  <c r="F10" i="61"/>
  <c r="F14" i="61" s="1"/>
  <c r="E20" i="57"/>
  <c r="E20" i="60"/>
  <c r="E24" i="60" s="1"/>
  <c r="F10" i="57"/>
  <c r="F14" i="57" s="1"/>
  <c r="F10" i="60"/>
  <c r="F14" i="60" s="1"/>
  <c r="L84" i="55"/>
  <c r="H87" i="55"/>
  <c r="K94" i="44"/>
  <c r="K95" i="44" s="1" a="1"/>
  <c r="K95" i="44" s="1"/>
  <c r="I85" i="44" a="1"/>
  <c r="I85" i="44" s="1"/>
  <c r="K85" i="44" a="1"/>
  <c r="K85" i="44" s="1"/>
  <c r="K86" i="44" s="1"/>
  <c r="H85" i="44" a="1"/>
  <c r="H85" i="44" s="1"/>
  <c r="H86" i="44" s="1"/>
  <c r="H87" i="44" s="1"/>
  <c r="H88" i="44" s="1" a="1"/>
  <c r="H88" i="44" s="1"/>
  <c r="H94" i="44"/>
  <c r="H95" i="44" s="1" a="1"/>
  <c r="H95" i="44" s="1"/>
  <c r="I121" i="44"/>
  <c r="I122" i="44" s="1" a="1"/>
  <c r="I122" i="44" s="1"/>
  <c r="I123" i="44" s="1"/>
  <c r="I124" i="44" s="1"/>
  <c r="I125" i="44" s="1" a="1"/>
  <c r="I125" i="44" s="1"/>
  <c r="J129" i="44"/>
  <c r="J77" i="44" a="1"/>
  <c r="J77" i="44" s="1"/>
  <c r="J78" i="44" s="1"/>
  <c r="J79" i="44" s="1"/>
  <c r="J80" i="44" s="1" a="1"/>
  <c r="J80" i="44" s="1"/>
  <c r="G115" i="44" a="1"/>
  <c r="G115" i="44" s="1"/>
  <c r="G116" i="44" s="1"/>
  <c r="G117" i="44" s="1"/>
  <c r="G118" i="44" s="1" a="1"/>
  <c r="G118" i="44" s="1"/>
  <c r="J122" i="44" a="1"/>
  <c r="J122" i="44" s="1"/>
  <c r="J123" i="44" s="1"/>
  <c r="J124" i="44" s="1"/>
  <c r="J125" i="44" s="1" a="1"/>
  <c r="J125" i="44" s="1"/>
  <c r="K99" i="44" a="1"/>
  <c r="K99" i="44" s="1"/>
  <c r="K100" i="44" s="1"/>
  <c r="K101" i="44" s="1"/>
  <c r="K102" i="44" s="1" a="1"/>
  <c r="K102" i="44" s="1"/>
  <c r="H77" i="44" a="1"/>
  <c r="H77" i="44" s="1"/>
  <c r="H78" i="44" s="1"/>
  <c r="H79" i="44" s="1"/>
  <c r="J114" i="44"/>
  <c r="G84" i="44"/>
  <c r="G129" i="44"/>
  <c r="I76" i="44"/>
  <c r="G91" i="44"/>
  <c r="J107" i="44"/>
  <c r="G121" i="44"/>
  <c r="K77" i="44" a="1"/>
  <c r="K77" i="44" s="1"/>
  <c r="K78" i="44" s="1"/>
  <c r="K79" i="44" s="1"/>
  <c r="K80" i="44" s="1" a="1"/>
  <c r="K80" i="44" s="1"/>
  <c r="I98" i="44"/>
  <c r="J84" i="44"/>
  <c r="G76" i="44"/>
  <c r="H122" i="44" a="1"/>
  <c r="H122" i="44" s="1"/>
  <c r="H123" i="44" s="1"/>
  <c r="H124" i="44" s="1"/>
  <c r="H125" i="44" s="1" a="1"/>
  <c r="H125" i="44" s="1"/>
  <c r="I136" i="44"/>
  <c r="G107" i="44"/>
  <c r="I129" i="44"/>
  <c r="I114" i="44"/>
  <c r="H99" i="44" a="1"/>
  <c r="H99" i="44" s="1"/>
  <c r="H100" i="44" s="1"/>
  <c r="H101" i="44" s="1"/>
  <c r="H102" i="44" s="1" a="1"/>
  <c r="H102" i="44" s="1"/>
  <c r="J98" i="44"/>
  <c r="G98" i="44"/>
  <c r="I91" i="44"/>
  <c r="J91" i="44"/>
  <c r="J136" i="44"/>
  <c r="G136" i="44"/>
  <c r="J69" i="44"/>
  <c r="I69" i="44"/>
  <c r="J62" i="44"/>
  <c r="I62" i="44"/>
  <c r="I60" i="53"/>
  <c r="I35" i="53" s="1"/>
  <c r="H61" i="53"/>
  <c r="H65" i="53" s="1"/>
  <c r="M33" i="74" l="1"/>
  <c r="I33" i="74"/>
  <c r="J33" i="74"/>
  <c r="I73" i="74"/>
  <c r="M73" i="74"/>
  <c r="M34" i="74"/>
  <c r="J34" i="74"/>
  <c r="I34" i="74"/>
  <c r="I74" i="74"/>
  <c r="M74" i="74"/>
  <c r="M70" i="74"/>
  <c r="M59" i="74"/>
  <c r="M62" i="74"/>
  <c r="I68" i="74"/>
  <c r="M68" i="74"/>
  <c r="U145" i="67"/>
  <c r="J97" i="67"/>
  <c r="J96" i="67" s="1"/>
  <c r="J93" i="67" s="1"/>
  <c r="M23" i="74"/>
  <c r="M22" i="74"/>
  <c r="M16" i="74"/>
  <c r="M18" i="74"/>
  <c r="M19" i="74"/>
  <c r="M15" i="74"/>
  <c r="U48" i="67"/>
  <c r="G55" i="51" a="1"/>
  <c r="G55" i="51" s="1"/>
  <c r="I55" i="51" a="1"/>
  <c r="I55" i="51" s="1"/>
  <c r="U23" i="51"/>
  <c r="U58" i="51" s="1" a="1"/>
  <c r="U58" i="51" s="1"/>
  <c r="H21" i="44"/>
  <c r="H22" i="44" s="1"/>
  <c r="H20" i="51" s="1"/>
  <c r="J29" i="44"/>
  <c r="J30" i="44" s="1"/>
  <c r="J24" i="51" s="1"/>
  <c r="H31" i="44" a="1"/>
  <c r="H31" i="44" s="1"/>
  <c r="H24" i="51"/>
  <c r="J48" i="44" a="1"/>
  <c r="J48" i="44" s="1"/>
  <c r="T24" i="51"/>
  <c r="G48" i="44" a="1"/>
  <c r="G48" i="44" s="1"/>
  <c r="Q24" i="51"/>
  <c r="H48" i="44" a="1"/>
  <c r="H48" i="44" s="1"/>
  <c r="R24" i="51"/>
  <c r="G24" i="51"/>
  <c r="G31" i="44" a="1"/>
  <c r="G31" i="44" s="1"/>
  <c r="J93" i="55"/>
  <c r="J126" i="55" s="1"/>
  <c r="I44" i="51"/>
  <c r="K163" i="73"/>
  <c r="K212" i="73" s="1"/>
  <c r="K31" i="44" a="1"/>
  <c r="K31" i="44" s="1"/>
  <c r="K24" i="51"/>
  <c r="G44" i="51"/>
  <c r="H93" i="55"/>
  <c r="H126" i="55" s="1"/>
  <c r="I163" i="73"/>
  <c r="I212" i="73" s="1"/>
  <c r="J9" i="51" a="1"/>
  <c r="J9" i="51" s="1"/>
  <c r="J55" i="51" a="1"/>
  <c r="J55" i="51" s="1"/>
  <c r="Q9" i="51" a="1"/>
  <c r="Q9" i="51" s="1"/>
  <c r="Q55" i="51" a="1"/>
  <c r="Q55" i="51" s="1"/>
  <c r="J38" i="44"/>
  <c r="J39" i="44" s="1"/>
  <c r="U13" i="51" a="1"/>
  <c r="U13" i="51" s="1"/>
  <c r="U59" i="51" a="1"/>
  <c r="U59" i="51" s="1"/>
  <c r="R55" i="51" a="1"/>
  <c r="R55" i="51" s="1"/>
  <c r="R9" i="51" a="1"/>
  <c r="R9" i="51" s="1"/>
  <c r="I46" i="44"/>
  <c r="I47" i="44" s="1"/>
  <c r="K9" i="51" a="1"/>
  <c r="K9" i="51" s="1"/>
  <c r="K55" i="51" a="1"/>
  <c r="K55" i="51" s="1"/>
  <c r="S9" i="51" a="1"/>
  <c r="S9" i="51" s="1"/>
  <c r="S55" i="51" a="1"/>
  <c r="S55" i="51" s="1"/>
  <c r="K38" i="44"/>
  <c r="K39" i="44" s="1"/>
  <c r="I13" i="51" a="1"/>
  <c r="I13" i="51" s="1"/>
  <c r="I59" i="51" a="1"/>
  <c r="I59" i="51" s="1"/>
  <c r="U111" i="67"/>
  <c r="G58" i="74" a="1"/>
  <c r="G58" i="74" s="1"/>
  <c r="V57" i="52"/>
  <c r="K97" i="51"/>
  <c r="M182" i="73" s="1"/>
  <c r="M231" i="73" s="1"/>
  <c r="Q65" i="53"/>
  <c r="K93" i="51"/>
  <c r="M178" i="73" s="1"/>
  <c r="M227" i="73" s="1"/>
  <c r="G97" i="51"/>
  <c r="I182" i="73" s="1"/>
  <c r="I231" i="73" s="1"/>
  <c r="F39" i="52"/>
  <c r="U93" i="51"/>
  <c r="Q93" i="51"/>
  <c r="R93" i="51"/>
  <c r="I93" i="51"/>
  <c r="I128" i="51" s="1" a="1"/>
  <c r="I128" i="51" s="1"/>
  <c r="G313" i="44"/>
  <c r="G314" i="44" s="1"/>
  <c r="G315" i="44" s="1" a="1"/>
  <c r="G315" i="44" s="1"/>
  <c r="H335" i="44"/>
  <c r="H336" i="44" s="1"/>
  <c r="H337" i="44" s="1" a="1"/>
  <c r="H337" i="44" s="1"/>
  <c r="K387" i="44"/>
  <c r="K388" i="44" s="1"/>
  <c r="K389" i="44" s="1" a="1"/>
  <c r="K389" i="44" s="1"/>
  <c r="I335" i="44"/>
  <c r="I336" i="44" s="1"/>
  <c r="I337" i="44" s="1" a="1"/>
  <c r="I337" i="44" s="1"/>
  <c r="I97" i="51"/>
  <c r="K182" i="73" s="1"/>
  <c r="K231" i="73" s="1"/>
  <c r="T93" i="51"/>
  <c r="J372" i="44"/>
  <c r="J373" i="44" s="1"/>
  <c r="J374" i="44" s="1" a="1"/>
  <c r="J374" i="44" s="1"/>
  <c r="J97" i="51"/>
  <c r="L182" i="73" s="1"/>
  <c r="L231" i="73" s="1"/>
  <c r="K335" i="44"/>
  <c r="K336" i="44" s="1"/>
  <c r="K337" i="44" s="1" a="1"/>
  <c r="K337" i="44" s="1"/>
  <c r="H93" i="51"/>
  <c r="H82" i="51" s="1" a="1"/>
  <c r="H82" i="51" s="1"/>
  <c r="K327" i="44"/>
  <c r="K328" i="44" s="1"/>
  <c r="K329" i="44" s="1" a="1"/>
  <c r="K329" i="44" s="1"/>
  <c r="T97" i="51"/>
  <c r="L190" i="73" s="1"/>
  <c r="L239" i="73" s="1"/>
  <c r="J342" i="44"/>
  <c r="J343" i="44" s="1"/>
  <c r="J344" i="44" s="1" a="1"/>
  <c r="J344" i="44" s="1"/>
  <c r="K380" i="44"/>
  <c r="K381" i="44" s="1"/>
  <c r="K382" i="44" s="1" a="1"/>
  <c r="K382" i="44" s="1"/>
  <c r="G320" i="44"/>
  <c r="G321" i="44" s="1"/>
  <c r="G322" i="44" s="1" a="1"/>
  <c r="G322" i="44" s="1"/>
  <c r="I349" i="44"/>
  <c r="I350" i="44" s="1"/>
  <c r="I351" i="44" s="1" a="1"/>
  <c r="I351" i="44" s="1"/>
  <c r="J349" i="44"/>
  <c r="J350" i="44" s="1"/>
  <c r="J351" i="44" s="1" a="1"/>
  <c r="J351" i="44" s="1"/>
  <c r="G387" i="44"/>
  <c r="G388" i="44" s="1"/>
  <c r="G389" i="44" s="1" a="1"/>
  <c r="G389" i="44" s="1"/>
  <c r="H342" i="44"/>
  <c r="H343" i="44" s="1"/>
  <c r="H344" i="44" s="1" a="1"/>
  <c r="H344" i="44" s="1"/>
  <c r="R97" i="51"/>
  <c r="J190" i="73" s="1"/>
  <c r="J239" i="73" s="1"/>
  <c r="I380" i="44"/>
  <c r="I381" i="44" s="1"/>
  <c r="I382" i="44" s="1" a="1"/>
  <c r="I382" i="44" s="1"/>
  <c r="G380" i="44"/>
  <c r="G381" i="44" s="1"/>
  <c r="G382" i="44" s="1" a="1"/>
  <c r="G382" i="44" s="1"/>
  <c r="J327" i="44"/>
  <c r="J328" i="44" s="1"/>
  <c r="J329" i="44" s="1" a="1"/>
  <c r="J329" i="44" s="1"/>
  <c r="K349" i="44"/>
  <c r="K350" i="44" s="1"/>
  <c r="K351" i="44" s="1" a="1"/>
  <c r="K351" i="44" s="1"/>
  <c r="I342" i="44"/>
  <c r="I343" i="44" s="1"/>
  <c r="I344" i="44" s="1" a="1"/>
  <c r="I344" i="44" s="1"/>
  <c r="G335" i="44"/>
  <c r="G336" i="44" s="1"/>
  <c r="G337" i="44" s="1" a="1"/>
  <c r="G337" i="44" s="1"/>
  <c r="H372" i="44"/>
  <c r="H373" i="44" s="1"/>
  <c r="H374" i="44" s="1" a="1"/>
  <c r="H374" i="44" s="1"/>
  <c r="I326" i="44" a="1"/>
  <c r="I326" i="44" s="1"/>
  <c r="I327" i="44" s="1"/>
  <c r="I328" i="44" s="1"/>
  <c r="G341" i="44" a="1"/>
  <c r="G341" i="44" s="1"/>
  <c r="G342" i="44" s="1"/>
  <c r="G343" i="44" s="1"/>
  <c r="H80" i="44" a="1"/>
  <c r="H80" i="44" s="1"/>
  <c r="H23" i="51"/>
  <c r="H39" i="52"/>
  <c r="V59" i="52"/>
  <c r="M110" i="65"/>
  <c r="M125" i="65" s="1"/>
  <c r="H39" i="53"/>
  <c r="S97" i="67"/>
  <c r="S96" i="67" s="1"/>
  <c r="S93" i="67" s="1"/>
  <c r="N120" i="67"/>
  <c r="U120" i="67" s="1"/>
  <c r="Z120" i="67"/>
  <c r="I39" i="53"/>
  <c r="N61" i="52"/>
  <c r="O107" i="65" s="1"/>
  <c r="I60" i="52"/>
  <c r="I35" i="52" s="1"/>
  <c r="E65" i="52"/>
  <c r="U97" i="51"/>
  <c r="M190" i="73" s="1"/>
  <c r="M239" i="73" s="1"/>
  <c r="H61" i="52"/>
  <c r="H65" i="52" s="1"/>
  <c r="Q97" i="51"/>
  <c r="I190" i="73" s="1"/>
  <c r="I239" i="73" s="1"/>
  <c r="O96" i="67"/>
  <c r="P87" i="55"/>
  <c r="J118" i="65"/>
  <c r="I118" i="65"/>
  <c r="L118" i="65"/>
  <c r="N115" i="65"/>
  <c r="M121" i="65"/>
  <c r="M113" i="65"/>
  <c r="M120" i="65"/>
  <c r="M117" i="65"/>
  <c r="M124" i="65"/>
  <c r="M115" i="65"/>
  <c r="M122" i="65"/>
  <c r="M116" i="65"/>
  <c r="M123" i="65"/>
  <c r="E34" i="58"/>
  <c r="E42" i="58" s="1"/>
  <c r="P61" i="52"/>
  <c r="O109" i="65" s="1"/>
  <c r="O61" i="52"/>
  <c r="O108" i="65" s="1"/>
  <c r="Q60" i="52"/>
  <c r="I34" i="52" s="1"/>
  <c r="L61" i="52"/>
  <c r="E10" i="61"/>
  <c r="E14" i="61" s="1"/>
  <c r="H84" i="55"/>
  <c r="E10" i="60"/>
  <c r="E14" i="60" s="1"/>
  <c r="E11" i="58"/>
  <c r="J156" i="58" s="1"/>
  <c r="J160" i="58" s="1"/>
  <c r="E10" i="57"/>
  <c r="E14" i="57" s="1"/>
  <c r="G100" i="51"/>
  <c r="K343" i="44"/>
  <c r="K344" i="44" s="1" a="1"/>
  <c r="K344" i="44" s="1"/>
  <c r="H349" i="44"/>
  <c r="H350" i="44" s="1"/>
  <c r="H351" i="44" s="1" a="1"/>
  <c r="H351" i="44" s="1"/>
  <c r="G365" i="44"/>
  <c r="H327" i="44"/>
  <c r="J98" i="51"/>
  <c r="L183" i="73" s="1"/>
  <c r="L232" i="73" s="1"/>
  <c r="J380" i="44"/>
  <c r="J381" i="44" s="1"/>
  <c r="J382" i="44" s="1" a="1"/>
  <c r="J382" i="44" s="1"/>
  <c r="K372" i="44"/>
  <c r="H380" i="44"/>
  <c r="I387" i="44"/>
  <c r="G358" i="44"/>
  <c r="G359" i="44" s="1"/>
  <c r="G360" i="44" s="1" a="1"/>
  <c r="G360" i="44" s="1"/>
  <c r="I372" i="44"/>
  <c r="J387" i="44"/>
  <c r="H387" i="44"/>
  <c r="H388" i="44" s="1"/>
  <c r="H389" i="44" s="1" a="1"/>
  <c r="H389" i="44" s="1"/>
  <c r="H278" i="44"/>
  <c r="H279" i="44" s="1"/>
  <c r="H280" i="44" s="1" a="1"/>
  <c r="H280" i="44" s="1"/>
  <c r="J270" i="44"/>
  <c r="J271" i="44" s="1"/>
  <c r="J272" i="44" s="1" a="1"/>
  <c r="J272" i="44" s="1"/>
  <c r="I287" i="44"/>
  <c r="I288" i="44" s="1"/>
  <c r="I289" i="44" s="1" a="1"/>
  <c r="I289" i="44" s="1"/>
  <c r="I295" i="44"/>
  <c r="I296" i="44" s="1"/>
  <c r="I297" i="44" s="1" a="1"/>
  <c r="I297" i="44" s="1"/>
  <c r="G270" i="44"/>
  <c r="G271" i="44" s="1"/>
  <c r="G272" i="44" s="1" a="1"/>
  <c r="G272" i="44" s="1"/>
  <c r="M61" i="52"/>
  <c r="O106" i="65" s="1"/>
  <c r="F15" i="58"/>
  <c r="F16" i="58" s="1"/>
  <c r="F25" i="58" s="1"/>
  <c r="O159" i="58" s="1"/>
  <c r="Q61" i="53"/>
  <c r="J34" i="53" s="1"/>
  <c r="E61" i="58"/>
  <c r="E66" i="58" s="1"/>
  <c r="K163" i="58" s="1"/>
  <c r="E21" i="57"/>
  <c r="Q21" i="57" s="1"/>
  <c r="E21" i="60"/>
  <c r="Q21" i="60" s="1"/>
  <c r="E21" i="61"/>
  <c r="Q21" i="61" s="1"/>
  <c r="AI21" i="61" s="1"/>
  <c r="AI25" i="61" s="1"/>
  <c r="I87" i="55"/>
  <c r="I89" i="55" s="1"/>
  <c r="I88" i="55" s="1"/>
  <c r="F61" i="58"/>
  <c r="F66" i="58" s="1"/>
  <c r="O163" i="58" s="1"/>
  <c r="F21" i="60"/>
  <c r="M87" i="55"/>
  <c r="F21" i="57"/>
  <c r="F21" i="61"/>
  <c r="G61" i="58"/>
  <c r="G66" i="58" s="1"/>
  <c r="S163" i="58" s="1"/>
  <c r="G21" i="61"/>
  <c r="Q87" i="55"/>
  <c r="Q89" i="55" s="1"/>
  <c r="Q88" i="55" s="1"/>
  <c r="G21" i="57"/>
  <c r="G21" i="60"/>
  <c r="R25" i="51"/>
  <c r="R14" i="51" s="1" a="1"/>
  <c r="R14" i="51" s="1"/>
  <c r="J137" i="44" a="1"/>
  <c r="J137" i="44" s="1"/>
  <c r="K132" i="44"/>
  <c r="K133" i="44" s="1" a="1"/>
  <c r="K133" i="44" s="1"/>
  <c r="G137" i="44" a="1"/>
  <c r="G137" i="44" s="1"/>
  <c r="G138" i="44" s="1"/>
  <c r="G139" i="44" s="1"/>
  <c r="G140" i="44" s="1" a="1"/>
  <c r="G140" i="44" s="1"/>
  <c r="I137" i="44" a="1"/>
  <c r="I137" i="44" s="1"/>
  <c r="I138" i="44" s="1"/>
  <c r="I139" i="44" s="1"/>
  <c r="I140" i="44" s="1" a="1"/>
  <c r="I140" i="44" s="1"/>
  <c r="R26" i="51"/>
  <c r="R15" i="51" s="1" a="1"/>
  <c r="R15" i="51" s="1"/>
  <c r="I130" i="44" a="1"/>
  <c r="I130" i="44" s="1"/>
  <c r="I131" i="44" s="1"/>
  <c r="I132" i="44" s="1"/>
  <c r="I133" i="44" s="1" a="1"/>
  <c r="I133" i="44" s="1"/>
  <c r="G130" i="44" a="1"/>
  <c r="G130" i="44" s="1"/>
  <c r="G131" i="44" s="1"/>
  <c r="J130" i="44" a="1"/>
  <c r="J130" i="44" s="1"/>
  <c r="U26" i="51"/>
  <c r="U15" i="51" s="1" a="1"/>
  <c r="U15" i="51" s="1"/>
  <c r="G20" i="61"/>
  <c r="G24" i="61" s="1"/>
  <c r="G20" i="57"/>
  <c r="G80" i="58"/>
  <c r="G88" i="58" s="1"/>
  <c r="G20" i="60"/>
  <c r="G24" i="60" s="1"/>
  <c r="G57" i="58"/>
  <c r="R161" i="58" s="1"/>
  <c r="R165" i="58" s="1"/>
  <c r="G65" i="44"/>
  <c r="G66" i="44" s="1" a="1"/>
  <c r="G66" i="44" s="1"/>
  <c r="S23" i="51"/>
  <c r="R23" i="51"/>
  <c r="K27" i="51"/>
  <c r="K16" i="51" s="1" a="1"/>
  <c r="K16" i="51" s="1"/>
  <c r="H26" i="51"/>
  <c r="H15" i="51" s="1" a="1"/>
  <c r="H15" i="51" s="1"/>
  <c r="H25" i="51"/>
  <c r="H14" i="51" s="1" a="1"/>
  <c r="H14" i="51" s="1"/>
  <c r="K23" i="51"/>
  <c r="T23" i="51"/>
  <c r="H27" i="51"/>
  <c r="H16" i="51" s="1" a="1"/>
  <c r="H16" i="51" s="1"/>
  <c r="K26" i="51"/>
  <c r="K15" i="51" s="1" a="1"/>
  <c r="K15" i="51" s="1"/>
  <c r="Q22" i="51"/>
  <c r="J23" i="51"/>
  <c r="F19" i="58"/>
  <c r="O157" i="58" s="1"/>
  <c r="H11" i="58"/>
  <c r="V156" i="58" s="1"/>
  <c r="V160" i="58" s="1"/>
  <c r="H34" i="58"/>
  <c r="E81" i="58"/>
  <c r="E82" i="58" s="1"/>
  <c r="E88" i="58"/>
  <c r="F57" i="58"/>
  <c r="N161" i="58" s="1"/>
  <c r="F80" i="58"/>
  <c r="E58" i="58"/>
  <c r="E59" i="58" s="1"/>
  <c r="E65" i="58"/>
  <c r="F12" i="58"/>
  <c r="F13" i="58" s="1"/>
  <c r="G11" i="58"/>
  <c r="R156" i="58" s="1"/>
  <c r="R160" i="58" s="1"/>
  <c r="G34" i="58"/>
  <c r="F35" i="58"/>
  <c r="F36" i="58" s="1"/>
  <c r="F42" i="58"/>
  <c r="L90" i="61"/>
  <c r="H93" i="61"/>
  <c r="E24" i="57"/>
  <c r="E10" i="62"/>
  <c r="G10" i="61"/>
  <c r="G14" i="61" s="1"/>
  <c r="F20" i="61"/>
  <c r="F24" i="61" s="1"/>
  <c r="H10" i="61"/>
  <c r="H14" i="61" s="1"/>
  <c r="H10" i="57"/>
  <c r="H14" i="57" s="1"/>
  <c r="H10" i="60"/>
  <c r="H14" i="60" s="1"/>
  <c r="G10" i="57"/>
  <c r="G14" i="57" s="1"/>
  <c r="G10" i="60"/>
  <c r="G14" i="60" s="1"/>
  <c r="F20" i="60"/>
  <c r="F24" i="60" s="1"/>
  <c r="F20" i="57"/>
  <c r="F24" i="57" s="1"/>
  <c r="L71" i="60"/>
  <c r="H74" i="60"/>
  <c r="L90" i="57"/>
  <c r="J165" i="58"/>
  <c r="T84" i="55"/>
  <c r="H93" i="57"/>
  <c r="P84" i="55"/>
  <c r="L87" i="55"/>
  <c r="H20" i="57"/>
  <c r="J92" i="44" a="1"/>
  <c r="J92" i="44" s="1"/>
  <c r="J93" i="44" s="1"/>
  <c r="I92" i="44" a="1"/>
  <c r="I92" i="44" s="1"/>
  <c r="I93" i="44" s="1"/>
  <c r="G92" i="44" a="1"/>
  <c r="G92" i="44" s="1"/>
  <c r="G93" i="44" s="1"/>
  <c r="G94" i="44" s="1"/>
  <c r="G95" i="44" s="1" a="1"/>
  <c r="G95" i="44" s="1"/>
  <c r="K87" i="44"/>
  <c r="K88" i="44" s="1" a="1"/>
  <c r="K88" i="44" s="1"/>
  <c r="J85" i="44" a="1"/>
  <c r="J85" i="44" s="1"/>
  <c r="J86" i="44" s="1"/>
  <c r="G85" i="44" a="1"/>
  <c r="G85" i="44" s="1"/>
  <c r="G86" i="44" s="1"/>
  <c r="I86" i="44"/>
  <c r="I87" i="44" s="1"/>
  <c r="I88" i="44" s="1" a="1"/>
  <c r="I88" i="44" s="1"/>
  <c r="I77" i="44" a="1"/>
  <c r="I77" i="44" s="1"/>
  <c r="I78" i="44" s="1"/>
  <c r="I79" i="44" s="1"/>
  <c r="I80" i="44" s="1" a="1"/>
  <c r="I80" i="44" s="1"/>
  <c r="G108" i="44" a="1"/>
  <c r="G108" i="44" s="1"/>
  <c r="G109" i="44" s="1"/>
  <c r="G110" i="44" s="1"/>
  <c r="G111" i="44" s="1" a="1"/>
  <c r="G111" i="44" s="1"/>
  <c r="I99" i="44" a="1"/>
  <c r="I99" i="44" s="1"/>
  <c r="I100" i="44" s="1"/>
  <c r="I101" i="44" s="1"/>
  <c r="I102" i="44" s="1" a="1"/>
  <c r="I102" i="44" s="1"/>
  <c r="G99" i="44" a="1"/>
  <c r="G99" i="44" s="1"/>
  <c r="G100" i="44" s="1"/>
  <c r="G101" i="44" s="1"/>
  <c r="G102" i="44" s="1" a="1"/>
  <c r="G102" i="44" s="1"/>
  <c r="J99" i="44" a="1"/>
  <c r="J99" i="44" s="1"/>
  <c r="J100" i="44" s="1"/>
  <c r="J101" i="44" s="1"/>
  <c r="J102" i="44" s="1" a="1"/>
  <c r="J102" i="44" s="1"/>
  <c r="G70" i="44" a="1"/>
  <c r="G70" i="44" s="1"/>
  <c r="G71" i="44" s="1"/>
  <c r="I61" i="53"/>
  <c r="J35" i="53" s="1"/>
  <c r="M58" i="74" l="1"/>
  <c r="G97" i="67"/>
  <c r="F78" i="74" s="1" a="1"/>
  <c r="F78" i="74" s="1"/>
  <c r="U12" i="51" a="1"/>
  <c r="U12" i="51" s="1"/>
  <c r="U47" i="51" s="1"/>
  <c r="H23" i="44" a="1"/>
  <c r="H23" i="44" s="1"/>
  <c r="L186" i="73"/>
  <c r="L235" i="73" s="1"/>
  <c r="Q82" i="51" a="1"/>
  <c r="Q82" i="51" s="1"/>
  <c r="H116" i="55" s="1"/>
  <c r="H149" i="55" s="1"/>
  <c r="U128" i="51" a="1"/>
  <c r="U128" i="51" s="1"/>
  <c r="R128" i="51" a="1"/>
  <c r="R128" i="51" s="1"/>
  <c r="O93" i="67"/>
  <c r="H96" i="67"/>
  <c r="O105" i="65"/>
  <c r="L65" i="52"/>
  <c r="J31" i="44" a="1"/>
  <c r="J31" i="44" s="1"/>
  <c r="E67" i="52"/>
  <c r="I20" i="67" s="1"/>
  <c r="G94" i="51"/>
  <c r="I179" i="73" s="1"/>
  <c r="I228" i="73" s="1"/>
  <c r="K82" i="51" a="1"/>
  <c r="K82" i="51" s="1"/>
  <c r="L108" i="55" s="1"/>
  <c r="L141" i="55" s="1"/>
  <c r="R13" i="51" a="1"/>
  <c r="R13" i="51" s="1"/>
  <c r="R59" i="51" a="1"/>
  <c r="R59" i="51" s="1"/>
  <c r="R44" i="51"/>
  <c r="I101" i="55"/>
  <c r="I134" i="55" s="1"/>
  <c r="J171" i="73"/>
  <c r="J220" i="73" s="1"/>
  <c r="Q44" i="51"/>
  <c r="H101" i="55"/>
  <c r="H134" i="55" s="1"/>
  <c r="I171" i="73"/>
  <c r="I220" i="73" s="1"/>
  <c r="K13" i="51" a="1"/>
  <c r="K13" i="51" s="1"/>
  <c r="K59" i="51" a="1"/>
  <c r="K59" i="51" s="1"/>
  <c r="K167" i="73"/>
  <c r="K216" i="73" s="1"/>
  <c r="I48" i="51"/>
  <c r="J97" i="55"/>
  <c r="J130" i="55" s="1"/>
  <c r="Q13" i="51" a="1"/>
  <c r="Q13" i="51" s="1"/>
  <c r="Q59" i="51" a="1"/>
  <c r="Q59" i="51" s="1"/>
  <c r="U20" i="51"/>
  <c r="K40" i="44" a="1"/>
  <c r="K40" i="44" s="1"/>
  <c r="L163" i="73"/>
  <c r="L212" i="73" s="1"/>
  <c r="K93" i="55"/>
  <c r="K126" i="55" s="1"/>
  <c r="J44" i="51"/>
  <c r="H55" i="51" a="1"/>
  <c r="H55" i="51" s="1"/>
  <c r="H9" i="51" a="1"/>
  <c r="H9" i="51" s="1"/>
  <c r="U48" i="51"/>
  <c r="M175" i="73"/>
  <c r="M224" i="73" s="1"/>
  <c r="L105" i="55"/>
  <c r="L138" i="55" s="1"/>
  <c r="T13" i="51" a="1"/>
  <c r="T13" i="51" s="1"/>
  <c r="T59" i="51" a="1"/>
  <c r="T59" i="51" s="1"/>
  <c r="J101" i="55"/>
  <c r="J134" i="55" s="1"/>
  <c r="S44" i="51"/>
  <c r="K171" i="73"/>
  <c r="K220" i="73" s="1"/>
  <c r="I48" i="44" a="1"/>
  <c r="I48" i="44" s="1"/>
  <c r="S24" i="51"/>
  <c r="J13" i="51" a="1"/>
  <c r="J13" i="51" s="1"/>
  <c r="J59" i="51" a="1"/>
  <c r="J59" i="51" s="1"/>
  <c r="H13" i="51" a="1"/>
  <c r="H13" i="51" s="1"/>
  <c r="H59" i="51" a="1"/>
  <c r="H59" i="51" s="1"/>
  <c r="K44" i="51"/>
  <c r="M163" i="73"/>
  <c r="M212" i="73" s="1"/>
  <c r="L93" i="55"/>
  <c r="L126" i="55" s="1"/>
  <c r="J40" i="44" a="1"/>
  <c r="J40" i="44" s="1"/>
  <c r="T20" i="51"/>
  <c r="G67" i="53" s="1"/>
  <c r="K92" i="67" s="1"/>
  <c r="G13" i="51" a="1"/>
  <c r="G13" i="51" s="1"/>
  <c r="G59" i="51" a="1"/>
  <c r="G59" i="51" s="1"/>
  <c r="M186" i="73"/>
  <c r="M235" i="73" s="1"/>
  <c r="K132" i="51" a="1"/>
  <c r="K132" i="51" s="1"/>
  <c r="G86" i="51" a="1"/>
  <c r="G86" i="51" s="1"/>
  <c r="K128" i="51" a="1"/>
  <c r="K128" i="51" s="1"/>
  <c r="K86" i="51" a="1"/>
  <c r="K86" i="51" s="1"/>
  <c r="U99" i="51"/>
  <c r="M192" i="73" s="1"/>
  <c r="M241" i="73" s="1"/>
  <c r="K96" i="51"/>
  <c r="M181" i="73" s="1"/>
  <c r="M230" i="73" s="1"/>
  <c r="J17" i="73" s="1"/>
  <c r="V140" i="73" s="1"/>
  <c r="G132" i="51" a="1"/>
  <c r="G132" i="51" s="1"/>
  <c r="Q128" i="51" a="1"/>
  <c r="Q128" i="51" s="1"/>
  <c r="I186" i="73"/>
  <c r="I235" i="73" s="1"/>
  <c r="H98" i="51"/>
  <c r="J183" i="73" s="1"/>
  <c r="J232" i="73" s="1"/>
  <c r="K98" i="51"/>
  <c r="M183" i="73" s="1"/>
  <c r="M232" i="73" s="1"/>
  <c r="J186" i="73"/>
  <c r="J235" i="73" s="1"/>
  <c r="K178" i="73"/>
  <c r="K227" i="73" s="1"/>
  <c r="U82" i="51" a="1"/>
  <c r="U82" i="51" s="1"/>
  <c r="L116" i="55" s="1"/>
  <c r="L149" i="55" s="1"/>
  <c r="I82" i="51" a="1"/>
  <c r="I82" i="51" s="1"/>
  <c r="R82" i="51" a="1"/>
  <c r="R82" i="51" s="1"/>
  <c r="R117" i="51" s="1"/>
  <c r="T96" i="51"/>
  <c r="L189" i="73" s="1"/>
  <c r="L238" i="73" s="1"/>
  <c r="J178" i="73"/>
  <c r="J227" i="73" s="1"/>
  <c r="I86" i="51" a="1"/>
  <c r="I86" i="51" s="1"/>
  <c r="K167" i="70" s="1"/>
  <c r="K200" i="70" s="1"/>
  <c r="I132" i="51" a="1"/>
  <c r="I132" i="51" s="1"/>
  <c r="T128" i="51" a="1"/>
  <c r="T128" i="51" s="1"/>
  <c r="T82" i="51" a="1"/>
  <c r="T82" i="51" s="1"/>
  <c r="I98" i="51"/>
  <c r="K183" i="73" s="1"/>
  <c r="K232" i="73" s="1"/>
  <c r="T132" i="51" a="1"/>
  <c r="T132" i="51" s="1"/>
  <c r="H128" i="51" a="1"/>
  <c r="H128" i="51" s="1"/>
  <c r="J96" i="51"/>
  <c r="L181" i="73" s="1"/>
  <c r="L230" i="73" s="1"/>
  <c r="J86" i="51" a="1"/>
  <c r="J86" i="51" s="1"/>
  <c r="K100" i="51"/>
  <c r="M185" i="73" s="1"/>
  <c r="M234" i="73" s="1"/>
  <c r="J132" i="51" a="1"/>
  <c r="J132" i="51" s="1"/>
  <c r="G95" i="51"/>
  <c r="I180" i="73" s="1"/>
  <c r="I229" i="73" s="1"/>
  <c r="T86" i="51" a="1"/>
  <c r="T86" i="51" s="1"/>
  <c r="R132" i="51" a="1"/>
  <c r="R132" i="51" s="1"/>
  <c r="I100" i="51"/>
  <c r="K185" i="73" s="1"/>
  <c r="K234" i="73" s="1"/>
  <c r="R86" i="51" a="1"/>
  <c r="R86" i="51" s="1"/>
  <c r="J99" i="51"/>
  <c r="L184" i="73" s="1"/>
  <c r="L233" i="73" s="1"/>
  <c r="I19" i="73" s="1"/>
  <c r="R146" i="73" s="1"/>
  <c r="Q98" i="51"/>
  <c r="I191" i="73" s="1"/>
  <c r="I240" i="73" s="1"/>
  <c r="R96" i="51"/>
  <c r="J189" i="73" s="1"/>
  <c r="J238" i="73" s="1"/>
  <c r="H12" i="51" a="1"/>
  <c r="H12" i="51" s="1"/>
  <c r="G98" i="51"/>
  <c r="I183" i="73" s="1"/>
  <c r="I232" i="73" s="1"/>
  <c r="J100" i="51"/>
  <c r="L185" i="73" s="1"/>
  <c r="L234" i="73" s="1"/>
  <c r="H99" i="51"/>
  <c r="J184" i="73" s="1"/>
  <c r="J233" i="73" s="1"/>
  <c r="S98" i="51"/>
  <c r="K191" i="73" s="1"/>
  <c r="K240" i="73" s="1"/>
  <c r="I99" i="51"/>
  <c r="K184" i="73" s="1"/>
  <c r="K233" i="73" s="1"/>
  <c r="J12" i="51" a="1"/>
  <c r="J12" i="51" s="1"/>
  <c r="G67" i="52"/>
  <c r="R12" i="51" a="1"/>
  <c r="R12" i="51" s="1"/>
  <c r="E67" i="53"/>
  <c r="E69" i="53" s="1"/>
  <c r="S12" i="51" a="1"/>
  <c r="S12" i="51" s="1"/>
  <c r="S47" i="51" s="1"/>
  <c r="F67" i="53"/>
  <c r="F69" i="53" s="1"/>
  <c r="T12" i="51" a="1"/>
  <c r="T12" i="51" s="1"/>
  <c r="L174" i="73" s="1"/>
  <c r="L223" i="73" s="1"/>
  <c r="K12" i="51" a="1"/>
  <c r="K12" i="51" s="1"/>
  <c r="K47" i="51" s="1"/>
  <c r="H67" i="52"/>
  <c r="I329" i="44" a="1"/>
  <c r="I329" i="44" s="1"/>
  <c r="I96" i="51"/>
  <c r="N67" i="52" s="1"/>
  <c r="I185" i="73"/>
  <c r="I234" i="73" s="1"/>
  <c r="G89" i="51" a="1"/>
  <c r="G89" i="51" s="1"/>
  <c r="G344" i="44" a="1"/>
  <c r="G344" i="44" s="1"/>
  <c r="G99" i="51"/>
  <c r="M170" i="73"/>
  <c r="M219" i="73" s="1"/>
  <c r="J170" i="73"/>
  <c r="J219" i="73" s="1"/>
  <c r="J169" i="73"/>
  <c r="J218" i="73" s="1"/>
  <c r="M177" i="73"/>
  <c r="M226" i="73" s="1"/>
  <c r="J176" i="73"/>
  <c r="J225" i="73" s="1"/>
  <c r="J177" i="73"/>
  <c r="J226" i="73" s="1"/>
  <c r="J168" i="73"/>
  <c r="J217" i="73" s="1"/>
  <c r="I108" i="55"/>
  <c r="I141" i="55" s="1"/>
  <c r="J178" i="70"/>
  <c r="J211" i="70" s="1"/>
  <c r="M169" i="73"/>
  <c r="M218" i="73" s="1"/>
  <c r="H51" i="51"/>
  <c r="R49" i="51"/>
  <c r="U50" i="51"/>
  <c r="K51" i="51"/>
  <c r="K50" i="51"/>
  <c r="H49" i="51"/>
  <c r="R50" i="51"/>
  <c r="H50" i="51"/>
  <c r="U132" i="51" a="1"/>
  <c r="U132" i="51" s="1"/>
  <c r="U86" i="51" a="1"/>
  <c r="U86" i="51" s="1"/>
  <c r="M175" i="70" s="1"/>
  <c r="M208" i="70" s="1"/>
  <c r="V60" i="52"/>
  <c r="N110" i="65"/>
  <c r="N125" i="65" s="1"/>
  <c r="H117" i="51"/>
  <c r="J133" i="51" a="1"/>
  <c r="J133" i="51" s="1"/>
  <c r="J87" i="51" a="1"/>
  <c r="J87" i="51" s="1"/>
  <c r="Q132" i="51" a="1"/>
  <c r="Q132" i="51" s="1"/>
  <c r="Q86" i="51" a="1"/>
  <c r="Q86" i="51" s="1"/>
  <c r="G135" i="51" a="1"/>
  <c r="G135" i="51" s="1"/>
  <c r="O65" i="52"/>
  <c r="P65" i="52"/>
  <c r="M65" i="52"/>
  <c r="N65" i="52"/>
  <c r="N97" i="67"/>
  <c r="G78" i="74" s="1" a="1"/>
  <c r="G78" i="74" s="1"/>
  <c r="J39" i="53"/>
  <c r="N96" i="67"/>
  <c r="G77" i="74" s="1" a="1"/>
  <c r="G77" i="74" s="1"/>
  <c r="O115" i="65"/>
  <c r="I61" i="52"/>
  <c r="J35" i="52" s="1"/>
  <c r="S97" i="51"/>
  <c r="K190" i="73" s="1"/>
  <c r="K239" i="73" s="1"/>
  <c r="R61" i="51" a="1"/>
  <c r="R61" i="51" s="1"/>
  <c r="T58" i="51" a="1"/>
  <c r="T58" i="51" s="1"/>
  <c r="J58" i="51" a="1"/>
  <c r="J58" i="51" s="1"/>
  <c r="H61" i="51" a="1"/>
  <c r="H61" i="51" s="1"/>
  <c r="K58" i="51" a="1"/>
  <c r="K58" i="51" s="1"/>
  <c r="H60" i="51" a="1"/>
  <c r="H60" i="51" s="1"/>
  <c r="Q57" i="51" a="1"/>
  <c r="Q57" i="51" s="1"/>
  <c r="K62" i="51" a="1"/>
  <c r="K62" i="51" s="1"/>
  <c r="R60" i="51" a="1"/>
  <c r="R60" i="51" s="1"/>
  <c r="H58" i="51" a="1"/>
  <c r="H58" i="51" s="1"/>
  <c r="K61" i="51" a="1"/>
  <c r="K61" i="51" s="1"/>
  <c r="R58" i="51" a="1"/>
  <c r="R58" i="51" s="1"/>
  <c r="H62" i="51" a="1"/>
  <c r="H62" i="51" s="1"/>
  <c r="S58" i="51" a="1"/>
  <c r="S58" i="51" s="1"/>
  <c r="U61" i="51" a="1"/>
  <c r="U61" i="51" s="1"/>
  <c r="I107" i="55"/>
  <c r="I140" i="55" s="1"/>
  <c r="I99" i="55"/>
  <c r="I132" i="55" s="1"/>
  <c r="L100" i="55"/>
  <c r="L133" i="55" s="1"/>
  <c r="I106" i="55"/>
  <c r="I139" i="55" s="1"/>
  <c r="N122" i="65"/>
  <c r="O114" i="65"/>
  <c r="N116" i="65"/>
  <c r="N123" i="65"/>
  <c r="N113" i="65"/>
  <c r="N120" i="65"/>
  <c r="N117" i="65"/>
  <c r="N124" i="65"/>
  <c r="N114" i="65"/>
  <c r="N121" i="65"/>
  <c r="M118" i="65"/>
  <c r="H90" i="61"/>
  <c r="E19" i="58"/>
  <c r="K157" i="58" s="1"/>
  <c r="E35" i="58"/>
  <c r="E36" i="58" s="1"/>
  <c r="H71" i="60"/>
  <c r="H90" i="57"/>
  <c r="E12" i="58"/>
  <c r="E13" i="58" s="1"/>
  <c r="J93" i="51"/>
  <c r="U98" i="51"/>
  <c r="M191" i="73" s="1"/>
  <c r="M240" i="73" s="1"/>
  <c r="H97" i="51"/>
  <c r="J182" i="73" s="1"/>
  <c r="J231" i="73" s="1"/>
  <c r="S21" i="57"/>
  <c r="S25" i="57" s="1"/>
  <c r="K99" i="51"/>
  <c r="M184" i="73" s="1"/>
  <c r="M233" i="73" s="1"/>
  <c r="K373" i="44"/>
  <c r="K374" i="44" s="1" a="1"/>
  <c r="K374" i="44" s="1"/>
  <c r="H381" i="44"/>
  <c r="H382" i="44" s="1" a="1"/>
  <c r="H382" i="44" s="1"/>
  <c r="F20" i="58"/>
  <c r="O158" i="58" s="1"/>
  <c r="O160" i="58" s="1"/>
  <c r="Q94" i="51"/>
  <c r="T98" i="51"/>
  <c r="L191" i="73" s="1"/>
  <c r="L240" i="73" s="1"/>
  <c r="H328" i="44"/>
  <c r="H329" i="44" s="1" a="1"/>
  <c r="H329" i="44" s="1"/>
  <c r="H100" i="51"/>
  <c r="J185" i="73" s="1"/>
  <c r="J234" i="73" s="1"/>
  <c r="R99" i="51"/>
  <c r="J192" i="73" s="1"/>
  <c r="J241" i="73" s="1"/>
  <c r="Q99" i="51"/>
  <c r="I192" i="73" s="1"/>
  <c r="I241" i="73" s="1"/>
  <c r="I388" i="44"/>
  <c r="I389" i="44" s="1" a="1"/>
  <c r="I389" i="44" s="1"/>
  <c r="G366" i="44"/>
  <c r="G367" i="44" s="1" a="1"/>
  <c r="G367" i="44" s="1"/>
  <c r="J388" i="44"/>
  <c r="J389" i="44" s="1" a="1"/>
  <c r="J389" i="44" s="1"/>
  <c r="I373" i="44"/>
  <c r="I374" i="44" s="1" a="1"/>
  <c r="I374" i="44" s="1"/>
  <c r="G93" i="51"/>
  <c r="S93" i="51"/>
  <c r="F11" i="57"/>
  <c r="F15" i="57" s="1"/>
  <c r="M84" i="55"/>
  <c r="M86" i="55" s="1"/>
  <c r="M85" i="55" s="1"/>
  <c r="F11" i="60"/>
  <c r="F15" i="60" s="1"/>
  <c r="F11" i="61"/>
  <c r="F15" i="61" s="1"/>
  <c r="E62" i="58"/>
  <c r="E63" i="58" s="1"/>
  <c r="M89" i="55"/>
  <c r="M88" i="55" s="1"/>
  <c r="Q61" i="52"/>
  <c r="J34" i="52" s="1"/>
  <c r="G25" i="60"/>
  <c r="Q74" i="60"/>
  <c r="F25" i="61"/>
  <c r="M93" i="61"/>
  <c r="G11" i="62"/>
  <c r="G25" i="57"/>
  <c r="Q93" i="57"/>
  <c r="F25" i="57"/>
  <c r="M93" i="57"/>
  <c r="E25" i="60"/>
  <c r="I74" i="60"/>
  <c r="I76" i="60" s="1"/>
  <c r="I75" i="60" s="1"/>
  <c r="E25" i="57"/>
  <c r="E11" i="62"/>
  <c r="I93" i="57"/>
  <c r="I95" i="57" s="1"/>
  <c r="I94" i="57" s="1"/>
  <c r="G25" i="61"/>
  <c r="Q93" i="61"/>
  <c r="F25" i="60"/>
  <c r="M74" i="60"/>
  <c r="H21" i="60"/>
  <c r="H61" i="58"/>
  <c r="H66" i="58" s="1"/>
  <c r="W163" i="58" s="1"/>
  <c r="H21" i="57"/>
  <c r="H21" i="61"/>
  <c r="U87" i="55"/>
  <c r="E25" i="61"/>
  <c r="I93" i="61"/>
  <c r="I95" i="61" s="1"/>
  <c r="I94" i="61" s="1"/>
  <c r="G132" i="44"/>
  <c r="G133" i="44" s="1" a="1"/>
  <c r="G133" i="44" s="1"/>
  <c r="S26" i="51"/>
  <c r="S15" i="51" s="1" a="1"/>
  <c r="S15" i="51" s="1"/>
  <c r="Q26" i="51"/>
  <c r="S25" i="51"/>
  <c r="S14" i="51" s="1" a="1"/>
  <c r="S14" i="51" s="1"/>
  <c r="J131" i="44"/>
  <c r="J132" i="44" s="1"/>
  <c r="J133" i="44" s="1" a="1"/>
  <c r="J133" i="44" s="1"/>
  <c r="U25" i="51"/>
  <c r="U14" i="51" s="1" a="1"/>
  <c r="U14" i="51" s="1"/>
  <c r="Q11" i="50" s="1"/>
  <c r="J138" i="44"/>
  <c r="J139" i="44" s="1"/>
  <c r="J140" i="44" s="1" a="1"/>
  <c r="J140" i="44" s="1"/>
  <c r="G81" i="58"/>
  <c r="G82" i="58" s="1"/>
  <c r="G21" i="51"/>
  <c r="P93" i="61"/>
  <c r="G24" i="57"/>
  <c r="G10" i="62"/>
  <c r="F10" i="62" s="1"/>
  <c r="L11" i="62" s="1"/>
  <c r="P93" i="57"/>
  <c r="P74" i="60"/>
  <c r="S21" i="60"/>
  <c r="AK21" i="60" s="1"/>
  <c r="AK25" i="60" s="1"/>
  <c r="G62" i="58"/>
  <c r="G63" i="58" s="1"/>
  <c r="G65" i="58"/>
  <c r="G67" i="58" s="1"/>
  <c r="G68" i="58" s="1"/>
  <c r="G69" i="58" s="1"/>
  <c r="G58" i="58"/>
  <c r="G59" i="58" s="1"/>
  <c r="S21" i="61"/>
  <c r="S25" i="61" s="1"/>
  <c r="Q21" i="51"/>
  <c r="G27" i="51"/>
  <c r="I27" i="51"/>
  <c r="I16" i="51" s="1" a="1"/>
  <c r="I16" i="51" s="1"/>
  <c r="G26" i="51"/>
  <c r="I25" i="51"/>
  <c r="I14" i="51" s="1" a="1"/>
  <c r="I14" i="51" s="1"/>
  <c r="K25" i="51"/>
  <c r="K14" i="51" s="1" a="1"/>
  <c r="K14" i="51" s="1"/>
  <c r="J27" i="51"/>
  <c r="J16" i="51" s="1" a="1"/>
  <c r="J16" i="51" s="1"/>
  <c r="I23" i="51"/>
  <c r="F17" i="58"/>
  <c r="H19" i="58"/>
  <c r="W157" i="58" s="1"/>
  <c r="G19" i="58"/>
  <c r="S157" i="58" s="1"/>
  <c r="G12" i="58"/>
  <c r="G13" i="58" s="1"/>
  <c r="H12" i="58"/>
  <c r="H13" i="58" s="1"/>
  <c r="H57" i="58"/>
  <c r="V161" i="58" s="1"/>
  <c r="H80" i="58"/>
  <c r="F81" i="58"/>
  <c r="F82" i="58" s="1"/>
  <c r="F88" i="58"/>
  <c r="D57" i="58"/>
  <c r="D80" i="58"/>
  <c r="G35" i="58"/>
  <c r="G36" i="58" s="1"/>
  <c r="G42" i="58"/>
  <c r="F58" i="58"/>
  <c r="F59" i="58" s="1"/>
  <c r="F65" i="58"/>
  <c r="F62" i="58"/>
  <c r="K162" i="58"/>
  <c r="E67" i="58"/>
  <c r="E68" i="58" s="1"/>
  <c r="E69" i="58" s="1"/>
  <c r="H35" i="58"/>
  <c r="H36" i="58" s="1"/>
  <c r="H42" i="58"/>
  <c r="Q25" i="61"/>
  <c r="L93" i="61"/>
  <c r="T90" i="61"/>
  <c r="P90" i="61"/>
  <c r="R21" i="61"/>
  <c r="R25" i="61" s="1"/>
  <c r="E21" i="62"/>
  <c r="D10" i="62"/>
  <c r="D21" i="62" s="1"/>
  <c r="D72" i="62" s="1"/>
  <c r="E14" i="62"/>
  <c r="D20" i="61"/>
  <c r="D24" i="61" s="1"/>
  <c r="H20" i="61"/>
  <c r="H24" i="61" s="1"/>
  <c r="R21" i="60"/>
  <c r="AJ21" i="60" s="1"/>
  <c r="AJ25" i="60" s="1"/>
  <c r="L74" i="60"/>
  <c r="H20" i="60"/>
  <c r="H24" i="60" s="1"/>
  <c r="H24" i="57"/>
  <c r="D20" i="57"/>
  <c r="D24" i="57" s="1"/>
  <c r="D20" i="60"/>
  <c r="D24" i="60" s="1"/>
  <c r="P71" i="60"/>
  <c r="Q25" i="60"/>
  <c r="AI21" i="60"/>
  <c r="AI25" i="60" s="1"/>
  <c r="T71" i="60"/>
  <c r="AI21" i="57"/>
  <c r="AI25" i="57" s="1"/>
  <c r="Q25" i="57"/>
  <c r="N165" i="58"/>
  <c r="D87" i="55"/>
  <c r="P90" i="57"/>
  <c r="T87" i="55"/>
  <c r="R21" i="57"/>
  <c r="L93" i="57"/>
  <c r="T90" i="57"/>
  <c r="G87" i="44"/>
  <c r="G88" i="44" s="1" a="1"/>
  <c r="G88" i="44" s="1"/>
  <c r="J87" i="44"/>
  <c r="J88" i="44" s="1" a="1"/>
  <c r="J88" i="44" s="1"/>
  <c r="I94" i="44"/>
  <c r="I95" i="44" s="1" a="1"/>
  <c r="I95" i="44" s="1"/>
  <c r="J94" i="44"/>
  <c r="J95" i="44" s="1" a="1"/>
  <c r="J95" i="44" s="1"/>
  <c r="G72" i="44"/>
  <c r="G73" i="44" s="1" a="1"/>
  <c r="G73" i="44" s="1"/>
  <c r="I78" i="74" l="1"/>
  <c r="M78" i="74"/>
  <c r="M174" i="73"/>
  <c r="M223" i="73" s="1"/>
  <c r="L104" i="55"/>
  <c r="L137" i="55" s="1"/>
  <c r="O67" i="53"/>
  <c r="M67" i="53"/>
  <c r="M69" i="53" s="1"/>
  <c r="I18" i="73"/>
  <c r="R143" i="73" s="1"/>
  <c r="M163" i="70"/>
  <c r="M196" i="70" s="1"/>
  <c r="Q117" i="51"/>
  <c r="I186" i="70"/>
  <c r="Q186" i="70" s="1"/>
  <c r="I171" i="70"/>
  <c r="I204" i="70" s="1"/>
  <c r="J108" i="55"/>
  <c r="J141" i="55" s="1"/>
  <c r="K163" i="70"/>
  <c r="K196" i="70" s="1"/>
  <c r="J171" i="70"/>
  <c r="J204" i="70" s="1"/>
  <c r="Q15" i="50"/>
  <c r="K112" i="55"/>
  <c r="K145" i="55" s="1"/>
  <c r="I121" i="51"/>
  <c r="I12" i="50"/>
  <c r="I13" i="50"/>
  <c r="I11" i="50"/>
  <c r="N11" i="50"/>
  <c r="N12" i="50"/>
  <c r="N13" i="50"/>
  <c r="Q12" i="50"/>
  <c r="R121" i="51"/>
  <c r="F13" i="50"/>
  <c r="F11" i="50"/>
  <c r="F12" i="50"/>
  <c r="Q13" i="50"/>
  <c r="L112" i="55"/>
  <c r="L145" i="55" s="1"/>
  <c r="AF139" i="67"/>
  <c r="AF140" i="67"/>
  <c r="AF134" i="67"/>
  <c r="AF135" i="67"/>
  <c r="E69" i="52"/>
  <c r="AD48" i="67"/>
  <c r="AD68" i="67"/>
  <c r="AD67" i="67"/>
  <c r="G121" i="51"/>
  <c r="K117" i="51"/>
  <c r="M178" i="70"/>
  <c r="M211" i="70" s="1"/>
  <c r="L67" i="52"/>
  <c r="G83" i="51" a="1"/>
  <c r="G83" i="51" s="1"/>
  <c r="H109" i="55" s="1"/>
  <c r="H142" i="55" s="1"/>
  <c r="G129" i="51" a="1"/>
  <c r="G129" i="51" s="1"/>
  <c r="Q65" i="52"/>
  <c r="H112" i="55"/>
  <c r="H145" i="55" s="1"/>
  <c r="G48" i="51"/>
  <c r="I167" i="70"/>
  <c r="I167" i="73"/>
  <c r="I216" i="73" s="1"/>
  <c r="H97" i="55"/>
  <c r="H130" i="55" s="1"/>
  <c r="T48" i="51"/>
  <c r="L175" i="70"/>
  <c r="L208" i="70" s="1"/>
  <c r="L175" i="73"/>
  <c r="L224" i="73" s="1"/>
  <c r="K105" i="55"/>
  <c r="K138" i="55" s="1"/>
  <c r="H44" i="51"/>
  <c r="J163" i="73"/>
  <c r="J212" i="73" s="1"/>
  <c r="I93" i="55"/>
  <c r="I126" i="55" s="1"/>
  <c r="J163" i="70"/>
  <c r="J196" i="70" s="1"/>
  <c r="U9" i="51" a="1"/>
  <c r="U9" i="51" s="1"/>
  <c r="U55" i="51" a="1"/>
  <c r="U55" i="51" s="1"/>
  <c r="H67" i="53"/>
  <c r="T9" i="51" a="1"/>
  <c r="T9" i="51" s="1"/>
  <c r="T55" i="51" a="1"/>
  <c r="T55" i="51" s="1"/>
  <c r="J167" i="73"/>
  <c r="J216" i="73" s="1"/>
  <c r="G11" i="73" s="1"/>
  <c r="H48" i="51"/>
  <c r="I97" i="55"/>
  <c r="I130" i="55" s="1"/>
  <c r="M167" i="70"/>
  <c r="M200" i="70" s="1"/>
  <c r="M167" i="73"/>
  <c r="M216" i="73" s="1"/>
  <c r="K48" i="51"/>
  <c r="L97" i="55"/>
  <c r="L130" i="55" s="1"/>
  <c r="I175" i="73"/>
  <c r="I224" i="73" s="1"/>
  <c r="I175" i="70"/>
  <c r="Q48" i="51"/>
  <c r="H105" i="55"/>
  <c r="H138" i="55" s="1"/>
  <c r="L167" i="73"/>
  <c r="L216" i="73" s="1"/>
  <c r="J48" i="51"/>
  <c r="L167" i="70"/>
  <c r="L200" i="70" s="1"/>
  <c r="K97" i="55"/>
  <c r="K130" i="55" s="1"/>
  <c r="S13" i="51" a="1"/>
  <c r="S13" i="51" s="1"/>
  <c r="S59" i="51" a="1"/>
  <c r="S59" i="51" s="1"/>
  <c r="J175" i="70"/>
  <c r="J208" i="70" s="1"/>
  <c r="R48" i="51"/>
  <c r="J175" i="73"/>
  <c r="J224" i="73" s="1"/>
  <c r="G12" i="73" s="1"/>
  <c r="I149" i="73" s="1"/>
  <c r="I105" i="55"/>
  <c r="I138" i="55" s="1"/>
  <c r="G12" i="55" s="1"/>
  <c r="H133" i="51" a="1"/>
  <c r="H133" i="51" s="1"/>
  <c r="I182" i="70"/>
  <c r="Q182" i="70" s="1"/>
  <c r="H87" i="51" a="1"/>
  <c r="H87" i="51" s="1"/>
  <c r="K121" i="51"/>
  <c r="M182" i="70"/>
  <c r="M215" i="70" s="1"/>
  <c r="G51" i="74"/>
  <c r="U117" i="51"/>
  <c r="U88" i="51" a="1"/>
  <c r="U88" i="51" s="1"/>
  <c r="U134" i="51" a="1"/>
  <c r="U134" i="51" s="1"/>
  <c r="N93" i="67"/>
  <c r="K131" i="51" a="1"/>
  <c r="K131" i="51" s="1"/>
  <c r="P67" i="52"/>
  <c r="S20" i="67" s="1"/>
  <c r="K85" i="51" a="1"/>
  <c r="K85" i="51" s="1"/>
  <c r="M166" i="70" s="1"/>
  <c r="M199" i="70" s="1"/>
  <c r="K133" i="51" a="1"/>
  <c r="K133" i="51" s="1"/>
  <c r="K182" i="70"/>
  <c r="K215" i="70" s="1"/>
  <c r="J121" i="51"/>
  <c r="J112" i="55"/>
  <c r="J145" i="55" s="1"/>
  <c r="L182" i="70"/>
  <c r="L215" i="70" s="1"/>
  <c r="K87" i="51" a="1"/>
  <c r="K87" i="51" s="1"/>
  <c r="L113" i="55" s="1"/>
  <c r="L146" i="55" s="1"/>
  <c r="G18" i="73"/>
  <c r="J143" i="73" s="1"/>
  <c r="K116" i="55"/>
  <c r="K149" i="55" s="1"/>
  <c r="M186" i="70"/>
  <c r="M219" i="70" s="1"/>
  <c r="T121" i="51"/>
  <c r="L190" i="70"/>
  <c r="L223" i="70" s="1"/>
  <c r="K120" i="55"/>
  <c r="K153" i="55" s="1"/>
  <c r="T85" i="51" a="1"/>
  <c r="T85" i="51" s="1"/>
  <c r="J190" i="70"/>
  <c r="J223" i="70" s="1"/>
  <c r="I120" i="55"/>
  <c r="I153" i="55" s="1"/>
  <c r="I39" i="52"/>
  <c r="K178" i="70"/>
  <c r="K211" i="70" s="1"/>
  <c r="Q87" i="51" a="1"/>
  <c r="Q87" i="51" s="1"/>
  <c r="Q133" i="51" a="1"/>
  <c r="Q133" i="51" s="1"/>
  <c r="G84" i="51" a="1"/>
  <c r="G84" i="51" s="1"/>
  <c r="I180" i="70" s="1"/>
  <c r="G130" i="51" a="1"/>
  <c r="G130" i="51" s="1"/>
  <c r="J186" i="70"/>
  <c r="J219" i="70" s="1"/>
  <c r="I116" i="55"/>
  <c r="I149" i="55" s="1"/>
  <c r="T131" i="51" a="1"/>
  <c r="T131" i="51" s="1"/>
  <c r="I117" i="51"/>
  <c r="T117" i="51"/>
  <c r="L186" i="70"/>
  <c r="L219" i="70" s="1"/>
  <c r="I87" i="51" a="1"/>
  <c r="I87" i="51" s="1"/>
  <c r="J113" i="55" s="1"/>
  <c r="J146" i="55" s="1"/>
  <c r="H19" i="73"/>
  <c r="N146" i="73" s="1"/>
  <c r="I133" i="51" a="1"/>
  <c r="I133" i="51" s="1"/>
  <c r="J85" i="51" a="1"/>
  <c r="J85" i="51" s="1"/>
  <c r="K111" i="55" s="1"/>
  <c r="K144" i="55" s="1"/>
  <c r="J88" i="51" a="1"/>
  <c r="J88" i="51" s="1"/>
  <c r="J134" i="51" a="1"/>
  <c r="J134" i="51" s="1"/>
  <c r="J131" i="51" a="1"/>
  <c r="J131" i="51" s="1"/>
  <c r="G133" i="51" a="1"/>
  <c r="G133" i="51" s="1"/>
  <c r="K89" i="51" a="1"/>
  <c r="K89" i="51" s="1"/>
  <c r="J135" i="51" a="1"/>
  <c r="J135" i="51" s="1"/>
  <c r="I135" i="51" a="1"/>
  <c r="I135" i="51" s="1"/>
  <c r="I88" i="51" a="1"/>
  <c r="I88" i="51" s="1"/>
  <c r="I123" i="51" s="1"/>
  <c r="L120" i="55"/>
  <c r="L153" i="55" s="1"/>
  <c r="I134" i="51" a="1"/>
  <c r="I134" i="51" s="1"/>
  <c r="K135" i="51" a="1"/>
  <c r="K135" i="51" s="1"/>
  <c r="R85" i="51" a="1"/>
  <c r="R85" i="51" s="1"/>
  <c r="I119" i="55" s="1"/>
  <c r="I152" i="55" s="1"/>
  <c r="L166" i="73"/>
  <c r="L215" i="73" s="1"/>
  <c r="I9" i="73" s="1"/>
  <c r="Q140" i="73" s="1"/>
  <c r="R131" i="51" a="1"/>
  <c r="R131" i="51" s="1"/>
  <c r="J47" i="51"/>
  <c r="I89" i="51" a="1"/>
  <c r="I89" i="51" s="1"/>
  <c r="K170" i="70" s="1"/>
  <c r="K203" i="70" s="1"/>
  <c r="J89" i="51" a="1"/>
  <c r="J89" i="51" s="1"/>
  <c r="K115" i="55" s="1"/>
  <c r="K148" i="55" s="1"/>
  <c r="H47" i="51"/>
  <c r="G87" i="51" a="1"/>
  <c r="G87" i="51" s="1"/>
  <c r="J166" i="73"/>
  <c r="J215" i="73" s="1"/>
  <c r="T47" i="51"/>
  <c r="L174" i="70"/>
  <c r="L207" i="70" s="1"/>
  <c r="M166" i="73"/>
  <c r="M215" i="73" s="1"/>
  <c r="J9" i="73" s="1"/>
  <c r="J13" i="73" s="1"/>
  <c r="J21" i="73"/>
  <c r="G19" i="73"/>
  <c r="J146" i="73" s="1"/>
  <c r="R47" i="51"/>
  <c r="H88" i="51" a="1"/>
  <c r="H88" i="51" s="1"/>
  <c r="H134" i="51" a="1"/>
  <c r="H134" i="51" s="1"/>
  <c r="S87" i="51" a="1"/>
  <c r="S87" i="51" s="1"/>
  <c r="S122" i="51" s="1"/>
  <c r="S133" i="51" a="1"/>
  <c r="S133" i="51" s="1"/>
  <c r="J174" i="73"/>
  <c r="J223" i="73" s="1"/>
  <c r="G10" i="73" s="1"/>
  <c r="I143" i="73" s="1"/>
  <c r="K174" i="73"/>
  <c r="K223" i="73" s="1"/>
  <c r="H10" i="73" s="1"/>
  <c r="M143" i="73" s="1"/>
  <c r="K186" i="73"/>
  <c r="K235" i="73" s="1"/>
  <c r="I178" i="73"/>
  <c r="I227" i="73" s="1"/>
  <c r="F17" i="73" s="1"/>
  <c r="F140" i="73" s="1"/>
  <c r="I187" i="73"/>
  <c r="I236" i="73" s="1"/>
  <c r="L178" i="73"/>
  <c r="L227" i="73" s="1"/>
  <c r="I17" i="73" s="1"/>
  <c r="R140" i="73" s="1"/>
  <c r="O67" i="52"/>
  <c r="I12" i="51" a="1"/>
  <c r="I12" i="51" s="1"/>
  <c r="F67" i="52"/>
  <c r="J20" i="67" s="1"/>
  <c r="J92" i="67"/>
  <c r="J19" i="73"/>
  <c r="V146" i="73" s="1"/>
  <c r="K181" i="73"/>
  <c r="K230" i="73" s="1"/>
  <c r="H17" i="73" s="1"/>
  <c r="I131" i="51" a="1"/>
  <c r="I131" i="51" s="1"/>
  <c r="I85" i="51" a="1"/>
  <c r="I85" i="51" s="1"/>
  <c r="J20" i="73"/>
  <c r="V149" i="73" s="1"/>
  <c r="F20" i="73"/>
  <c r="I184" i="73"/>
  <c r="I233" i="73" s="1"/>
  <c r="F19" i="73" s="1"/>
  <c r="G134" i="51" a="1"/>
  <c r="G134" i="51" s="1"/>
  <c r="G88" i="51" a="1"/>
  <c r="G88" i="51" s="1"/>
  <c r="I92" i="67"/>
  <c r="G69" i="53"/>
  <c r="L170" i="73"/>
  <c r="L219" i="73" s="1"/>
  <c r="K113" i="55"/>
  <c r="K146" i="55" s="1"/>
  <c r="L183" i="70"/>
  <c r="L216" i="70" s="1"/>
  <c r="M168" i="73"/>
  <c r="M217" i="73" s="1"/>
  <c r="M190" i="70"/>
  <c r="M223" i="70" s="1"/>
  <c r="K177" i="73"/>
  <c r="K226" i="73" s="1"/>
  <c r="K168" i="73"/>
  <c r="K217" i="73" s="1"/>
  <c r="H115" i="55"/>
  <c r="H148" i="55" s="1"/>
  <c r="I185" i="70"/>
  <c r="K170" i="73"/>
  <c r="K219" i="73" s="1"/>
  <c r="M176" i="73"/>
  <c r="M225" i="73" s="1"/>
  <c r="J12" i="73" s="1"/>
  <c r="K176" i="73"/>
  <c r="K225" i="73" s="1"/>
  <c r="H120" i="55"/>
  <c r="H153" i="55" s="1"/>
  <c r="I190" i="70"/>
  <c r="I51" i="51"/>
  <c r="U49" i="51"/>
  <c r="I49" i="51"/>
  <c r="K49" i="51"/>
  <c r="S49" i="51"/>
  <c r="J51" i="51"/>
  <c r="S50" i="51"/>
  <c r="S128" i="51" a="1"/>
  <c r="S128" i="51" s="1"/>
  <c r="S82" i="51" a="1"/>
  <c r="S82" i="51" s="1"/>
  <c r="K171" i="70" s="1"/>
  <c r="K204" i="70" s="1"/>
  <c r="G128" i="51" a="1"/>
  <c r="G128" i="51" s="1"/>
  <c r="G82" i="51" a="1"/>
  <c r="G82" i="51" s="1"/>
  <c r="G124" i="51"/>
  <c r="J122" i="51"/>
  <c r="H132" i="51" a="1"/>
  <c r="H132" i="51" s="1"/>
  <c r="H86" i="51" a="1"/>
  <c r="H86" i="51" s="1"/>
  <c r="J167" i="70" s="1"/>
  <c r="J200" i="70" s="1"/>
  <c r="U133" i="51" a="1"/>
  <c r="U133" i="51" s="1"/>
  <c r="U87" i="51" a="1"/>
  <c r="U87" i="51" s="1"/>
  <c r="U121" i="51"/>
  <c r="V61" i="52"/>
  <c r="O110" i="65"/>
  <c r="O125" i="65" s="1"/>
  <c r="T133" i="51" a="1"/>
  <c r="T133" i="51" s="1"/>
  <c r="T87" i="51" a="1"/>
  <c r="T87" i="51" s="1"/>
  <c r="K121" i="55" s="1"/>
  <c r="K154" i="55" s="1"/>
  <c r="Q129" i="51" a="1"/>
  <c r="Q129" i="51" s="1"/>
  <c r="Q83" i="51" a="1"/>
  <c r="Q83" i="51" s="1"/>
  <c r="H117" i="55" s="1"/>
  <c r="H150" i="55" s="1"/>
  <c r="J128" i="51" a="1"/>
  <c r="J128" i="51" s="1"/>
  <c r="J82" i="51" a="1"/>
  <c r="J82" i="51" s="1"/>
  <c r="L163" i="70" s="1"/>
  <c r="L196" i="70" s="1"/>
  <c r="H135" i="51" a="1"/>
  <c r="H135" i="51" s="1"/>
  <c r="H89" i="51" a="1"/>
  <c r="H89" i="51" s="1"/>
  <c r="S132" i="51" a="1"/>
  <c r="S132" i="51" s="1"/>
  <c r="S86" i="51" a="1"/>
  <c r="S86" i="51" s="1"/>
  <c r="Q134" i="51" a="1"/>
  <c r="Q134" i="51" s="1"/>
  <c r="Q88" i="51" a="1"/>
  <c r="Q88" i="51" s="1"/>
  <c r="R134" i="51" a="1"/>
  <c r="R134" i="51" s="1"/>
  <c r="R88" i="51" a="1"/>
  <c r="R88" i="51" s="1"/>
  <c r="J177" i="70" s="1"/>
  <c r="J210" i="70" s="1"/>
  <c r="K134" i="51" a="1"/>
  <c r="K134" i="51" s="1"/>
  <c r="K88" i="51" a="1"/>
  <c r="K88" i="51" s="1"/>
  <c r="M169" i="70" s="1"/>
  <c r="M202" i="70" s="1"/>
  <c r="Q121" i="51"/>
  <c r="H69" i="52"/>
  <c r="L20" i="67"/>
  <c r="K94" i="67"/>
  <c r="O122" i="65"/>
  <c r="AD56" i="67"/>
  <c r="AF111" i="67"/>
  <c r="AF118" i="67"/>
  <c r="AF112" i="67"/>
  <c r="AF107" i="67"/>
  <c r="AF128" i="67"/>
  <c r="AF114" i="67"/>
  <c r="AF110" i="67"/>
  <c r="AF117" i="67"/>
  <c r="AF101" i="67"/>
  <c r="AF99" i="67"/>
  <c r="AF109" i="67"/>
  <c r="AF115" i="67"/>
  <c r="G69" i="52"/>
  <c r="K20" i="67"/>
  <c r="L99" i="55"/>
  <c r="L132" i="55" s="1"/>
  <c r="K104" i="55"/>
  <c r="K137" i="55" s="1"/>
  <c r="L96" i="55"/>
  <c r="L129" i="55" s="1"/>
  <c r="J9" i="55" s="1"/>
  <c r="J104" i="55"/>
  <c r="J137" i="55" s="1"/>
  <c r="H10" i="55" s="1"/>
  <c r="L107" i="55"/>
  <c r="L140" i="55" s="1"/>
  <c r="I96" i="55"/>
  <c r="I129" i="55" s="1"/>
  <c r="K96" i="55"/>
  <c r="K129" i="55" s="1"/>
  <c r="I9" i="55" s="1"/>
  <c r="I104" i="55"/>
  <c r="I137" i="55" s="1"/>
  <c r="G10" i="55" s="1"/>
  <c r="I98" i="55"/>
  <c r="I131" i="55" s="1"/>
  <c r="I100" i="55"/>
  <c r="I133" i="55" s="1"/>
  <c r="J62" i="51" a="1"/>
  <c r="J62" i="51" s="1"/>
  <c r="Q61" i="51" a="1"/>
  <c r="Q61" i="51" s="1"/>
  <c r="G56" i="51" a="1"/>
  <c r="G56" i="51" s="1"/>
  <c r="G61" i="51" a="1"/>
  <c r="G61" i="51" s="1"/>
  <c r="S61" i="51" a="1"/>
  <c r="S61" i="51" s="1"/>
  <c r="I58" i="51" a="1"/>
  <c r="I58" i="51" s="1"/>
  <c r="K60" i="51" a="1"/>
  <c r="K60" i="51" s="1"/>
  <c r="I60" i="51" a="1"/>
  <c r="I60" i="51" s="1"/>
  <c r="I62" i="51" a="1"/>
  <c r="I62" i="51" s="1"/>
  <c r="G62" i="51" a="1"/>
  <c r="G62" i="51" s="1"/>
  <c r="Q56" i="51" a="1"/>
  <c r="Q56" i="51" s="1"/>
  <c r="U60" i="51" a="1"/>
  <c r="U60" i="51" s="1"/>
  <c r="S60" i="51" a="1"/>
  <c r="S60" i="51" s="1"/>
  <c r="O121" i="65"/>
  <c r="O113" i="65"/>
  <c r="O120" i="65"/>
  <c r="O116" i="65"/>
  <c r="O123" i="65"/>
  <c r="O117" i="65"/>
  <c r="O124" i="65"/>
  <c r="N118" i="65"/>
  <c r="D10" i="61"/>
  <c r="D14" i="61" s="1"/>
  <c r="H3" i="61" s="1"/>
  <c r="D3" i="44"/>
  <c r="AK21" i="57"/>
  <c r="AK25" i="57" s="1"/>
  <c r="U96" i="51"/>
  <c r="P67" i="53" s="1"/>
  <c r="R98" i="51"/>
  <c r="J191" i="73" s="1"/>
  <c r="J240" i="73" s="1"/>
  <c r="G20" i="73" s="1"/>
  <c r="J149" i="73" s="1"/>
  <c r="F21" i="58"/>
  <c r="F26" i="58" s="1"/>
  <c r="F27" i="58" s="1"/>
  <c r="F28" i="58" s="1"/>
  <c r="M90" i="57"/>
  <c r="M92" i="57" s="1"/>
  <c r="M91" i="57" s="1"/>
  <c r="R11" i="57"/>
  <c r="R15" i="57" s="1"/>
  <c r="S96" i="51"/>
  <c r="K189" i="73" s="1"/>
  <c r="K238" i="73" s="1"/>
  <c r="H96" i="51"/>
  <c r="H85" i="51" s="1" a="1"/>
  <c r="H85" i="51" s="1"/>
  <c r="J166" i="70" s="1"/>
  <c r="J199" i="70" s="1"/>
  <c r="T99" i="51"/>
  <c r="L192" i="73" s="1"/>
  <c r="L241" i="73" s="1"/>
  <c r="I20" i="73" s="1"/>
  <c r="R149" i="73" s="1"/>
  <c r="Q95" i="51"/>
  <c r="I188" i="73" s="1"/>
  <c r="I237" i="73" s="1"/>
  <c r="S99" i="51"/>
  <c r="K192" i="73" s="1"/>
  <c r="K241" i="73" s="1"/>
  <c r="H20" i="73" s="1"/>
  <c r="N149" i="73" s="1"/>
  <c r="M90" i="61"/>
  <c r="M92" i="61" s="1"/>
  <c r="M91" i="61" s="1"/>
  <c r="R11" i="61"/>
  <c r="R15" i="61" s="1"/>
  <c r="U89" i="55"/>
  <c r="U88" i="55" s="1"/>
  <c r="M95" i="57"/>
  <c r="M94" i="57" s="1"/>
  <c r="R11" i="60"/>
  <c r="AJ11" i="60" s="1"/>
  <c r="AJ15" i="60" s="1"/>
  <c r="M71" i="60"/>
  <c r="M73" i="60" s="1"/>
  <c r="M72" i="60" s="1"/>
  <c r="E71" i="58"/>
  <c r="K164" i="58" s="1"/>
  <c r="K165" i="58" s="1"/>
  <c r="M76" i="60"/>
  <c r="M75" i="60" s="1"/>
  <c r="M95" i="61"/>
  <c r="M94" i="61" s="1"/>
  <c r="Q95" i="61"/>
  <c r="Q94" i="61" s="1"/>
  <c r="Q95" i="57"/>
  <c r="Q94" i="57" s="1"/>
  <c r="Q76" i="60"/>
  <c r="Q75" i="60" s="1"/>
  <c r="E15" i="62"/>
  <c r="E22" i="62"/>
  <c r="K22" i="62" s="1"/>
  <c r="H25" i="61"/>
  <c r="U93" i="61"/>
  <c r="G15" i="62"/>
  <c r="G22" i="62"/>
  <c r="H25" i="57"/>
  <c r="U93" i="57"/>
  <c r="K11" i="62"/>
  <c r="H25" i="60"/>
  <c r="U74" i="60"/>
  <c r="D61" i="58"/>
  <c r="D62" i="58" s="1"/>
  <c r="D63" i="58" s="1"/>
  <c r="E87" i="55"/>
  <c r="E89" i="55" s="1"/>
  <c r="D21" i="57"/>
  <c r="P21" i="57" s="1"/>
  <c r="D21" i="61"/>
  <c r="P21" i="61" s="1"/>
  <c r="P25" i="61" s="1"/>
  <c r="D21" i="60"/>
  <c r="P21" i="60" s="1"/>
  <c r="P25" i="60" s="1"/>
  <c r="Q25" i="51"/>
  <c r="T26" i="51"/>
  <c r="T15" i="51" s="1" a="1"/>
  <c r="T15" i="51" s="1"/>
  <c r="T25" i="51"/>
  <c r="T14" i="51" s="1" a="1"/>
  <c r="T14" i="51" s="1"/>
  <c r="S162" i="58"/>
  <c r="G14" i="62"/>
  <c r="G21" i="62"/>
  <c r="G25" i="62" s="1"/>
  <c r="S25" i="60"/>
  <c r="G71" i="58"/>
  <c r="G72" i="58" s="1"/>
  <c r="G73" i="58" s="1"/>
  <c r="G74" i="58" s="1"/>
  <c r="M11" i="62"/>
  <c r="M15" i="62" s="1"/>
  <c r="AK21" i="61"/>
  <c r="AK25" i="61" s="1"/>
  <c r="F3" i="55"/>
  <c r="D10" i="57"/>
  <c r="D11" i="58"/>
  <c r="D19" i="58" s="1"/>
  <c r="D10" i="60"/>
  <c r="D14" i="60" s="1"/>
  <c r="H3" i="60" s="1"/>
  <c r="I26" i="51"/>
  <c r="I15" i="51" s="1" a="1"/>
  <c r="I15" i="51" s="1"/>
  <c r="G12" i="50" s="1"/>
  <c r="J26" i="51"/>
  <c r="J15" i="51" s="1" a="1"/>
  <c r="J15" i="51" s="1"/>
  <c r="J25" i="51"/>
  <c r="J14" i="51" s="1" a="1"/>
  <c r="J14" i="51" s="1"/>
  <c r="G22" i="51"/>
  <c r="D34" i="58"/>
  <c r="D42" i="58" s="1"/>
  <c r="G25" i="51"/>
  <c r="F161" i="58"/>
  <c r="F165" i="58" s="1"/>
  <c r="D58" i="58"/>
  <c r="D59" i="58" s="1"/>
  <c r="I57" i="58"/>
  <c r="Z161" i="58" s="1"/>
  <c r="D65" i="58"/>
  <c r="F63" i="58"/>
  <c r="F71" i="58"/>
  <c r="O162" i="58"/>
  <c r="F67" i="58"/>
  <c r="F68" i="58" s="1"/>
  <c r="F69" i="58" s="1"/>
  <c r="H81" i="58"/>
  <c r="H82" i="58" s="1"/>
  <c r="H88" i="58"/>
  <c r="D81" i="58"/>
  <c r="D82" i="58" s="1"/>
  <c r="I80" i="58"/>
  <c r="D88" i="58"/>
  <c r="H58" i="58"/>
  <c r="H59" i="58" s="1"/>
  <c r="H65" i="58"/>
  <c r="H62" i="58"/>
  <c r="T74" i="60"/>
  <c r="D93" i="61"/>
  <c r="J11" i="62"/>
  <c r="J15" i="62" s="1"/>
  <c r="T93" i="61"/>
  <c r="E25" i="62"/>
  <c r="T21" i="61"/>
  <c r="AL21" i="61" s="1"/>
  <c r="AL25" i="61" s="1"/>
  <c r="F21" i="62"/>
  <c r="L12" i="62"/>
  <c r="R25" i="60"/>
  <c r="I20" i="61"/>
  <c r="I24" i="61" s="1"/>
  <c r="AJ21" i="61"/>
  <c r="AJ25" i="61" s="1"/>
  <c r="D75" i="62"/>
  <c r="E74" i="62"/>
  <c r="E73" i="62" s="1"/>
  <c r="R11" i="62"/>
  <c r="R15" i="62" s="1"/>
  <c r="L15" i="62"/>
  <c r="J12" i="62"/>
  <c r="J22" i="62"/>
  <c r="J23" i="62"/>
  <c r="D74" i="60"/>
  <c r="T21" i="60"/>
  <c r="AL21" i="60" s="1"/>
  <c r="AL25" i="60" s="1"/>
  <c r="I20" i="60"/>
  <c r="K20" i="60" s="1"/>
  <c r="I20" i="57"/>
  <c r="X87" i="55"/>
  <c r="R25" i="57"/>
  <c r="AJ21" i="57"/>
  <c r="AJ25" i="57" s="1"/>
  <c r="V165" i="58"/>
  <c r="T21" i="57"/>
  <c r="T93" i="57"/>
  <c r="D93" i="57"/>
  <c r="N60" i="74" l="1"/>
  <c r="N61" i="74"/>
  <c r="N72" i="74"/>
  <c r="N74" i="74"/>
  <c r="N67" i="74"/>
  <c r="N73" i="74"/>
  <c r="N75" i="74"/>
  <c r="N57" i="74"/>
  <c r="N65" i="74"/>
  <c r="N64" i="74"/>
  <c r="N66" i="74"/>
  <c r="N69" i="74"/>
  <c r="N76" i="74"/>
  <c r="N53" i="74"/>
  <c r="N56" i="74"/>
  <c r="N71" i="74"/>
  <c r="N63" i="74"/>
  <c r="N55" i="74"/>
  <c r="N59" i="74"/>
  <c r="N70" i="74"/>
  <c r="N62" i="74"/>
  <c r="N68" i="74"/>
  <c r="N58" i="74"/>
  <c r="N78" i="74"/>
  <c r="Q171" i="70"/>
  <c r="J17" i="70"/>
  <c r="N67" i="53"/>
  <c r="L67" i="53"/>
  <c r="O92" i="67" s="1"/>
  <c r="O94" i="67" s="1"/>
  <c r="I219" i="70"/>
  <c r="G118" i="51"/>
  <c r="M168" i="70"/>
  <c r="M201" i="70" s="1"/>
  <c r="K176" i="70"/>
  <c r="K209" i="70" s="1"/>
  <c r="K168" i="70"/>
  <c r="K201" i="70" s="1"/>
  <c r="P13" i="50"/>
  <c r="P17" i="50" s="1"/>
  <c r="Q27" i="50"/>
  <c r="Q38" i="50" s="1"/>
  <c r="L170" i="70"/>
  <c r="L203" i="70" s="1"/>
  <c r="J174" i="70"/>
  <c r="J207" i="70" s="1"/>
  <c r="I215" i="70"/>
  <c r="U123" i="51"/>
  <c r="M177" i="70"/>
  <c r="M210" i="70" s="1"/>
  <c r="H108" i="55"/>
  <c r="H141" i="55" s="1"/>
  <c r="I163" i="70"/>
  <c r="M176" i="70"/>
  <c r="M209" i="70" s="1"/>
  <c r="K166" i="70"/>
  <c r="K199" i="70" s="1"/>
  <c r="H17" i="70" s="1"/>
  <c r="J183" i="70"/>
  <c r="J216" i="70" s="1"/>
  <c r="J168" i="70"/>
  <c r="J201" i="70" s="1"/>
  <c r="I115" i="55"/>
  <c r="I148" i="55" s="1"/>
  <c r="J170" i="70"/>
  <c r="J203" i="70" s="1"/>
  <c r="I114" i="55"/>
  <c r="I147" i="55" s="1"/>
  <c r="J169" i="70"/>
  <c r="J202" i="70" s="1"/>
  <c r="L166" i="70"/>
  <c r="L199" i="70" s="1"/>
  <c r="I17" i="70" s="1"/>
  <c r="L115" i="55"/>
  <c r="L148" i="55" s="1"/>
  <c r="M170" i="70"/>
  <c r="M203" i="70" s="1"/>
  <c r="N16" i="50"/>
  <c r="G16" i="50"/>
  <c r="Q17" i="50"/>
  <c r="N15" i="50"/>
  <c r="F17" i="50"/>
  <c r="F16" i="50"/>
  <c r="Q16" i="50"/>
  <c r="I15" i="50"/>
  <c r="I16" i="50"/>
  <c r="G17" i="70"/>
  <c r="F15" i="50"/>
  <c r="N17" i="50"/>
  <c r="I17" i="50"/>
  <c r="E27" i="50"/>
  <c r="E31" i="50" s="1"/>
  <c r="H13" i="50"/>
  <c r="F27" i="50"/>
  <c r="F31" i="50" s="1"/>
  <c r="F25" i="50"/>
  <c r="F36" i="50" s="1"/>
  <c r="F26" i="50"/>
  <c r="F37" i="50" s="1"/>
  <c r="I26" i="50"/>
  <c r="I37" i="50" s="1"/>
  <c r="Q26" i="50"/>
  <c r="Q30" i="50" s="1"/>
  <c r="M26" i="50"/>
  <c r="M30" i="50" s="1"/>
  <c r="E26" i="50"/>
  <c r="E30" i="50" s="1"/>
  <c r="H11" i="50"/>
  <c r="G25" i="50"/>
  <c r="G29" i="50" s="1"/>
  <c r="H27" i="50"/>
  <c r="H31" i="50" s="1"/>
  <c r="P11" i="50"/>
  <c r="I25" i="50"/>
  <c r="I36" i="50" s="1"/>
  <c r="Q25" i="50"/>
  <c r="M25" i="50"/>
  <c r="M29" i="50" s="1"/>
  <c r="H12" i="50"/>
  <c r="G27" i="50"/>
  <c r="G31" i="50" s="1"/>
  <c r="H26" i="50"/>
  <c r="H30" i="50" s="1"/>
  <c r="O13" i="50"/>
  <c r="O11" i="50"/>
  <c r="O12" i="50"/>
  <c r="P12" i="50"/>
  <c r="I27" i="50"/>
  <c r="I31" i="50" s="1"/>
  <c r="M27" i="50"/>
  <c r="M31" i="50" s="1"/>
  <c r="E25" i="50"/>
  <c r="E29" i="50" s="1"/>
  <c r="G13" i="50"/>
  <c r="G11" i="50"/>
  <c r="G26" i="50"/>
  <c r="G37" i="50" s="1"/>
  <c r="H25" i="50"/>
  <c r="H29" i="50" s="1"/>
  <c r="I94" i="67"/>
  <c r="AD139" i="67"/>
  <c r="AD140" i="67"/>
  <c r="AD134" i="67"/>
  <c r="AD135" i="67"/>
  <c r="AE117" i="67"/>
  <c r="AE139" i="67"/>
  <c r="AE140" i="67"/>
  <c r="AE134" i="67"/>
  <c r="AE135" i="67"/>
  <c r="AG38" i="67"/>
  <c r="AG68" i="67"/>
  <c r="AG48" i="67"/>
  <c r="AG67" i="67"/>
  <c r="AE68" i="67"/>
  <c r="AE67" i="67"/>
  <c r="AE48" i="67"/>
  <c r="AE61" i="67"/>
  <c r="AF68" i="67"/>
  <c r="AF67" i="67"/>
  <c r="AF48" i="67"/>
  <c r="AN68" i="67"/>
  <c r="AN67" i="67"/>
  <c r="AN62" i="67"/>
  <c r="AN61" i="67"/>
  <c r="I179" i="70"/>
  <c r="I212" i="70" s="1"/>
  <c r="I191" i="70"/>
  <c r="I224" i="70" s="1"/>
  <c r="H122" i="51"/>
  <c r="G11" i="55"/>
  <c r="G9" i="73"/>
  <c r="I140" i="73" s="1"/>
  <c r="G9" i="55"/>
  <c r="G13" i="55" s="1"/>
  <c r="I113" i="55"/>
  <c r="I146" i="55" s="1"/>
  <c r="J11" i="73"/>
  <c r="U146" i="73" s="1"/>
  <c r="M171" i="70"/>
  <c r="M204" i="70" s="1"/>
  <c r="U44" i="51"/>
  <c r="M171" i="73"/>
  <c r="M220" i="73" s="1"/>
  <c r="J10" i="73" s="1"/>
  <c r="U143" i="73" s="1"/>
  <c r="L101" i="55"/>
  <c r="L134" i="55" s="1"/>
  <c r="J10" i="55" s="1"/>
  <c r="K175" i="70"/>
  <c r="K208" i="70" s="1"/>
  <c r="K175" i="73"/>
  <c r="K224" i="73" s="1"/>
  <c r="H12" i="73" s="1"/>
  <c r="M149" i="73" s="1"/>
  <c r="S48" i="51"/>
  <c r="J105" i="55"/>
  <c r="J138" i="55" s="1"/>
  <c r="L171" i="70"/>
  <c r="L204" i="70" s="1"/>
  <c r="L171" i="73"/>
  <c r="L220" i="73" s="1"/>
  <c r="I10" i="73" s="1"/>
  <c r="K101" i="55"/>
  <c r="K134" i="55" s="1"/>
  <c r="I10" i="55" s="1"/>
  <c r="T44" i="51"/>
  <c r="I208" i="70"/>
  <c r="Q175" i="70"/>
  <c r="H69" i="53"/>
  <c r="L92" i="67"/>
  <c r="I200" i="70"/>
  <c r="Q167" i="70"/>
  <c r="L111" i="55"/>
  <c r="L144" i="55" s="1"/>
  <c r="J17" i="55" s="1"/>
  <c r="J25" i="55" s="1"/>
  <c r="J33" i="55" s="1"/>
  <c r="K120" i="51"/>
  <c r="M181" i="70"/>
  <c r="M214" i="70" s="1"/>
  <c r="J17" i="72" s="1"/>
  <c r="M192" i="70"/>
  <c r="M225" i="70" s="1"/>
  <c r="L122" i="55"/>
  <c r="L155" i="55" s="1"/>
  <c r="H110" i="55"/>
  <c r="H143" i="55" s="1"/>
  <c r="F17" i="55" s="1"/>
  <c r="F21" i="55" s="1"/>
  <c r="G119" i="51"/>
  <c r="U54" i="52"/>
  <c r="U55" i="52"/>
  <c r="K122" i="51"/>
  <c r="M183" i="70"/>
  <c r="M216" i="70" s="1"/>
  <c r="L189" i="70"/>
  <c r="L222" i="70" s="1"/>
  <c r="T120" i="51"/>
  <c r="K119" i="55"/>
  <c r="K152" i="55" s="1"/>
  <c r="I18" i="55" s="1"/>
  <c r="H121" i="55"/>
  <c r="H154" i="55" s="1"/>
  <c r="Q122" i="51"/>
  <c r="J39" i="52"/>
  <c r="K185" i="70"/>
  <c r="K218" i="70" s="1"/>
  <c r="J115" i="55"/>
  <c r="J148" i="55" s="1"/>
  <c r="I122" i="51"/>
  <c r="I124" i="51"/>
  <c r="K183" i="70"/>
  <c r="K216" i="70" s="1"/>
  <c r="J123" i="51"/>
  <c r="L184" i="70"/>
  <c r="L217" i="70" s="1"/>
  <c r="K114" i="55"/>
  <c r="K147" i="55" s="1"/>
  <c r="I19" i="55" s="1"/>
  <c r="G18" i="55"/>
  <c r="G26" i="55" s="1"/>
  <c r="G34" i="55" s="1"/>
  <c r="J120" i="51"/>
  <c r="L181" i="70"/>
  <c r="L214" i="70" s="1"/>
  <c r="L185" i="70"/>
  <c r="L218" i="70" s="1"/>
  <c r="J124" i="51"/>
  <c r="K124" i="51"/>
  <c r="M185" i="70"/>
  <c r="M218" i="70" s="1"/>
  <c r="K184" i="70"/>
  <c r="K217" i="70" s="1"/>
  <c r="J114" i="55"/>
  <c r="J147" i="55" s="1"/>
  <c r="H19" i="55" s="1"/>
  <c r="R120" i="51"/>
  <c r="J189" i="70"/>
  <c r="J222" i="70" s="1"/>
  <c r="J29" i="73"/>
  <c r="J37" i="73" s="1"/>
  <c r="G27" i="73"/>
  <c r="G35" i="73" s="1"/>
  <c r="I13" i="73"/>
  <c r="I25" i="73"/>
  <c r="I33" i="73" s="1"/>
  <c r="H113" i="55"/>
  <c r="H146" i="55" s="1"/>
  <c r="G122" i="51"/>
  <c r="K191" i="70"/>
  <c r="K224" i="70" s="1"/>
  <c r="I183" i="70"/>
  <c r="Q183" i="70" s="1"/>
  <c r="H18" i="73"/>
  <c r="H26" i="73" s="1"/>
  <c r="H34" i="73" s="1"/>
  <c r="J25" i="73"/>
  <c r="J33" i="73" s="1"/>
  <c r="U140" i="73"/>
  <c r="V141" i="73" s="1"/>
  <c r="H123" i="51"/>
  <c r="J184" i="70"/>
  <c r="J217" i="70" s="1"/>
  <c r="J121" i="55"/>
  <c r="J154" i="55" s="1"/>
  <c r="K166" i="73"/>
  <c r="K215" i="73" s="1"/>
  <c r="H9" i="73" s="1"/>
  <c r="H13" i="73" s="1"/>
  <c r="I47" i="51"/>
  <c r="J94" i="67"/>
  <c r="G26" i="73"/>
  <c r="G34" i="73" s="1"/>
  <c r="AE107" i="67"/>
  <c r="I21" i="73"/>
  <c r="F18" i="73"/>
  <c r="F21" i="73"/>
  <c r="M189" i="73"/>
  <c r="M238" i="73" s="1"/>
  <c r="J18" i="73" s="1"/>
  <c r="J181" i="73"/>
  <c r="J230" i="73" s="1"/>
  <c r="G17" i="73" s="1"/>
  <c r="M67" i="52"/>
  <c r="AE111" i="67"/>
  <c r="AD101" i="67"/>
  <c r="AD128" i="67"/>
  <c r="AD112" i="67"/>
  <c r="AD110" i="67"/>
  <c r="AE101" i="67"/>
  <c r="AE99" i="67"/>
  <c r="AE110" i="67"/>
  <c r="AE118" i="67"/>
  <c r="AE115" i="67"/>
  <c r="AE109" i="67"/>
  <c r="AE112" i="67"/>
  <c r="AE114" i="67"/>
  <c r="AE128" i="67"/>
  <c r="AD114" i="67"/>
  <c r="AD99" i="67"/>
  <c r="I146" i="73"/>
  <c r="J148" i="73" s="1"/>
  <c r="AD115" i="67"/>
  <c r="AD118" i="67"/>
  <c r="AD109" i="67"/>
  <c r="AD111" i="67"/>
  <c r="AD117" i="67"/>
  <c r="AD107" i="67"/>
  <c r="I120" i="51"/>
  <c r="J111" i="55"/>
  <c r="J144" i="55" s="1"/>
  <c r="H17" i="55" s="1"/>
  <c r="K181" i="70"/>
  <c r="K214" i="70" s="1"/>
  <c r="N140" i="73"/>
  <c r="H21" i="73"/>
  <c r="F146" i="73"/>
  <c r="N19" i="73"/>
  <c r="K19" i="73"/>
  <c r="Z146" i="73" s="1"/>
  <c r="J154" i="73" s="1"/>
  <c r="M19" i="73"/>
  <c r="G123" i="51"/>
  <c r="H114" i="55"/>
  <c r="H147" i="55" s="1"/>
  <c r="I184" i="70"/>
  <c r="F149" i="73"/>
  <c r="M20" i="73"/>
  <c r="K20" i="73"/>
  <c r="Z149" i="73" s="1"/>
  <c r="R154" i="73" s="1"/>
  <c r="N20" i="73"/>
  <c r="G28" i="73"/>
  <c r="G36" i="73" s="1"/>
  <c r="F69" i="52"/>
  <c r="E109" i="65"/>
  <c r="E124" i="65" s="1"/>
  <c r="P69" i="52"/>
  <c r="I178" i="70"/>
  <c r="I192" i="70"/>
  <c r="I122" i="55"/>
  <c r="I155" i="55" s="1"/>
  <c r="J192" i="70"/>
  <c r="J225" i="70" s="1"/>
  <c r="J185" i="70"/>
  <c r="J218" i="70" s="1"/>
  <c r="L178" i="70"/>
  <c r="L211" i="70" s="1"/>
  <c r="I218" i="70"/>
  <c r="Q185" i="70"/>
  <c r="L169" i="73"/>
  <c r="L218" i="73" s="1"/>
  <c r="L169" i="70"/>
  <c r="L202" i="70" s="1"/>
  <c r="J116" i="55"/>
  <c r="J149" i="55" s="1"/>
  <c r="K186" i="70"/>
  <c r="K219" i="70" s="1"/>
  <c r="M184" i="70"/>
  <c r="M217" i="70" s="1"/>
  <c r="J120" i="55"/>
  <c r="J153" i="55" s="1"/>
  <c r="K190" i="70"/>
  <c r="K223" i="70" s="1"/>
  <c r="I112" i="55"/>
  <c r="I145" i="55" s="1"/>
  <c r="J182" i="70"/>
  <c r="J215" i="70" s="1"/>
  <c r="L168" i="70"/>
  <c r="L201" i="70" s="1"/>
  <c r="L168" i="73"/>
  <c r="L217" i="73" s="1"/>
  <c r="K169" i="70"/>
  <c r="K202" i="70" s="1"/>
  <c r="K169" i="73"/>
  <c r="K218" i="73" s="1"/>
  <c r="H11" i="73" s="1"/>
  <c r="L176" i="70"/>
  <c r="L209" i="70" s="1"/>
  <c r="L176" i="73"/>
  <c r="L225" i="73" s="1"/>
  <c r="I187" i="70"/>
  <c r="R142" i="73"/>
  <c r="R141" i="73"/>
  <c r="U149" i="73"/>
  <c r="J28" i="73"/>
  <c r="J36" i="73" s="1"/>
  <c r="P92" i="67"/>
  <c r="P94" i="67" s="1"/>
  <c r="L191" i="70"/>
  <c r="L224" i="70" s="1"/>
  <c r="M191" i="70"/>
  <c r="M224" i="70" s="1"/>
  <c r="Q190" i="70"/>
  <c r="I223" i="70"/>
  <c r="L177" i="73"/>
  <c r="L226" i="73" s="1"/>
  <c r="J145" i="73"/>
  <c r="J144" i="73"/>
  <c r="J151" i="73"/>
  <c r="J150" i="73"/>
  <c r="I213" i="70"/>
  <c r="Q180" i="70"/>
  <c r="I10" i="61"/>
  <c r="L10" i="61" s="1"/>
  <c r="U57" i="52"/>
  <c r="U56" i="52"/>
  <c r="U58" i="52"/>
  <c r="U61" i="52"/>
  <c r="U62" i="52"/>
  <c r="U63" i="52"/>
  <c r="H122" i="55"/>
  <c r="H155" i="55" s="1"/>
  <c r="U60" i="52"/>
  <c r="U59" i="52"/>
  <c r="I50" i="51"/>
  <c r="J50" i="51"/>
  <c r="J49" i="51"/>
  <c r="T49" i="51"/>
  <c r="T50" i="51"/>
  <c r="S134" i="51" a="1"/>
  <c r="S134" i="51" s="1"/>
  <c r="S88" i="51" a="1"/>
  <c r="S88" i="51" s="1"/>
  <c r="R133" i="51" a="1"/>
  <c r="R133" i="51" s="1"/>
  <c r="R87" i="51" a="1"/>
  <c r="R87" i="51" s="1"/>
  <c r="J176" i="70" s="1"/>
  <c r="J209" i="70" s="1"/>
  <c r="T122" i="51"/>
  <c r="U122" i="51"/>
  <c r="L69" i="52"/>
  <c r="G117" i="51"/>
  <c r="K123" i="51"/>
  <c r="S121" i="51"/>
  <c r="H121" i="51"/>
  <c r="S117" i="51"/>
  <c r="H131" i="51" a="1"/>
  <c r="H131" i="51" s="1"/>
  <c r="R123" i="51"/>
  <c r="S131" i="51" a="1"/>
  <c r="S131" i="51" s="1"/>
  <c r="S85" i="51" a="1"/>
  <c r="S85" i="51" s="1"/>
  <c r="H124" i="51"/>
  <c r="J117" i="51"/>
  <c r="Q130" i="51" a="1"/>
  <c r="Q130" i="51" s="1"/>
  <c r="Q84" i="51" a="1"/>
  <c r="Q84" i="51" s="1"/>
  <c r="T134" i="51" a="1"/>
  <c r="T134" i="51" s="1"/>
  <c r="T88" i="51" a="1"/>
  <c r="T88" i="51" s="1"/>
  <c r="P26" i="50" s="1"/>
  <c r="Q123" i="51"/>
  <c r="U131" i="51" a="1"/>
  <c r="U131" i="51" s="1"/>
  <c r="U85" i="51" a="1"/>
  <c r="U85" i="51" s="1"/>
  <c r="R92" i="67"/>
  <c r="R94" i="67" s="1"/>
  <c r="O69" i="53"/>
  <c r="Q118" i="51"/>
  <c r="AN27" i="67"/>
  <c r="AN56" i="67"/>
  <c r="AN29" i="67"/>
  <c r="AN20" i="67"/>
  <c r="AN43" i="67"/>
  <c r="AN42" i="67"/>
  <c r="AN38" i="67"/>
  <c r="AN39" i="67"/>
  <c r="AN37" i="67"/>
  <c r="AN35" i="67"/>
  <c r="AN46" i="67"/>
  <c r="AN45" i="67"/>
  <c r="AN40" i="67"/>
  <c r="AD38" i="67"/>
  <c r="AD35" i="67"/>
  <c r="AD40" i="67"/>
  <c r="AD29" i="67"/>
  <c r="AG40" i="67"/>
  <c r="AD39" i="67"/>
  <c r="AD37" i="67"/>
  <c r="AD43" i="67"/>
  <c r="AD46" i="67"/>
  <c r="AG35" i="67"/>
  <c r="AG29" i="67"/>
  <c r="Z20" i="67"/>
  <c r="AG20" i="67" s="1"/>
  <c r="AG42" i="67"/>
  <c r="AG45" i="67"/>
  <c r="AD27" i="67"/>
  <c r="AG56" i="67"/>
  <c r="AG46" i="67"/>
  <c r="AG39" i="67"/>
  <c r="AG43" i="67"/>
  <c r="AG27" i="67"/>
  <c r="AG37" i="67"/>
  <c r="AD45" i="67"/>
  <c r="AD42" i="67"/>
  <c r="AF38" i="67"/>
  <c r="AF40" i="67"/>
  <c r="AF35" i="67"/>
  <c r="AF46" i="67"/>
  <c r="AF45" i="67"/>
  <c r="AF42" i="67"/>
  <c r="AF29" i="67"/>
  <c r="AF37" i="67"/>
  <c r="AF43" i="67"/>
  <c r="AF39" i="67"/>
  <c r="AF56" i="67"/>
  <c r="AF27" i="67"/>
  <c r="AE27" i="67"/>
  <c r="AE35" i="67"/>
  <c r="AE37" i="67"/>
  <c r="AE43" i="67"/>
  <c r="AE45" i="67"/>
  <c r="AE39" i="67"/>
  <c r="AE38" i="67"/>
  <c r="AE40" i="67"/>
  <c r="AE56" i="67"/>
  <c r="AE42" i="67"/>
  <c r="AE29" i="67"/>
  <c r="AE46" i="67"/>
  <c r="Q60" i="51" a="1"/>
  <c r="Q60" i="51" s="1"/>
  <c r="J13" i="55"/>
  <c r="J107" i="55"/>
  <c r="J140" i="55" s="1"/>
  <c r="J96" i="55"/>
  <c r="J129" i="55" s="1"/>
  <c r="H9" i="55" s="1"/>
  <c r="K108" i="55"/>
  <c r="K141" i="55" s="1"/>
  <c r="I17" i="55" s="1"/>
  <c r="I25" i="55" s="1"/>
  <c r="I33" i="55" s="1"/>
  <c r="K100" i="55"/>
  <c r="K133" i="55" s="1"/>
  <c r="I13" i="55" s="1"/>
  <c r="L106" i="55"/>
  <c r="L139" i="55" s="1"/>
  <c r="J12" i="55" s="1"/>
  <c r="L121" i="55"/>
  <c r="L154" i="55" s="1"/>
  <c r="J106" i="55"/>
  <c r="J139" i="55" s="1"/>
  <c r="L98" i="55"/>
  <c r="L131" i="55" s="1"/>
  <c r="J11" i="55" s="1"/>
  <c r="J100" i="55"/>
  <c r="J133" i="55" s="1"/>
  <c r="J98" i="55"/>
  <c r="J131" i="55" s="1"/>
  <c r="G57" i="51" a="1"/>
  <c r="G57" i="51" s="1"/>
  <c r="J61" i="51" a="1"/>
  <c r="J61" i="51" s="1"/>
  <c r="G60" i="51" a="1"/>
  <c r="G60" i="51" s="1"/>
  <c r="J60" i="51" a="1"/>
  <c r="J60" i="51" s="1"/>
  <c r="T60" i="51" a="1"/>
  <c r="T60" i="51" s="1"/>
  <c r="I61" i="51" a="1"/>
  <c r="I61" i="51" s="1"/>
  <c r="T61" i="51" a="1"/>
  <c r="T61" i="51" s="1"/>
  <c r="K99" i="55"/>
  <c r="K132" i="55" s="1"/>
  <c r="L114" i="55"/>
  <c r="L147" i="55" s="1"/>
  <c r="J19" i="55" s="1"/>
  <c r="O118" i="65"/>
  <c r="D90" i="61"/>
  <c r="G15" i="58"/>
  <c r="G11" i="61"/>
  <c r="G11" i="60"/>
  <c r="Q84" i="55"/>
  <c r="Q86" i="55" s="1"/>
  <c r="Q85" i="55" s="1"/>
  <c r="G11" i="57"/>
  <c r="D15" i="58"/>
  <c r="D20" i="58" s="1"/>
  <c r="G158" i="58" s="1"/>
  <c r="D11" i="57"/>
  <c r="P11" i="57" s="1"/>
  <c r="D11" i="61"/>
  <c r="D11" i="60"/>
  <c r="P11" i="60" s="1"/>
  <c r="P15" i="60" s="1"/>
  <c r="I11" i="60"/>
  <c r="Y71" i="60" s="1"/>
  <c r="H15" i="58"/>
  <c r="U84" i="55"/>
  <c r="U86" i="55" s="1"/>
  <c r="U85" i="55" s="1"/>
  <c r="H11" i="61"/>
  <c r="H11" i="57"/>
  <c r="H11" i="60"/>
  <c r="E3" i="44"/>
  <c r="E21" i="25" s="1"/>
  <c r="F22" i="58"/>
  <c r="F23" i="58" s="1"/>
  <c r="E72" i="58"/>
  <c r="E73" i="58" s="1"/>
  <c r="E74" i="58" s="1"/>
  <c r="N84" i="55"/>
  <c r="N86" i="55" s="1"/>
  <c r="N85" i="55" s="1"/>
  <c r="AJ11" i="57"/>
  <c r="AJ15" i="57" s="1"/>
  <c r="AJ11" i="61"/>
  <c r="AJ15" i="61" s="1"/>
  <c r="R15" i="60"/>
  <c r="U95" i="61"/>
  <c r="U94" i="61" s="1"/>
  <c r="D38" i="58"/>
  <c r="D39" i="58" s="1"/>
  <c r="D40" i="58" s="1"/>
  <c r="D12" i="60"/>
  <c r="P12" i="60" s="1"/>
  <c r="P16" i="60" s="1"/>
  <c r="F84" i="55"/>
  <c r="D12" i="61"/>
  <c r="D12" i="57"/>
  <c r="P12" i="57" s="1"/>
  <c r="AH12" i="57" s="1"/>
  <c r="AH16" i="57" s="1"/>
  <c r="G38" i="58"/>
  <c r="G12" i="57"/>
  <c r="G12" i="61"/>
  <c r="G12" i="60"/>
  <c r="R84" i="55"/>
  <c r="R86" i="55" s="1"/>
  <c r="R85" i="55" s="1"/>
  <c r="E88" i="55"/>
  <c r="E15" i="58"/>
  <c r="I84" i="55"/>
  <c r="I86" i="55" s="1"/>
  <c r="I85" i="55" s="1"/>
  <c r="E11" i="57"/>
  <c r="E11" i="60"/>
  <c r="E11" i="61"/>
  <c r="D25" i="60"/>
  <c r="E74" i="60"/>
  <c r="E75" i="60" s="1"/>
  <c r="D25" i="61"/>
  <c r="E93" i="61"/>
  <c r="E95" i="61" s="1"/>
  <c r="I21" i="61"/>
  <c r="U21" i="61" s="1"/>
  <c r="AM21" i="61" s="1"/>
  <c r="AM25" i="61" s="1"/>
  <c r="D25" i="57"/>
  <c r="I21" i="57"/>
  <c r="U21" i="57" s="1"/>
  <c r="E93" i="57"/>
  <c r="E94" i="57" s="1"/>
  <c r="P22" i="62"/>
  <c r="E75" i="62"/>
  <c r="E77" i="62" s="1"/>
  <c r="E76" i="62" s="1"/>
  <c r="E26" i="62"/>
  <c r="Q11" i="62"/>
  <c r="Q15" i="62" s="1"/>
  <c r="K15" i="62"/>
  <c r="Y87" i="55"/>
  <c r="Y89" i="55" s="1"/>
  <c r="Y88" i="55" s="1"/>
  <c r="I21" i="60"/>
  <c r="U21" i="60" s="1"/>
  <c r="W21" i="60" s="1"/>
  <c r="D66" i="58"/>
  <c r="D67" i="58" s="1"/>
  <c r="D68" i="58" s="1"/>
  <c r="D69" i="58" s="1"/>
  <c r="I61" i="58"/>
  <c r="I62" i="58" s="1"/>
  <c r="I63" i="58" s="1"/>
  <c r="Q22" i="62"/>
  <c r="G75" i="62"/>
  <c r="G26" i="62"/>
  <c r="M22" i="62"/>
  <c r="W22" i="62" s="1"/>
  <c r="S26" i="62" s="1"/>
  <c r="S11" i="62"/>
  <c r="S15" i="62" s="1"/>
  <c r="S164" i="58"/>
  <c r="S165" i="58" s="1"/>
  <c r="I10" i="60"/>
  <c r="I14" i="60" s="1"/>
  <c r="X84" i="55"/>
  <c r="D90" i="57"/>
  <c r="D14" i="57"/>
  <c r="H3" i="57" s="1"/>
  <c r="D35" i="25" s="1"/>
  <c r="I34" i="58"/>
  <c r="I35" i="58" s="1"/>
  <c r="I36" i="58" s="1"/>
  <c r="I10" i="57"/>
  <c r="L10" i="57" s="1"/>
  <c r="G157" i="58"/>
  <c r="D71" i="60"/>
  <c r="D12" i="58"/>
  <c r="D13" i="58" s="1"/>
  <c r="F156" i="58"/>
  <c r="F160" i="58" s="1"/>
  <c r="I11" i="58"/>
  <c r="Z156" i="58" s="1"/>
  <c r="Z160" i="58" s="1"/>
  <c r="D35" i="58"/>
  <c r="D36" i="58" s="1"/>
  <c r="U76" i="60"/>
  <c r="U75" i="60" s="1"/>
  <c r="D21" i="25"/>
  <c r="I19" i="58"/>
  <c r="AA157" i="58" s="1"/>
  <c r="I42" i="58"/>
  <c r="F72" i="58"/>
  <c r="F73" i="58" s="1"/>
  <c r="F74" i="58" s="1"/>
  <c r="O164" i="58"/>
  <c r="O165" i="58" s="1"/>
  <c r="H63" i="58"/>
  <c r="H71" i="58"/>
  <c r="W162" i="58"/>
  <c r="H67" i="58"/>
  <c r="H68" i="58" s="1"/>
  <c r="H69" i="58" s="1"/>
  <c r="G162" i="58"/>
  <c r="I65" i="58"/>
  <c r="I58" i="58"/>
  <c r="I59" i="58" s="1"/>
  <c r="D71" i="58"/>
  <c r="I88" i="58"/>
  <c r="I81" i="58"/>
  <c r="I82" i="58" s="1"/>
  <c r="K10" i="61"/>
  <c r="AH21" i="61"/>
  <c r="AH25" i="61" s="1"/>
  <c r="P11" i="62"/>
  <c r="P15" i="62" s="1"/>
  <c r="T25" i="60"/>
  <c r="L20" i="61"/>
  <c r="K20" i="61"/>
  <c r="T25" i="61"/>
  <c r="X93" i="61"/>
  <c r="AH21" i="60"/>
  <c r="AH25" i="60" s="1"/>
  <c r="K20" i="57"/>
  <c r="F72" i="62"/>
  <c r="L23" i="62"/>
  <c r="L22" i="62"/>
  <c r="U22" i="62"/>
  <c r="Q26" i="62" s="1"/>
  <c r="K26" i="62"/>
  <c r="L16" i="62"/>
  <c r="R12" i="62"/>
  <c r="R16" i="62" s="1"/>
  <c r="T23" i="62"/>
  <c r="P27" i="62" s="1"/>
  <c r="J27" i="62"/>
  <c r="T22" i="62"/>
  <c r="P26" i="62" s="1"/>
  <c r="J26" i="62"/>
  <c r="J16" i="62"/>
  <c r="P12" i="62"/>
  <c r="P16" i="62" s="1"/>
  <c r="H3" i="62"/>
  <c r="L20" i="60"/>
  <c r="M20" i="60" s="1"/>
  <c r="I24" i="60"/>
  <c r="X74" i="60"/>
  <c r="L20" i="57"/>
  <c r="I24" i="57"/>
  <c r="X93" i="57"/>
  <c r="Z165" i="58"/>
  <c r="T25" i="57"/>
  <c r="P25" i="57"/>
  <c r="AH21" i="57"/>
  <c r="AH25" i="57" s="1"/>
  <c r="AL21" i="57"/>
  <c r="AL25" i="57" s="1"/>
  <c r="U95" i="57"/>
  <c r="U94" i="57" s="1"/>
  <c r="Q31" i="50" l="1"/>
  <c r="I29" i="50"/>
  <c r="N140" i="70"/>
  <c r="I30" i="50"/>
  <c r="G30" i="50"/>
  <c r="F29" i="50"/>
  <c r="F30" i="50"/>
  <c r="G18" i="70"/>
  <c r="G18" i="72" s="1"/>
  <c r="J143" i="72" s="1"/>
  <c r="I9" i="70"/>
  <c r="I9" i="72" s="1"/>
  <c r="Q140" i="72" s="1"/>
  <c r="H11" i="70"/>
  <c r="H11" i="72" s="1"/>
  <c r="M146" i="72" s="1"/>
  <c r="L177" i="70"/>
  <c r="L210" i="70" s="1"/>
  <c r="Q29" i="50"/>
  <c r="Q36" i="50"/>
  <c r="Q37" i="50"/>
  <c r="F38" i="50"/>
  <c r="O26" i="50"/>
  <c r="O37" i="50" s="1"/>
  <c r="K177" i="70"/>
  <c r="K210" i="70" s="1"/>
  <c r="L119" i="55"/>
  <c r="L152" i="55" s="1"/>
  <c r="J18" i="55" s="1"/>
  <c r="J26" i="55" s="1"/>
  <c r="J34" i="55" s="1"/>
  <c r="M174" i="70"/>
  <c r="M207" i="70" s="1"/>
  <c r="J119" i="55"/>
  <c r="J152" i="55" s="1"/>
  <c r="H18" i="55" s="1"/>
  <c r="H26" i="55" s="1"/>
  <c r="H34" i="55" s="1"/>
  <c r="K174" i="70"/>
  <c r="K207" i="70" s="1"/>
  <c r="I38" i="50"/>
  <c r="I196" i="70"/>
  <c r="Q163" i="70"/>
  <c r="J11" i="70"/>
  <c r="J11" i="72" s="1"/>
  <c r="U146" i="72" s="1"/>
  <c r="J12" i="70"/>
  <c r="J12" i="72" s="1"/>
  <c r="U149" i="72" s="1"/>
  <c r="G17" i="50"/>
  <c r="G38" i="50"/>
  <c r="P16" i="50"/>
  <c r="P37" i="50"/>
  <c r="O17" i="50"/>
  <c r="Q179" i="70"/>
  <c r="O16" i="50"/>
  <c r="H15" i="50"/>
  <c r="H36" i="50"/>
  <c r="H17" i="50"/>
  <c r="H38" i="50"/>
  <c r="G15" i="50"/>
  <c r="G36" i="50"/>
  <c r="G11" i="70"/>
  <c r="G11" i="72" s="1"/>
  <c r="I146" i="72" s="1"/>
  <c r="O15" i="50"/>
  <c r="H16" i="50"/>
  <c r="H37" i="50"/>
  <c r="P15" i="50"/>
  <c r="I10" i="70"/>
  <c r="I10" i="72" s="1"/>
  <c r="Q143" i="72" s="1"/>
  <c r="J9" i="70"/>
  <c r="H9" i="70"/>
  <c r="G10" i="70"/>
  <c r="I19" i="70"/>
  <c r="R146" i="70" s="1"/>
  <c r="I18" i="70"/>
  <c r="R143" i="70" s="1"/>
  <c r="N26" i="50"/>
  <c r="N37" i="50" s="1"/>
  <c r="N27" i="50"/>
  <c r="N38" i="50" s="1"/>
  <c r="N25" i="50"/>
  <c r="P27" i="50"/>
  <c r="P25" i="50"/>
  <c r="P36" i="50" s="1"/>
  <c r="O25" i="50"/>
  <c r="O29" i="50" s="1"/>
  <c r="O27" i="50"/>
  <c r="O31" i="50" s="1"/>
  <c r="AG140" i="67"/>
  <c r="AG139" i="67"/>
  <c r="AG134" i="67"/>
  <c r="AG135" i="67"/>
  <c r="Q191" i="70"/>
  <c r="G13" i="73"/>
  <c r="G25" i="73"/>
  <c r="G33" i="73" s="1"/>
  <c r="J20" i="70"/>
  <c r="G19" i="55"/>
  <c r="G27" i="55" s="1"/>
  <c r="G35" i="55" s="1"/>
  <c r="Q67" i="52"/>
  <c r="J27" i="73"/>
  <c r="J35" i="73" s="1"/>
  <c r="V140" i="70"/>
  <c r="J21" i="70"/>
  <c r="J21" i="72" s="1"/>
  <c r="I14" i="61"/>
  <c r="I26" i="55"/>
  <c r="I34" i="55" s="1"/>
  <c r="J21" i="55"/>
  <c r="J29" i="55" s="1"/>
  <c r="J37" i="55" s="1"/>
  <c r="AG110" i="67"/>
  <c r="AG114" i="67"/>
  <c r="AG107" i="67"/>
  <c r="AG112" i="67"/>
  <c r="AG128" i="67"/>
  <c r="AG115" i="67"/>
  <c r="AG101" i="67"/>
  <c r="AG117" i="67"/>
  <c r="L94" i="67"/>
  <c r="AG99" i="67"/>
  <c r="AG111" i="67"/>
  <c r="AG118" i="67"/>
  <c r="AG109" i="67"/>
  <c r="Q143" i="73"/>
  <c r="I26" i="73"/>
  <c r="I34" i="73" s="1"/>
  <c r="J20" i="55"/>
  <c r="J28" i="55" s="1"/>
  <c r="J36" i="55" s="1"/>
  <c r="Q67" i="53"/>
  <c r="K34" i="53" s="1"/>
  <c r="X90" i="61"/>
  <c r="J19" i="70"/>
  <c r="F20" i="55"/>
  <c r="H21" i="55"/>
  <c r="H19" i="70"/>
  <c r="H19" i="72" s="1"/>
  <c r="N146" i="72" s="1"/>
  <c r="I216" i="70"/>
  <c r="V142" i="73"/>
  <c r="N143" i="73"/>
  <c r="N144" i="73" s="1"/>
  <c r="F19" i="55"/>
  <c r="I29" i="73"/>
  <c r="I37" i="73" s="1"/>
  <c r="I121" i="55"/>
  <c r="I154" i="55" s="1"/>
  <c r="G20" i="55" s="1"/>
  <c r="G28" i="55" s="1"/>
  <c r="G36" i="55" s="1"/>
  <c r="M10" i="61"/>
  <c r="P30" i="50"/>
  <c r="F143" i="73"/>
  <c r="G19" i="70"/>
  <c r="G19" i="72" s="1"/>
  <c r="H25" i="73"/>
  <c r="H33" i="73" s="1"/>
  <c r="M140" i="73"/>
  <c r="N141" i="73" s="1"/>
  <c r="J147" i="73"/>
  <c r="M18" i="73"/>
  <c r="J26" i="73"/>
  <c r="J34" i="73" s="1"/>
  <c r="V143" i="73"/>
  <c r="V145" i="73" s="1"/>
  <c r="K18" i="73"/>
  <c r="Z143" i="73" s="1"/>
  <c r="N154" i="73" s="1"/>
  <c r="N18" i="73"/>
  <c r="H21" i="70"/>
  <c r="N17" i="73"/>
  <c r="M17" i="73"/>
  <c r="K17" i="73"/>
  <c r="Z140" i="73" s="1"/>
  <c r="F154" i="73" s="1"/>
  <c r="G21" i="73"/>
  <c r="K21" i="73" s="1"/>
  <c r="J140" i="73"/>
  <c r="J141" i="73" s="1"/>
  <c r="H25" i="55"/>
  <c r="H33" i="55" s="1"/>
  <c r="H17" i="72"/>
  <c r="H29" i="73"/>
  <c r="H37" i="73" s="1"/>
  <c r="Q20" i="67"/>
  <c r="E107" i="65"/>
  <c r="N69" i="52"/>
  <c r="O19" i="73"/>
  <c r="I217" i="70"/>
  <c r="Q184" i="70"/>
  <c r="O20" i="73"/>
  <c r="H28" i="73"/>
  <c r="H36" i="73" s="1"/>
  <c r="E117" i="65"/>
  <c r="Q117" i="65" s="1"/>
  <c r="Q109" i="65"/>
  <c r="I11" i="73"/>
  <c r="Q146" i="73" s="1"/>
  <c r="W92" i="67"/>
  <c r="AD92" i="67" s="1"/>
  <c r="AD94" i="67" s="1"/>
  <c r="I11" i="70"/>
  <c r="I12" i="73"/>
  <c r="Q149" i="73" s="1"/>
  <c r="M146" i="73"/>
  <c r="H27" i="73"/>
  <c r="H35" i="73" s="1"/>
  <c r="J181" i="70"/>
  <c r="J214" i="70" s="1"/>
  <c r="N150" i="73"/>
  <c r="N151" i="73"/>
  <c r="Q187" i="70"/>
  <c r="I220" i="70"/>
  <c r="I188" i="70"/>
  <c r="Q192" i="70"/>
  <c r="I225" i="70"/>
  <c r="M189" i="70"/>
  <c r="M222" i="70" s="1"/>
  <c r="K192" i="70"/>
  <c r="K225" i="70" s="1"/>
  <c r="N69" i="53"/>
  <c r="K189" i="70"/>
  <c r="K222" i="70" s="1"/>
  <c r="V148" i="73"/>
  <c r="V147" i="73"/>
  <c r="V140" i="72"/>
  <c r="J191" i="70"/>
  <c r="J224" i="70" s="1"/>
  <c r="V151" i="73"/>
  <c r="V150" i="73"/>
  <c r="L192" i="70"/>
  <c r="L225" i="70" s="1"/>
  <c r="I211" i="70"/>
  <c r="Q178" i="70"/>
  <c r="H118" i="55"/>
  <c r="H151" i="55" s="1"/>
  <c r="F18" i="55" s="1"/>
  <c r="I111" i="55"/>
  <c r="I144" i="55" s="1"/>
  <c r="G17" i="55" s="1"/>
  <c r="K17" i="55" s="1"/>
  <c r="K122" i="55"/>
  <c r="K155" i="55" s="1"/>
  <c r="I20" i="55" s="1"/>
  <c r="J122" i="55"/>
  <c r="J155" i="55" s="1"/>
  <c r="H20" i="55" s="1"/>
  <c r="Y92" i="67"/>
  <c r="AF92" i="67" s="1"/>
  <c r="AF94" i="67" s="1"/>
  <c r="H12" i="55"/>
  <c r="H120" i="51"/>
  <c r="T123" i="51"/>
  <c r="S120" i="51"/>
  <c r="E105" i="65"/>
  <c r="O20" i="67"/>
  <c r="R122" i="51"/>
  <c r="E108" i="65"/>
  <c r="Q108" i="65" s="1"/>
  <c r="R20" i="67"/>
  <c r="Q119" i="51"/>
  <c r="U120" i="51"/>
  <c r="S123" i="51"/>
  <c r="O69" i="52"/>
  <c r="AN48" i="67"/>
  <c r="I21" i="55"/>
  <c r="I29" i="55" s="1"/>
  <c r="I37" i="55" s="1"/>
  <c r="K98" i="55"/>
  <c r="K131" i="55" s="1"/>
  <c r="I11" i="55" s="1"/>
  <c r="H13" i="55"/>
  <c r="K107" i="55"/>
  <c r="K140" i="55" s="1"/>
  <c r="J99" i="55"/>
  <c r="J132" i="55" s="1"/>
  <c r="H11" i="55" s="1"/>
  <c r="H27" i="55" s="1"/>
  <c r="H35" i="55" s="1"/>
  <c r="K106" i="55"/>
  <c r="K139" i="55" s="1"/>
  <c r="J27" i="55"/>
  <c r="J35" i="55" s="1"/>
  <c r="P15" i="57"/>
  <c r="AH11" i="57"/>
  <c r="AH15" i="57" s="1"/>
  <c r="I11" i="57"/>
  <c r="Y90" i="57" s="1"/>
  <c r="I15" i="58"/>
  <c r="D16" i="58"/>
  <c r="K11" i="60"/>
  <c r="I11" i="61"/>
  <c r="K11" i="61" s="1"/>
  <c r="D21" i="58"/>
  <c r="D22" i="58" s="1"/>
  <c r="D23" i="58" s="1"/>
  <c r="G15" i="57"/>
  <c r="S11" i="57"/>
  <c r="Q90" i="57"/>
  <c r="Q92" i="57" s="1"/>
  <c r="Q91" i="57" s="1"/>
  <c r="H15" i="60"/>
  <c r="T11" i="60"/>
  <c r="U71" i="60"/>
  <c r="U73" i="60" s="1"/>
  <c r="U72" i="60" s="1"/>
  <c r="H15" i="57"/>
  <c r="T11" i="57"/>
  <c r="U90" i="57"/>
  <c r="U92" i="57" s="1"/>
  <c r="U91" i="57" s="1"/>
  <c r="D15" i="60"/>
  <c r="E71" i="60"/>
  <c r="E73" i="60" s="1"/>
  <c r="H15" i="61"/>
  <c r="T11" i="61"/>
  <c r="U90" i="61"/>
  <c r="U92" i="61" s="1"/>
  <c r="U91" i="61" s="1"/>
  <c r="D15" i="61"/>
  <c r="P11" i="61"/>
  <c r="E90" i="61"/>
  <c r="G15" i="60"/>
  <c r="Q71" i="60"/>
  <c r="Q73" i="60" s="1"/>
  <c r="Q72" i="60" s="1"/>
  <c r="S11" i="60"/>
  <c r="Y84" i="55"/>
  <c r="Y86" i="55" s="1"/>
  <c r="Y85" i="55" s="1"/>
  <c r="D15" i="57"/>
  <c r="E90" i="57"/>
  <c r="E92" i="57" s="1"/>
  <c r="G15" i="61"/>
  <c r="S11" i="61"/>
  <c r="Q90" i="61"/>
  <c r="Q92" i="61" s="1"/>
  <c r="Q91" i="61" s="1"/>
  <c r="H20" i="58"/>
  <c r="H16" i="58"/>
  <c r="G20" i="58"/>
  <c r="G16" i="58"/>
  <c r="F12" i="61"/>
  <c r="R12" i="61" s="1"/>
  <c r="F12" i="57"/>
  <c r="F16" i="57" s="1"/>
  <c r="F38" i="58"/>
  <c r="F39" i="58" s="1"/>
  <c r="F12" i="60"/>
  <c r="R12" i="60" s="1"/>
  <c r="H38" i="58"/>
  <c r="H39" i="58" s="1"/>
  <c r="L11" i="60"/>
  <c r="L21" i="61"/>
  <c r="K21" i="57"/>
  <c r="L21" i="60"/>
  <c r="I15" i="60"/>
  <c r="H84" i="58"/>
  <c r="H22" i="57"/>
  <c r="H22" i="61"/>
  <c r="H22" i="60"/>
  <c r="V87" i="55"/>
  <c r="V89" i="55" s="1"/>
  <c r="V88" i="55" s="1"/>
  <c r="D84" i="58"/>
  <c r="F87" i="55"/>
  <c r="D22" i="60"/>
  <c r="D22" i="61"/>
  <c r="D22" i="57"/>
  <c r="E95" i="57"/>
  <c r="D16" i="57"/>
  <c r="F90" i="57"/>
  <c r="F91" i="57" s="1"/>
  <c r="E38" i="58"/>
  <c r="E12" i="61"/>
  <c r="J84" i="55"/>
  <c r="J86" i="55" s="1"/>
  <c r="J85" i="55" s="1"/>
  <c r="E12" i="60"/>
  <c r="E12" i="57"/>
  <c r="D16" i="61"/>
  <c r="F90" i="61"/>
  <c r="P12" i="61"/>
  <c r="G16" i="60"/>
  <c r="R71" i="60"/>
  <c r="R73" i="60" s="1"/>
  <c r="R72" i="60" s="1"/>
  <c r="S12" i="60"/>
  <c r="G16" i="61"/>
  <c r="R90" i="61"/>
  <c r="R92" i="61" s="1"/>
  <c r="R91" i="61" s="1"/>
  <c r="S12" i="61"/>
  <c r="D16" i="60"/>
  <c r="F71" i="60"/>
  <c r="F73" i="60" s="1"/>
  <c r="G16" i="57"/>
  <c r="R90" i="57"/>
  <c r="R92" i="57" s="1"/>
  <c r="R91" i="57" s="1"/>
  <c r="S12" i="57"/>
  <c r="G43" i="58"/>
  <c r="G44" i="58" s="1"/>
  <c r="G45" i="58" s="1"/>
  <c r="G46" i="58" s="1"/>
  <c r="G39" i="58"/>
  <c r="D43" i="58"/>
  <c r="D44" i="58" s="1"/>
  <c r="D45" i="58" s="1"/>
  <c r="D46" i="58" s="1"/>
  <c r="E76" i="60"/>
  <c r="E94" i="61"/>
  <c r="E15" i="61"/>
  <c r="I90" i="61"/>
  <c r="I92" i="61" s="1"/>
  <c r="I91" i="61" s="1"/>
  <c r="Q11" i="61"/>
  <c r="E15" i="60"/>
  <c r="I71" i="60"/>
  <c r="I73" i="60" s="1"/>
  <c r="I72" i="60" s="1"/>
  <c r="Q11" i="60"/>
  <c r="E15" i="57"/>
  <c r="I90" i="57"/>
  <c r="I92" i="57" s="1"/>
  <c r="I91" i="57" s="1"/>
  <c r="Q11" i="57"/>
  <c r="E20" i="58"/>
  <c r="E21" i="58" s="1"/>
  <c r="E16" i="58"/>
  <c r="G163" i="58"/>
  <c r="I66" i="58"/>
  <c r="AA163" i="58" s="1"/>
  <c r="K21" i="61"/>
  <c r="I25" i="61"/>
  <c r="Y93" i="61"/>
  <c r="Y95" i="61" s="1"/>
  <c r="Y94" i="61" s="1"/>
  <c r="K21" i="60"/>
  <c r="Y74" i="60"/>
  <c r="Y76" i="60" s="1"/>
  <c r="Y75" i="60" s="1"/>
  <c r="I25" i="60"/>
  <c r="L21" i="57"/>
  <c r="I25" i="57"/>
  <c r="Y93" i="57"/>
  <c r="Y95" i="57" s="1"/>
  <c r="Y94" i="57" s="1"/>
  <c r="M26" i="62"/>
  <c r="X71" i="60"/>
  <c r="P16" i="57"/>
  <c r="K10" i="60"/>
  <c r="L10" i="60"/>
  <c r="U11" i="60"/>
  <c r="X90" i="57"/>
  <c r="K10" i="57"/>
  <c r="M10" i="57" s="1"/>
  <c r="I14" i="57"/>
  <c r="D48" i="58"/>
  <c r="AH12" i="60"/>
  <c r="AH16" i="60" s="1"/>
  <c r="AH11" i="60"/>
  <c r="AH15" i="60" s="1"/>
  <c r="I12" i="58"/>
  <c r="I13" i="58" s="1"/>
  <c r="I16" i="58"/>
  <c r="I25" i="58" s="1"/>
  <c r="AA159" i="58" s="1"/>
  <c r="D25" i="58"/>
  <c r="D17" i="58"/>
  <c r="H72" i="58"/>
  <c r="H73" i="58" s="1"/>
  <c r="H74" i="58" s="1"/>
  <c r="W164" i="58"/>
  <c r="W165" i="58" s="1"/>
  <c r="AA162" i="58"/>
  <c r="I71" i="58"/>
  <c r="D72" i="58"/>
  <c r="D73" i="58" s="1"/>
  <c r="D74" i="58" s="1"/>
  <c r="G164" i="58"/>
  <c r="M20" i="61"/>
  <c r="X21" i="60"/>
  <c r="AC21" i="60" s="1"/>
  <c r="AM21" i="60"/>
  <c r="AM25" i="60" s="1"/>
  <c r="U25" i="61"/>
  <c r="Z21" i="60"/>
  <c r="AA21" i="60" s="1"/>
  <c r="AD21" i="60" s="1"/>
  <c r="U25" i="60"/>
  <c r="M20" i="57"/>
  <c r="Z21" i="61"/>
  <c r="AA21" i="61" s="1"/>
  <c r="AD21" i="61" s="1"/>
  <c r="W21" i="61"/>
  <c r="V22" i="62"/>
  <c r="R26" i="62" s="1"/>
  <c r="L26" i="62"/>
  <c r="V23" i="62"/>
  <c r="R27" i="62" s="1"/>
  <c r="L27" i="62"/>
  <c r="F75" i="62"/>
  <c r="G77" i="62" s="1"/>
  <c r="G76" i="62" s="1"/>
  <c r="G74" i="62"/>
  <c r="G73" i="62" s="1"/>
  <c r="Z21" i="57"/>
  <c r="W21" i="57"/>
  <c r="AM21" i="57"/>
  <c r="U25" i="57"/>
  <c r="M146" i="70" l="1"/>
  <c r="K34" i="52"/>
  <c r="I25" i="70"/>
  <c r="I33" i="70" s="1"/>
  <c r="U149" i="70"/>
  <c r="J143" i="70"/>
  <c r="Q140" i="70"/>
  <c r="H18" i="70"/>
  <c r="N143" i="70" s="1"/>
  <c r="P29" i="50"/>
  <c r="Q143" i="70"/>
  <c r="R145" i="70" s="1"/>
  <c r="I13" i="70"/>
  <c r="I13" i="72" s="1"/>
  <c r="U146" i="70"/>
  <c r="H20" i="70"/>
  <c r="N149" i="70" s="1"/>
  <c r="N30" i="50"/>
  <c r="J27" i="70"/>
  <c r="J35" i="70" s="1"/>
  <c r="J28" i="70"/>
  <c r="J36" i="70" s="1"/>
  <c r="J18" i="70"/>
  <c r="J18" i="72" s="1"/>
  <c r="I20" i="70"/>
  <c r="I20" i="72" s="1"/>
  <c r="O30" i="50"/>
  <c r="N31" i="50"/>
  <c r="P31" i="50"/>
  <c r="P38" i="50"/>
  <c r="O36" i="50"/>
  <c r="O38" i="50"/>
  <c r="N29" i="50"/>
  <c r="N36" i="50"/>
  <c r="I26" i="70"/>
  <c r="I34" i="70" s="1"/>
  <c r="I19" i="72"/>
  <c r="R146" i="72" s="1"/>
  <c r="I146" i="70"/>
  <c r="I12" i="70"/>
  <c r="I12" i="72" s="1"/>
  <c r="Q149" i="72" s="1"/>
  <c r="I18" i="72"/>
  <c r="R143" i="72" s="1"/>
  <c r="R144" i="72" s="1"/>
  <c r="H9" i="72"/>
  <c r="M140" i="72" s="1"/>
  <c r="M140" i="70"/>
  <c r="H13" i="70"/>
  <c r="H13" i="72" s="1"/>
  <c r="I143" i="70"/>
  <c r="G10" i="72"/>
  <c r="U140" i="70"/>
  <c r="V142" i="70" s="1"/>
  <c r="J9" i="72"/>
  <c r="J13" i="70"/>
  <c r="J13" i="72" s="1"/>
  <c r="J29" i="72" s="1"/>
  <c r="J37" i="72" s="1"/>
  <c r="G20" i="70"/>
  <c r="J149" i="70" s="1"/>
  <c r="G12" i="70"/>
  <c r="H25" i="70"/>
  <c r="H33" i="70" s="1"/>
  <c r="G26" i="70"/>
  <c r="G34" i="70" s="1"/>
  <c r="J25" i="70"/>
  <c r="J33" i="70" s="1"/>
  <c r="J10" i="70"/>
  <c r="G9" i="70"/>
  <c r="G25" i="70" s="1"/>
  <c r="G33" i="70" s="1"/>
  <c r="H12" i="70"/>
  <c r="H10" i="70"/>
  <c r="J20" i="72"/>
  <c r="J28" i="72" s="1"/>
  <c r="J36" i="72" s="1"/>
  <c r="V149" i="70"/>
  <c r="AM43" i="67"/>
  <c r="AM67" i="67"/>
  <c r="AM68" i="67"/>
  <c r="AM62" i="67"/>
  <c r="AM61" i="67"/>
  <c r="AJ42" i="67"/>
  <c r="AJ67" i="67"/>
  <c r="AJ68" i="67"/>
  <c r="AJ62" i="67"/>
  <c r="AJ61" i="67"/>
  <c r="AL67" i="67"/>
  <c r="AL68" i="67"/>
  <c r="AL62" i="67"/>
  <c r="AL61" i="67"/>
  <c r="I11" i="72"/>
  <c r="Q146" i="72" s="1"/>
  <c r="M19" i="55"/>
  <c r="G3" i="51"/>
  <c r="E25" i="25" s="1"/>
  <c r="J19" i="72"/>
  <c r="V146" i="72" s="1"/>
  <c r="R144" i="73"/>
  <c r="R145" i="73"/>
  <c r="V146" i="70"/>
  <c r="H29" i="55"/>
  <c r="H37" i="55" s="1"/>
  <c r="I17" i="72"/>
  <c r="R140" i="72" s="1"/>
  <c r="N145" i="73"/>
  <c r="R140" i="70"/>
  <c r="I21" i="70"/>
  <c r="N146" i="70"/>
  <c r="H27" i="70"/>
  <c r="H35" i="70" s="1"/>
  <c r="K19" i="55"/>
  <c r="N19" i="55"/>
  <c r="H21" i="72"/>
  <c r="G27" i="70"/>
  <c r="G35" i="70" s="1"/>
  <c r="J146" i="70"/>
  <c r="N142" i="73"/>
  <c r="N140" i="72"/>
  <c r="V144" i="73"/>
  <c r="O18" i="73"/>
  <c r="J142" i="73"/>
  <c r="O17" i="73"/>
  <c r="M21" i="73"/>
  <c r="G29" i="73"/>
  <c r="G37" i="73" s="1"/>
  <c r="N21" i="73"/>
  <c r="K18" i="55"/>
  <c r="E115" i="65"/>
  <c r="Q115" i="65" s="1"/>
  <c r="Q107" i="65"/>
  <c r="E122" i="65"/>
  <c r="AL43" i="67"/>
  <c r="AL42" i="67"/>
  <c r="AL29" i="67"/>
  <c r="AL40" i="67"/>
  <c r="AL39" i="67"/>
  <c r="AL20" i="67"/>
  <c r="X20" i="67"/>
  <c r="AE20" i="67" s="1"/>
  <c r="AL35" i="67"/>
  <c r="AL37" i="67"/>
  <c r="AL27" i="67"/>
  <c r="AL56" i="67"/>
  <c r="AL45" i="67"/>
  <c r="AL38" i="67"/>
  <c r="AL46" i="67"/>
  <c r="N18" i="55"/>
  <c r="Q146" i="70"/>
  <c r="R147" i="70" s="1"/>
  <c r="I27" i="70"/>
  <c r="I35" i="70" s="1"/>
  <c r="L69" i="53"/>
  <c r="I27" i="73"/>
  <c r="I35" i="73" s="1"/>
  <c r="I28" i="73"/>
  <c r="I36" i="73" s="1"/>
  <c r="M18" i="55"/>
  <c r="R148" i="73"/>
  <c r="R147" i="73"/>
  <c r="H27" i="72"/>
  <c r="H35" i="72" s="1"/>
  <c r="R151" i="73"/>
  <c r="R150" i="73"/>
  <c r="N148" i="72"/>
  <c r="N147" i="72"/>
  <c r="M17" i="55"/>
  <c r="G27" i="72"/>
  <c r="G35" i="72" s="1"/>
  <c r="J146" i="72"/>
  <c r="N148" i="73"/>
  <c r="N147" i="73"/>
  <c r="G21" i="55"/>
  <c r="K21" i="55" s="1"/>
  <c r="I221" i="70"/>
  <c r="Q188" i="70"/>
  <c r="G25" i="55"/>
  <c r="G33" i="55" s="1"/>
  <c r="N17" i="55"/>
  <c r="G17" i="72"/>
  <c r="J140" i="70"/>
  <c r="G21" i="70"/>
  <c r="H28" i="55"/>
  <c r="H36" i="55" s="1"/>
  <c r="K20" i="55"/>
  <c r="M20" i="55"/>
  <c r="N20" i="55"/>
  <c r="AJ37" i="67"/>
  <c r="E123" i="65"/>
  <c r="AM29" i="67"/>
  <c r="AM20" i="67"/>
  <c r="AM56" i="67"/>
  <c r="AJ46" i="67"/>
  <c r="AM39" i="67"/>
  <c r="AM35" i="67"/>
  <c r="AM46" i="67"/>
  <c r="AM37" i="67"/>
  <c r="AM42" i="67"/>
  <c r="AJ35" i="67"/>
  <c r="AM40" i="67"/>
  <c r="AM27" i="67"/>
  <c r="AJ45" i="67"/>
  <c r="AM45" i="67"/>
  <c r="Y20" i="67"/>
  <c r="AF20" i="67" s="1"/>
  <c r="AJ56" i="67"/>
  <c r="AM38" i="67"/>
  <c r="AJ27" i="67"/>
  <c r="AJ40" i="67"/>
  <c r="AJ20" i="67"/>
  <c r="AJ38" i="67"/>
  <c r="AJ43" i="67"/>
  <c r="AJ39" i="67"/>
  <c r="AJ29" i="67"/>
  <c r="E116" i="65"/>
  <c r="Q116" i="65" s="1"/>
  <c r="S92" i="67"/>
  <c r="E106" i="65"/>
  <c r="P20" i="67"/>
  <c r="Q92" i="67"/>
  <c r="X92" i="67" s="1"/>
  <c r="M69" i="52"/>
  <c r="P69" i="53"/>
  <c r="Q105" i="65"/>
  <c r="E113" i="65"/>
  <c r="Q113" i="65" s="1"/>
  <c r="E120" i="65"/>
  <c r="I12" i="55"/>
  <c r="I28" i="55" s="1"/>
  <c r="I36" i="55" s="1"/>
  <c r="I27" i="55"/>
  <c r="I35" i="55" s="1"/>
  <c r="E91" i="57"/>
  <c r="L11" i="57"/>
  <c r="K11" i="57"/>
  <c r="I15" i="57"/>
  <c r="L11" i="61"/>
  <c r="M11" i="61" s="1"/>
  <c r="E72" i="60"/>
  <c r="U11" i="57"/>
  <c r="U15" i="57" s="1"/>
  <c r="F16" i="61"/>
  <c r="M11" i="60"/>
  <c r="U11" i="61"/>
  <c r="U15" i="61" s="1"/>
  <c r="I15" i="61"/>
  <c r="Y90" i="61"/>
  <c r="Y92" i="61" s="1"/>
  <c r="Y91" i="61" s="1"/>
  <c r="G25" i="58"/>
  <c r="S159" i="58" s="1"/>
  <c r="G17" i="58"/>
  <c r="AL11" i="60"/>
  <c r="AL15" i="60" s="1"/>
  <c r="T15" i="60"/>
  <c r="S158" i="58"/>
  <c r="G21" i="58"/>
  <c r="E92" i="61"/>
  <c r="E91" i="61"/>
  <c r="H25" i="58"/>
  <c r="W159" i="58" s="1"/>
  <c r="H17" i="58"/>
  <c r="P15" i="61"/>
  <c r="AH11" i="61"/>
  <c r="AH15" i="61" s="1"/>
  <c r="T15" i="57"/>
  <c r="AL11" i="57"/>
  <c r="AL15" i="57" s="1"/>
  <c r="W158" i="58"/>
  <c r="H21" i="58"/>
  <c r="AK11" i="57"/>
  <c r="AK15" i="57" s="1"/>
  <c r="S15" i="57"/>
  <c r="T15" i="61"/>
  <c r="AL11" i="61"/>
  <c r="AL15" i="61" s="1"/>
  <c r="S15" i="61"/>
  <c r="AK11" i="61"/>
  <c r="AK15" i="61" s="1"/>
  <c r="S15" i="60"/>
  <c r="AK11" i="60"/>
  <c r="AK15" i="60" s="1"/>
  <c r="N71" i="60"/>
  <c r="N73" i="60" s="1"/>
  <c r="N72" i="60" s="1"/>
  <c r="N90" i="61"/>
  <c r="N92" i="61" s="1"/>
  <c r="N91" i="61" s="1"/>
  <c r="F16" i="60"/>
  <c r="R12" i="57"/>
  <c r="R16" i="57" s="1"/>
  <c r="N90" i="57"/>
  <c r="N92" i="57" s="1"/>
  <c r="N91" i="57" s="1"/>
  <c r="I67" i="58"/>
  <c r="I68" i="58" s="1"/>
  <c r="I69" i="58" s="1"/>
  <c r="G165" i="58"/>
  <c r="D49" i="58"/>
  <c r="D50" i="58" s="1"/>
  <c r="D51" i="58" s="1"/>
  <c r="F43" i="58"/>
  <c r="F44" i="58" s="1"/>
  <c r="F45" i="58" s="1"/>
  <c r="F46" i="58" s="1"/>
  <c r="E22" i="58"/>
  <c r="E23" i="58" s="1"/>
  <c r="M21" i="57"/>
  <c r="H12" i="60"/>
  <c r="H16" i="60" s="1"/>
  <c r="V84" i="55"/>
  <c r="V86" i="55" s="1"/>
  <c r="V85" i="55" s="1"/>
  <c r="H12" i="61"/>
  <c r="H12" i="57"/>
  <c r="M21" i="61"/>
  <c r="M21" i="60"/>
  <c r="I38" i="58"/>
  <c r="I39" i="58" s="1"/>
  <c r="I40" i="58" s="1"/>
  <c r="H43" i="58"/>
  <c r="H44" i="58" s="1"/>
  <c r="H45" i="58" s="1"/>
  <c r="H46" i="58" s="1"/>
  <c r="N87" i="55"/>
  <c r="N89" i="55" s="1"/>
  <c r="N88" i="55" s="1"/>
  <c r="K158" i="58"/>
  <c r="I20" i="58"/>
  <c r="F92" i="57"/>
  <c r="G22" i="61"/>
  <c r="F72" i="60"/>
  <c r="E22" i="61"/>
  <c r="E22" i="60"/>
  <c r="J87" i="55"/>
  <c r="J89" i="55" s="1"/>
  <c r="J88" i="55" s="1"/>
  <c r="E84" i="58"/>
  <c r="E22" i="57"/>
  <c r="AJ12" i="60"/>
  <c r="AJ16" i="60" s="1"/>
  <c r="R16" i="60"/>
  <c r="F93" i="57"/>
  <c r="D26" i="57"/>
  <c r="P22" i="57"/>
  <c r="E16" i="57"/>
  <c r="J90" i="57"/>
  <c r="J92" i="57" s="1"/>
  <c r="J91" i="57" s="1"/>
  <c r="Q12" i="57"/>
  <c r="H40" i="58"/>
  <c r="H48" i="58"/>
  <c r="D26" i="61"/>
  <c r="F93" i="61"/>
  <c r="P22" i="61"/>
  <c r="H26" i="60"/>
  <c r="V74" i="60"/>
  <c r="V76" i="60" s="1"/>
  <c r="V75" i="60" s="1"/>
  <c r="T22" i="60"/>
  <c r="E16" i="60"/>
  <c r="J71" i="60"/>
  <c r="J73" i="60" s="1"/>
  <c r="J72" i="60" s="1"/>
  <c r="Q12" i="60"/>
  <c r="D26" i="60"/>
  <c r="F74" i="60"/>
  <c r="P22" i="60"/>
  <c r="S16" i="61"/>
  <c r="AK12" i="61"/>
  <c r="AK16" i="61" s="1"/>
  <c r="S16" i="60"/>
  <c r="AK12" i="60"/>
  <c r="AK16" i="60" s="1"/>
  <c r="H26" i="57"/>
  <c r="V93" i="57"/>
  <c r="V95" i="57" s="1"/>
  <c r="V94" i="57" s="1"/>
  <c r="T22" i="57"/>
  <c r="G40" i="58"/>
  <c r="G48" i="58"/>
  <c r="G49" i="58" s="1"/>
  <c r="G50" i="58" s="1"/>
  <c r="G51" i="58" s="1"/>
  <c r="F88" i="55"/>
  <c r="F89" i="55"/>
  <c r="H89" i="58"/>
  <c r="H90" i="58" s="1"/>
  <c r="H91" i="58" s="1"/>
  <c r="H92" i="58" s="1"/>
  <c r="H85" i="58"/>
  <c r="F92" i="61"/>
  <c r="F91" i="61"/>
  <c r="E16" i="61"/>
  <c r="J90" i="61"/>
  <c r="J92" i="61" s="1"/>
  <c r="J91" i="61" s="1"/>
  <c r="Q12" i="61"/>
  <c r="D89" i="58"/>
  <c r="D90" i="58" s="1"/>
  <c r="D91" i="58" s="1"/>
  <c r="D92" i="58" s="1"/>
  <c r="D85" i="58"/>
  <c r="S16" i="57"/>
  <c r="AK12" i="57"/>
  <c r="AK16" i="57" s="1"/>
  <c r="E43" i="58"/>
  <c r="E44" i="58" s="1"/>
  <c r="E45" i="58" s="1"/>
  <c r="E46" i="58" s="1"/>
  <c r="E39" i="58"/>
  <c r="AH12" i="61"/>
  <c r="AH16" i="61" s="1"/>
  <c r="P16" i="61"/>
  <c r="H26" i="61"/>
  <c r="V93" i="61"/>
  <c r="V95" i="61" s="1"/>
  <c r="V94" i="61" s="1"/>
  <c r="T22" i="61"/>
  <c r="F40" i="58"/>
  <c r="F48" i="58"/>
  <c r="AJ12" i="61"/>
  <c r="AJ16" i="61" s="1"/>
  <c r="R16" i="61"/>
  <c r="AI11" i="60"/>
  <c r="AI15" i="60" s="1"/>
  <c r="Q15" i="60"/>
  <c r="E25" i="58"/>
  <c r="K159" i="58" s="1"/>
  <c r="E17" i="58"/>
  <c r="AI11" i="57"/>
  <c r="AI15" i="57" s="1"/>
  <c r="Q15" i="57"/>
  <c r="AI11" i="61"/>
  <c r="AI15" i="61" s="1"/>
  <c r="Q15" i="61"/>
  <c r="Z11" i="60"/>
  <c r="AA11" i="60" s="1"/>
  <c r="AD11" i="60" s="1"/>
  <c r="AM11" i="60"/>
  <c r="AM15" i="60" s="1"/>
  <c r="Y73" i="60"/>
  <c r="Y72" i="60" s="1"/>
  <c r="W11" i="60"/>
  <c r="X11" i="60" s="1"/>
  <c r="AC11" i="60" s="1"/>
  <c r="U15" i="60"/>
  <c r="M10" i="60"/>
  <c r="Y92" i="57"/>
  <c r="Y91" i="57" s="1"/>
  <c r="I17" i="58"/>
  <c r="G159" i="58"/>
  <c r="G160" i="58" s="1"/>
  <c r="D26" i="58"/>
  <c r="D27" i="58" s="1"/>
  <c r="D28" i="58" s="1"/>
  <c r="AA164" i="58"/>
  <c r="AA165" i="58" s="1"/>
  <c r="X21" i="61"/>
  <c r="AC21" i="61" s="1"/>
  <c r="X21" i="57"/>
  <c r="AC21" i="57" s="1"/>
  <c r="AA21" i="57"/>
  <c r="AD21" i="57" s="1"/>
  <c r="AM25" i="57"/>
  <c r="N148" i="70" l="1"/>
  <c r="I29" i="70"/>
  <c r="I37" i="70" s="1"/>
  <c r="J144" i="70"/>
  <c r="H26" i="70"/>
  <c r="H34" i="70" s="1"/>
  <c r="H20" i="72"/>
  <c r="N149" i="72" s="1"/>
  <c r="V151" i="70"/>
  <c r="V143" i="70"/>
  <c r="J26" i="70"/>
  <c r="J34" i="70" s="1"/>
  <c r="R145" i="72"/>
  <c r="R149" i="70"/>
  <c r="H18" i="72"/>
  <c r="N143" i="72" s="1"/>
  <c r="R142" i="70"/>
  <c r="V148" i="70"/>
  <c r="H28" i="70"/>
  <c r="H36" i="70" s="1"/>
  <c r="R144" i="70"/>
  <c r="H29" i="72"/>
  <c r="H37" i="72" s="1"/>
  <c r="I26" i="72"/>
  <c r="I34" i="72" s="1"/>
  <c r="N147" i="70"/>
  <c r="Q149" i="70"/>
  <c r="V141" i="70"/>
  <c r="G28" i="70"/>
  <c r="G36" i="70" s="1"/>
  <c r="J148" i="70"/>
  <c r="I28" i="70"/>
  <c r="I36" i="70" s="1"/>
  <c r="G20" i="72"/>
  <c r="J149" i="72" s="1"/>
  <c r="N141" i="72"/>
  <c r="J29" i="70"/>
  <c r="J37" i="70" s="1"/>
  <c r="J145" i="70"/>
  <c r="I143" i="72"/>
  <c r="G26" i="72"/>
  <c r="G34" i="72" s="1"/>
  <c r="M143" i="70"/>
  <c r="N145" i="70" s="1"/>
  <c r="H10" i="72"/>
  <c r="M143" i="72" s="1"/>
  <c r="G9" i="72"/>
  <c r="I140" i="72" s="1"/>
  <c r="I140" i="70"/>
  <c r="J142" i="70" s="1"/>
  <c r="G13" i="70"/>
  <c r="G13" i="72" s="1"/>
  <c r="H12" i="72"/>
  <c r="M149" i="72" s="1"/>
  <c r="M149" i="70"/>
  <c r="N150" i="70" s="1"/>
  <c r="U140" i="72"/>
  <c r="J25" i="72"/>
  <c r="J33" i="72" s="1"/>
  <c r="H29" i="70"/>
  <c r="H37" i="70" s="1"/>
  <c r="J10" i="72"/>
  <c r="U143" i="72" s="1"/>
  <c r="U143" i="70"/>
  <c r="G12" i="72"/>
  <c r="I149" i="72" s="1"/>
  <c r="I149" i="70"/>
  <c r="J151" i="70" s="1"/>
  <c r="N142" i="70"/>
  <c r="N141" i="70"/>
  <c r="H25" i="72"/>
  <c r="H33" i="72" s="1"/>
  <c r="V150" i="70"/>
  <c r="V149" i="72"/>
  <c r="V151" i="72" s="1"/>
  <c r="I27" i="72"/>
  <c r="I35" i="72" s="1"/>
  <c r="O19" i="55"/>
  <c r="AK67" i="67"/>
  <c r="AK68" i="67"/>
  <c r="AK61" i="67"/>
  <c r="AK62" i="67"/>
  <c r="R148" i="72"/>
  <c r="R147" i="72"/>
  <c r="J27" i="72"/>
  <c r="J35" i="72" s="1"/>
  <c r="V147" i="70"/>
  <c r="I25" i="72"/>
  <c r="I33" i="72" s="1"/>
  <c r="I21" i="72"/>
  <c r="I29" i="72" s="1"/>
  <c r="I37" i="72" s="1"/>
  <c r="R141" i="70"/>
  <c r="J147" i="70"/>
  <c r="N142" i="72"/>
  <c r="O21" i="73"/>
  <c r="AL48" i="67"/>
  <c r="O18" i="55"/>
  <c r="R148" i="70"/>
  <c r="O17" i="55"/>
  <c r="M21" i="55"/>
  <c r="G21" i="72"/>
  <c r="J148" i="72"/>
  <c r="J147" i="72"/>
  <c r="N21" i="55"/>
  <c r="G29" i="55"/>
  <c r="G37" i="55" s="1"/>
  <c r="J140" i="72"/>
  <c r="V148" i="72"/>
  <c r="V147" i="72"/>
  <c r="R149" i="72"/>
  <c r="I28" i="72"/>
  <c r="I36" i="72" s="1"/>
  <c r="R141" i="72"/>
  <c r="R142" i="72"/>
  <c r="O20" i="55"/>
  <c r="V143" i="72"/>
  <c r="AJ48" i="67"/>
  <c r="AM48" i="67"/>
  <c r="E110" i="65"/>
  <c r="Q94" i="67"/>
  <c r="Z92" i="67"/>
  <c r="AG92" i="67" s="1"/>
  <c r="AG94" i="67" s="1"/>
  <c r="S94" i="67"/>
  <c r="N92" i="67"/>
  <c r="N94" i="67" s="1"/>
  <c r="W20" i="67"/>
  <c r="AD20" i="67" s="1"/>
  <c r="AK37" i="67"/>
  <c r="AK20" i="67"/>
  <c r="AK39" i="67"/>
  <c r="AK27" i="67"/>
  <c r="AK35" i="67"/>
  <c r="N20" i="67"/>
  <c r="AK56" i="67"/>
  <c r="AK46" i="67"/>
  <c r="AK29" i="67"/>
  <c r="AK40" i="67"/>
  <c r="AK42" i="67"/>
  <c r="AK45" i="67"/>
  <c r="AK43" i="67"/>
  <c r="AK38" i="67"/>
  <c r="E121" i="65"/>
  <c r="Q106" i="65"/>
  <c r="E114" i="65"/>
  <c r="Q114" i="65" s="1"/>
  <c r="AE92" i="67"/>
  <c r="AE94" i="67" s="1"/>
  <c r="H3" i="50"/>
  <c r="E27" i="25" s="1"/>
  <c r="AM11" i="57"/>
  <c r="AM15" i="57" s="1"/>
  <c r="M11" i="57"/>
  <c r="W11" i="57"/>
  <c r="X11" i="57" s="1"/>
  <c r="AC11" i="57" s="1"/>
  <c r="Z11" i="57"/>
  <c r="AA11" i="57" s="1"/>
  <c r="AD11" i="57" s="1"/>
  <c r="Z11" i="61"/>
  <c r="AA11" i="61" s="1"/>
  <c r="AD11" i="61" s="1"/>
  <c r="AM11" i="61"/>
  <c r="AM15" i="61" s="1"/>
  <c r="S160" i="58"/>
  <c r="W11" i="61"/>
  <c r="X11" i="61" s="1"/>
  <c r="AC11" i="61" s="1"/>
  <c r="W160" i="58"/>
  <c r="H22" i="58"/>
  <c r="H23" i="58" s="1"/>
  <c r="H26" i="58"/>
  <c r="H27" i="58" s="1"/>
  <c r="H28" i="58" s="1"/>
  <c r="G22" i="58"/>
  <c r="G23" i="58" s="1"/>
  <c r="G26" i="58"/>
  <c r="G27" i="58" s="1"/>
  <c r="G28" i="58" s="1"/>
  <c r="AJ12" i="57"/>
  <c r="AJ16" i="57" s="1"/>
  <c r="I72" i="58"/>
  <c r="I73" i="58" s="1"/>
  <c r="I74" i="58" s="1"/>
  <c r="F49" i="58"/>
  <c r="F50" i="58" s="1"/>
  <c r="F51" i="58" s="1"/>
  <c r="K160" i="58"/>
  <c r="H49" i="58"/>
  <c r="H50" i="58" s="1"/>
  <c r="H51" i="58" s="1"/>
  <c r="AA158" i="58"/>
  <c r="AA160" i="58" s="1"/>
  <c r="I21" i="58"/>
  <c r="E26" i="58"/>
  <c r="E27" i="58" s="1"/>
  <c r="E28" i="58" s="1"/>
  <c r="Z84" i="55"/>
  <c r="Z86" i="55" s="1"/>
  <c r="Z85" i="55" s="1"/>
  <c r="I12" i="60"/>
  <c r="K12" i="60" s="1"/>
  <c r="V71" i="60"/>
  <c r="V73" i="60" s="1"/>
  <c r="V72" i="60" s="1"/>
  <c r="T12" i="60"/>
  <c r="AL12" i="60" s="1"/>
  <c r="AL16" i="60" s="1"/>
  <c r="H16" i="57"/>
  <c r="V90" i="57"/>
  <c r="V92" i="57" s="1"/>
  <c r="V91" i="57" s="1"/>
  <c r="T12" i="57"/>
  <c r="V90" i="61"/>
  <c r="V92" i="61" s="1"/>
  <c r="V91" i="61" s="1"/>
  <c r="T12" i="61"/>
  <c r="H16" i="61"/>
  <c r="I12" i="57"/>
  <c r="I12" i="61"/>
  <c r="I43" i="58"/>
  <c r="I44" i="58" s="1"/>
  <c r="I45" i="58" s="1"/>
  <c r="I46" i="58" s="1"/>
  <c r="I48" i="58"/>
  <c r="F22" i="60"/>
  <c r="F26" i="60" s="1"/>
  <c r="F22" i="61"/>
  <c r="I22" i="61" s="1"/>
  <c r="L22" i="61" s="1"/>
  <c r="F84" i="58"/>
  <c r="F85" i="58" s="1"/>
  <c r="F22" i="57"/>
  <c r="F26" i="57" s="1"/>
  <c r="G22" i="60"/>
  <c r="R87" i="55"/>
  <c r="R89" i="55" s="1"/>
  <c r="R88" i="55" s="1"/>
  <c r="G22" i="57"/>
  <c r="G84" i="58"/>
  <c r="G85" i="58" s="1"/>
  <c r="E26" i="57"/>
  <c r="E12" i="62"/>
  <c r="J93" i="57"/>
  <c r="J95" i="57" s="1"/>
  <c r="J94" i="57" s="1"/>
  <c r="Q22" i="57"/>
  <c r="E89" i="58"/>
  <c r="E90" i="58" s="1"/>
  <c r="E91" i="58" s="1"/>
  <c r="E92" i="58" s="1"/>
  <c r="E85" i="58"/>
  <c r="E26" i="60"/>
  <c r="Q22" i="60"/>
  <c r="J74" i="60"/>
  <c r="J76" i="60" s="1"/>
  <c r="J75" i="60" s="1"/>
  <c r="E26" i="61"/>
  <c r="Q22" i="61"/>
  <c r="J93" i="61"/>
  <c r="J95" i="61" s="1"/>
  <c r="J94" i="61" s="1"/>
  <c r="G26" i="61"/>
  <c r="R93" i="61"/>
  <c r="R95" i="61" s="1"/>
  <c r="R94" i="61" s="1"/>
  <c r="S22" i="61"/>
  <c r="D86" i="58"/>
  <c r="D94" i="58"/>
  <c r="D95" i="58" s="1"/>
  <c r="D96" i="58" s="1"/>
  <c r="D97" i="58" s="1"/>
  <c r="AI12" i="60"/>
  <c r="AI16" i="60" s="1"/>
  <c r="Q16" i="60"/>
  <c r="F94" i="57"/>
  <c r="F95" i="57"/>
  <c r="E40" i="58"/>
  <c r="E48" i="58"/>
  <c r="E49" i="58" s="1"/>
  <c r="E50" i="58" s="1"/>
  <c r="E51" i="58" s="1"/>
  <c r="F94" i="61"/>
  <c r="F95" i="61"/>
  <c r="T26" i="61"/>
  <c r="AL22" i="61"/>
  <c r="AL26" i="61" s="1"/>
  <c r="T26" i="57"/>
  <c r="AL22" i="57"/>
  <c r="AL26" i="57" s="1"/>
  <c r="T26" i="60"/>
  <c r="AL22" i="60"/>
  <c r="AL26" i="60" s="1"/>
  <c r="H94" i="58"/>
  <c r="H95" i="58" s="1"/>
  <c r="H96" i="58" s="1"/>
  <c r="H97" i="58" s="1"/>
  <c r="H86" i="58"/>
  <c r="AH22" i="60"/>
  <c r="AH26" i="60" s="1"/>
  <c r="P26" i="60"/>
  <c r="P26" i="57"/>
  <c r="AH22" i="57"/>
  <c r="AH26" i="57" s="1"/>
  <c r="Q16" i="61"/>
  <c r="AI12" i="61"/>
  <c r="AI16" i="61" s="1"/>
  <c r="F75" i="60"/>
  <c r="F76" i="60"/>
  <c r="P26" i="61"/>
  <c r="AH22" i="61"/>
  <c r="AH26" i="61" s="1"/>
  <c r="AI12" i="57"/>
  <c r="AI16" i="57" s="1"/>
  <c r="Q16" i="57"/>
  <c r="R151" i="70" l="1"/>
  <c r="V144" i="70"/>
  <c r="R150" i="70"/>
  <c r="G25" i="72"/>
  <c r="G33" i="72" s="1"/>
  <c r="J26" i="72"/>
  <c r="J34" i="72" s="1"/>
  <c r="N151" i="70"/>
  <c r="J150" i="70"/>
  <c r="H26" i="72"/>
  <c r="H34" i="72" s="1"/>
  <c r="H28" i="72"/>
  <c r="H36" i="72" s="1"/>
  <c r="J141" i="70"/>
  <c r="N144" i="70"/>
  <c r="V145" i="70"/>
  <c r="G29" i="70"/>
  <c r="G37" i="70" s="1"/>
  <c r="V141" i="72"/>
  <c r="V142" i="72"/>
  <c r="G29" i="72"/>
  <c r="G37" i="72" s="1"/>
  <c r="G28" i="72"/>
  <c r="G36" i="72" s="1"/>
  <c r="J144" i="72"/>
  <c r="J145" i="72"/>
  <c r="V150" i="72"/>
  <c r="AI67" i="67"/>
  <c r="AI68" i="67"/>
  <c r="AI62" i="67"/>
  <c r="AI61" i="67"/>
  <c r="O21" i="55"/>
  <c r="V145" i="72"/>
  <c r="V144" i="72"/>
  <c r="N150" i="72"/>
  <c r="N151" i="72"/>
  <c r="N144" i="72"/>
  <c r="N145" i="72"/>
  <c r="J150" i="72"/>
  <c r="J151" i="72"/>
  <c r="R151" i="72"/>
  <c r="R150" i="72"/>
  <c r="J142" i="72"/>
  <c r="J141" i="72"/>
  <c r="AI51" i="67"/>
  <c r="AI43" i="67"/>
  <c r="AI38" i="67"/>
  <c r="AI46" i="67"/>
  <c r="AI45" i="67"/>
  <c r="AI40" i="67"/>
  <c r="AI39" i="67"/>
  <c r="AI35" i="67"/>
  <c r="AI27" i="67"/>
  <c r="AI20" i="67"/>
  <c r="AI42" i="67"/>
  <c r="AI37" i="67"/>
  <c r="AK48" i="67"/>
  <c r="AI48" i="67" s="1"/>
  <c r="E118" i="65"/>
  <c r="Q118" i="65" s="1"/>
  <c r="Q110" i="65"/>
  <c r="E125" i="65"/>
  <c r="I49" i="58"/>
  <c r="I50" i="58" s="1"/>
  <c r="I51" i="58" s="1"/>
  <c r="I22" i="58"/>
  <c r="I23" i="58" s="1"/>
  <c r="I26" i="58"/>
  <c r="I27" i="58" s="1"/>
  <c r="I28" i="58" s="1"/>
  <c r="I16" i="60"/>
  <c r="U12" i="60"/>
  <c r="W12" i="60" s="1"/>
  <c r="X12" i="60" s="1"/>
  <c r="AC12" i="60" s="1"/>
  <c r="Z71" i="60"/>
  <c r="Z73" i="60" s="1"/>
  <c r="Z72" i="60" s="1"/>
  <c r="L12" i="60"/>
  <c r="M12" i="60" s="1"/>
  <c r="R22" i="60"/>
  <c r="R26" i="60" s="1"/>
  <c r="T16" i="60"/>
  <c r="T16" i="61"/>
  <c r="AL12" i="61"/>
  <c r="AL16" i="61" s="1"/>
  <c r="T16" i="57"/>
  <c r="AL12" i="57"/>
  <c r="AL16" i="57" s="1"/>
  <c r="U12" i="57"/>
  <c r="K12" i="57"/>
  <c r="L12" i="57"/>
  <c r="I16" i="57"/>
  <c r="Z90" i="57"/>
  <c r="Z92" i="57" s="1"/>
  <c r="Z91" i="57" s="1"/>
  <c r="K12" i="61"/>
  <c r="L12" i="61"/>
  <c r="Z90" i="61"/>
  <c r="Z92" i="61" s="1"/>
  <c r="Z91" i="61" s="1"/>
  <c r="I16" i="61"/>
  <c r="U12" i="61"/>
  <c r="R22" i="61"/>
  <c r="AJ22" i="61" s="1"/>
  <c r="AJ26" i="61" s="1"/>
  <c r="F26" i="61"/>
  <c r="F89" i="58"/>
  <c r="F90" i="58" s="1"/>
  <c r="F91" i="58" s="1"/>
  <c r="F92" i="58" s="1"/>
  <c r="R22" i="57"/>
  <c r="R26" i="57" s="1"/>
  <c r="N93" i="57"/>
  <c r="N95" i="57" s="1"/>
  <c r="N94" i="57" s="1"/>
  <c r="N93" i="61"/>
  <c r="N95" i="61" s="1"/>
  <c r="N94" i="61" s="1"/>
  <c r="N74" i="60"/>
  <c r="N76" i="60" s="1"/>
  <c r="N75" i="60" s="1"/>
  <c r="U22" i="61"/>
  <c r="AM22" i="61" s="1"/>
  <c r="AM26" i="61" s="1"/>
  <c r="Z93" i="61"/>
  <c r="Z95" i="61" s="1"/>
  <c r="Z94" i="61" s="1"/>
  <c r="K22" i="61"/>
  <c r="M22" i="61" s="1"/>
  <c r="I26" i="61"/>
  <c r="G12" i="62"/>
  <c r="G16" i="62" s="1"/>
  <c r="I22" i="57"/>
  <c r="K22" i="57" s="1"/>
  <c r="G26" i="60"/>
  <c r="Z87" i="55"/>
  <c r="Z89" i="55" s="1"/>
  <c r="Z88" i="55" s="1"/>
  <c r="S22" i="57"/>
  <c r="G26" i="57"/>
  <c r="I22" i="60"/>
  <c r="U22" i="60" s="1"/>
  <c r="I84" i="58"/>
  <c r="I85" i="58" s="1"/>
  <c r="I86" i="58" s="1"/>
  <c r="G89" i="58"/>
  <c r="G90" i="58" s="1"/>
  <c r="G91" i="58" s="1"/>
  <c r="G92" i="58" s="1"/>
  <c r="S22" i="60"/>
  <c r="S26" i="60" s="1"/>
  <c r="R74" i="60"/>
  <c r="R76" i="60" s="1"/>
  <c r="R75" i="60" s="1"/>
  <c r="R93" i="57"/>
  <c r="R95" i="57" s="1"/>
  <c r="R94" i="57" s="1"/>
  <c r="G86" i="58"/>
  <c r="G94" i="58"/>
  <c r="E86" i="58"/>
  <c r="E94" i="58"/>
  <c r="E95" i="58" s="1"/>
  <c r="E96" i="58" s="1"/>
  <c r="E97" i="58" s="1"/>
  <c r="AK22" i="61"/>
  <c r="AK26" i="61" s="1"/>
  <c r="S26" i="61"/>
  <c r="Q26" i="57"/>
  <c r="AI22" i="57"/>
  <c r="AI26" i="57" s="1"/>
  <c r="Q26" i="60"/>
  <c r="AI22" i="60"/>
  <c r="AI26" i="60" s="1"/>
  <c r="AI22" i="61"/>
  <c r="AI26" i="61" s="1"/>
  <c r="Q26" i="61"/>
  <c r="K12" i="62"/>
  <c r="E23" i="62"/>
  <c r="E16" i="62"/>
  <c r="F86" i="58"/>
  <c r="F94" i="58"/>
  <c r="G3" i="55" l="1"/>
  <c r="E33" i="25" s="1"/>
  <c r="F95" i="58"/>
  <c r="F96" i="58" s="1"/>
  <c r="F97" i="58" s="1"/>
  <c r="G95" i="58"/>
  <c r="G96" i="58" s="1"/>
  <c r="G97" i="58" s="1"/>
  <c r="Z12" i="60"/>
  <c r="AA12" i="60" s="1"/>
  <c r="AD12" i="60" s="1"/>
  <c r="AM12" i="60"/>
  <c r="AM16" i="60" s="1"/>
  <c r="U16" i="60"/>
  <c r="AJ22" i="60"/>
  <c r="AJ26" i="60" s="1"/>
  <c r="M12" i="57"/>
  <c r="W12" i="61"/>
  <c r="X12" i="61" s="1"/>
  <c r="AC12" i="61" s="1"/>
  <c r="U16" i="61"/>
  <c r="AM12" i="61"/>
  <c r="AM16" i="61" s="1"/>
  <c r="Z12" i="61"/>
  <c r="AA12" i="61" s="1"/>
  <c r="AD12" i="61" s="1"/>
  <c r="U16" i="57"/>
  <c r="AM12" i="57"/>
  <c r="W12" i="57"/>
  <c r="X12" i="57" s="1"/>
  <c r="AC12" i="57" s="1"/>
  <c r="Z12" i="57"/>
  <c r="AA12" i="57" s="1"/>
  <c r="AD12" i="57" s="1"/>
  <c r="M12" i="61"/>
  <c r="R26" i="61"/>
  <c r="I3" i="61" s="1"/>
  <c r="I89" i="58"/>
  <c r="I90" i="58" s="1"/>
  <c r="I91" i="58" s="1"/>
  <c r="I92" i="58" s="1"/>
  <c r="G23" i="62"/>
  <c r="G27" i="62" s="1"/>
  <c r="W22" i="61"/>
  <c r="X22" i="61" s="1"/>
  <c r="AC22" i="61" s="1"/>
  <c r="Z22" i="61"/>
  <c r="AA22" i="61" s="1"/>
  <c r="AD22" i="61" s="1"/>
  <c r="U26" i="61"/>
  <c r="AJ22" i="57"/>
  <c r="AJ26" i="57" s="1"/>
  <c r="M12" i="62"/>
  <c r="S12" i="62" s="1"/>
  <c r="S16" i="62" s="1"/>
  <c r="K22" i="60"/>
  <c r="L22" i="60"/>
  <c r="U22" i="57"/>
  <c r="Z22" i="57" s="1"/>
  <c r="AA22" i="57" s="1"/>
  <c r="AD22" i="57" s="1"/>
  <c r="Z93" i="57"/>
  <c r="Z95" i="57" s="1"/>
  <c r="Z94" i="57" s="1"/>
  <c r="L22" i="57"/>
  <c r="M22" i="57" s="1"/>
  <c r="I26" i="57"/>
  <c r="Z74" i="60"/>
  <c r="Z76" i="60" s="1"/>
  <c r="Z75" i="60" s="1"/>
  <c r="AK22" i="57"/>
  <c r="AK26" i="57" s="1"/>
  <c r="S26" i="57"/>
  <c r="I26" i="60"/>
  <c r="I94" i="58"/>
  <c r="AK22" i="60"/>
  <c r="AK26" i="60" s="1"/>
  <c r="E27" i="62"/>
  <c r="P23" i="62"/>
  <c r="K23" i="62"/>
  <c r="Q12" i="62"/>
  <c r="Q16" i="62" s="1"/>
  <c r="K16" i="62"/>
  <c r="W22" i="60"/>
  <c r="X22" i="60" s="1"/>
  <c r="AC22" i="60" s="1"/>
  <c r="U26" i="60"/>
  <c r="AM22" i="60"/>
  <c r="AM26" i="60" s="1"/>
  <c r="Z22" i="60"/>
  <c r="AA22" i="60" s="1"/>
  <c r="AD22" i="60" s="1"/>
  <c r="B59" i="49"/>
  <c r="I3" i="57" l="1"/>
  <c r="E35" i="25" s="1"/>
  <c r="I95" i="58"/>
  <c r="I96" i="58" s="1"/>
  <c r="I97" i="58" s="1"/>
  <c r="I3" i="60"/>
  <c r="AM16" i="57"/>
  <c r="Q23" i="62"/>
  <c r="M23" i="62"/>
  <c r="M27" i="62" s="1"/>
  <c r="M16" i="62"/>
  <c r="M22" i="60"/>
  <c r="W22" i="57"/>
  <c r="X22" i="57" s="1"/>
  <c r="AC22" i="57" s="1"/>
  <c r="AM22" i="57"/>
  <c r="U26" i="57"/>
  <c r="K27" i="62"/>
  <c r="U23" i="62"/>
  <c r="Q27" i="62" s="1"/>
  <c r="B237" i="49"/>
  <c r="B290" i="49" s="1"/>
  <c r="W23" i="62" l="1"/>
  <c r="S27" i="62" s="1"/>
  <c r="I3" i="62" s="1"/>
  <c r="AM26" i="57"/>
  <c r="B170" i="44"/>
  <c r="B176" i="44" l="1"/>
  <c r="B189" i="44" l="1"/>
  <c r="B213" i="44" l="1"/>
  <c r="B227" i="44" s="1"/>
  <c r="B256" i="44" l="1"/>
  <c r="B391" i="44" s="1"/>
  <c r="B419" i="44" l="1"/>
  <c r="B425" i="44" l="1"/>
  <c r="B438" i="44" s="1"/>
  <c r="B462" i="44" s="1"/>
  <c r="B476" i="44" s="1"/>
  <c r="K28" i="49" l="1"/>
  <c r="K29" i="49" s="1"/>
  <c r="K10" i="49" s="1"/>
  <c r="P10" i="49" l="1"/>
  <c r="H54" i="63" a="1"/>
  <c r="H54" i="63" s="1"/>
  <c r="AM57" i="67"/>
  <c r="AL58" i="67"/>
  <c r="AL31" i="67"/>
  <c r="AK71" i="67"/>
  <c r="AK66" i="67"/>
  <c r="H52" i="67"/>
  <c r="AM32" i="67"/>
  <c r="AL69" i="67"/>
  <c r="AJ69" i="67"/>
  <c r="AJ66" i="67"/>
  <c r="AL66" i="67"/>
  <c r="H59" i="67" a="1"/>
  <c r="H59" i="67" s="1"/>
  <c r="AN32" i="67"/>
  <c r="AM58" i="67"/>
  <c r="AN57" i="67"/>
  <c r="H57" i="67" a="1"/>
  <c r="H57" i="67" s="1"/>
  <c r="AN58" i="67"/>
  <c r="AN30" i="67"/>
  <c r="AK69" i="67"/>
  <c r="AJ59" i="67"/>
  <c r="AK65" i="67"/>
  <c r="AN71" i="67"/>
  <c r="AK32" i="67"/>
  <c r="AN59" i="67"/>
  <c r="AL57" i="67"/>
  <c r="AJ57" i="67"/>
  <c r="AJ32" i="67"/>
  <c r="AK58" i="67"/>
  <c r="AJ30" i="67"/>
  <c r="AL52" i="67"/>
  <c r="AL53" i="67"/>
  <c r="AK53" i="67"/>
  <c r="AM59" i="67"/>
  <c r="AL32" i="67"/>
  <c r="AJ58" i="67"/>
  <c r="AM53" i="67"/>
  <c r="AN31" i="67"/>
  <c r="AJ31" i="67"/>
  <c r="AM66" i="67"/>
  <c r="AN65" i="67"/>
  <c r="L51" i="67"/>
  <c r="AN69" i="67"/>
  <c r="AM69" i="67"/>
  <c r="AJ52" i="67"/>
  <c r="AM52" i="67"/>
  <c r="AL65" i="67"/>
  <c r="AM30" i="67"/>
  <c r="AM71" i="67"/>
  <c r="V141" i="67"/>
  <c r="K51" i="67"/>
  <c r="AK52" i="67"/>
  <c r="AK59" i="67"/>
  <c r="AL71" i="67"/>
  <c r="H58" i="67" a="1"/>
  <c r="H58" i="67" s="1"/>
  <c r="AJ71" i="67"/>
  <c r="AM65" i="67"/>
  <c r="AN51" i="67"/>
  <c r="J51" i="67"/>
  <c r="AN52" i="67"/>
  <c r="AL51" i="67"/>
  <c r="AK51" i="67"/>
  <c r="AL30" i="67"/>
  <c r="AJ65" i="67"/>
  <c r="AN53" i="67"/>
  <c r="AK31" i="67"/>
  <c r="I58" i="67" a="1"/>
  <c r="I58" i="67" s="1"/>
  <c r="K58" i="67" a="1"/>
  <c r="K58" i="67" s="1"/>
  <c r="L58" i="67" a="1"/>
  <c r="L58" i="67" s="1"/>
  <c r="J58" i="67" a="1"/>
  <c r="J58" i="67" s="1"/>
  <c r="AK57" i="67"/>
  <c r="AJ53" i="67"/>
  <c r="AL59" i="67"/>
  <c r="AM51" i="67"/>
  <c r="V138" i="67"/>
  <c r="V125" i="67"/>
  <c r="AM31" i="67"/>
  <c r="H51" i="67"/>
  <c r="X137" i="67"/>
  <c r="AE137" i="67" s="1"/>
  <c r="AN66" i="67"/>
  <c r="J57" i="67" a="1"/>
  <c r="J57" i="67" s="1"/>
  <c r="I57" i="67" a="1"/>
  <c r="I57" i="67" s="1"/>
  <c r="K57" i="67" a="1"/>
  <c r="K57" i="67" s="1"/>
  <c r="Z102" i="67"/>
  <c r="L57" i="67" a="1"/>
  <c r="L57" i="67" s="1"/>
  <c r="W137" i="67"/>
  <c r="AD137" i="67" s="1"/>
  <c r="X130" i="67"/>
  <c r="AE130" i="67" s="1"/>
  <c r="K59" i="67" a="1"/>
  <c r="K59" i="67" s="1"/>
  <c r="K52" i="67"/>
  <c r="W125" i="67"/>
  <c r="AD125" i="67" s="1"/>
  <c r="I59" i="67" a="1"/>
  <c r="I59" i="67" s="1"/>
  <c r="J53" i="67"/>
  <c r="X141" i="67"/>
  <c r="AE141" i="67" s="1"/>
  <c r="W141" i="67"/>
  <c r="AD141" i="67" s="1"/>
  <c r="I71" i="67"/>
  <c r="I61" i="67" s="1"/>
  <c r="J52" i="67"/>
  <c r="L59" i="67" a="1"/>
  <c r="L59" i="67" s="1"/>
  <c r="L71" i="67"/>
  <c r="X143" i="67"/>
  <c r="AE143" i="67" s="1"/>
  <c r="L52" i="67"/>
  <c r="Y141" i="67"/>
  <c r="AF141" i="67" s="1"/>
  <c r="Y124" i="67"/>
  <c r="AF124" i="67" s="1"/>
  <c r="Z138" i="67"/>
  <c r="AG138" i="67" s="1"/>
  <c r="I53" i="67"/>
  <c r="K71" i="67"/>
  <c r="L53" i="67"/>
  <c r="I52" i="67"/>
  <c r="X138" i="67"/>
  <c r="AE138" i="67" s="1"/>
  <c r="K53" i="67"/>
  <c r="W124" i="67"/>
  <c r="AD124" i="67" s="1"/>
  <c r="Z143" i="67"/>
  <c r="AG143" i="67" s="1"/>
  <c r="J59" i="67" a="1"/>
  <c r="J59" i="67" s="1"/>
  <c r="Y143" i="67"/>
  <c r="AF143" i="67" s="1"/>
  <c r="I51" i="67"/>
  <c r="H62" i="67" l="1"/>
  <c r="J62" i="67"/>
  <c r="X62" i="67" s="1"/>
  <c r="AE62" i="67" s="1"/>
  <c r="K62" i="67"/>
  <c r="Y62" i="67" s="1"/>
  <c r="AF62" i="67" s="1"/>
  <c r="L62" i="67"/>
  <c r="Z62" i="67" s="1"/>
  <c r="AG62" i="67" s="1"/>
  <c r="K61" i="67"/>
  <c r="I62" i="67"/>
  <c r="W62" i="67" s="1"/>
  <c r="AD62" i="67" s="1"/>
  <c r="L61" i="67"/>
  <c r="Z61" i="67" s="1"/>
  <c r="AG61" i="67" s="1"/>
  <c r="W61" i="67"/>
  <c r="AD61" i="67" s="1"/>
  <c r="H73" i="67"/>
  <c r="H25" i="67" s="1"/>
  <c r="H73" i="63" a="1"/>
  <c r="H73" i="63" s="1"/>
  <c r="G38" i="51" s="1" a="1"/>
  <c r="G38" i="51" s="1"/>
  <c r="H67" i="63" a="1"/>
  <c r="H67" i="63" s="1"/>
  <c r="H71" i="63" a="1"/>
  <c r="H71" i="63" s="1"/>
  <c r="G37" i="51" s="1" a="1"/>
  <c r="G37" i="51" s="1"/>
  <c r="H66" i="63" a="1"/>
  <c r="H66" i="63" s="1"/>
  <c r="G34" i="51" s="1" a="1"/>
  <c r="G34" i="51" s="1"/>
  <c r="H30" i="67" s="1" a="1"/>
  <c r="H30" i="67" s="1"/>
  <c r="H72" i="63" a="1"/>
  <c r="H72" i="63" s="1"/>
  <c r="H68" i="63" a="1"/>
  <c r="H68" i="63" s="1"/>
  <c r="G35" i="51" s="1" a="1"/>
  <c r="G35" i="51" s="1"/>
  <c r="H31" i="67" s="1" a="1"/>
  <c r="H31" i="67" s="1"/>
  <c r="G31" i="67" s="1"/>
  <c r="H70" i="63" a="1"/>
  <c r="H70" i="63" s="1"/>
  <c r="G39" i="51" s="1" a="1"/>
  <c r="G39" i="51" s="1"/>
  <c r="H69" i="63" a="1"/>
  <c r="H69" i="63" s="1"/>
  <c r="H74" i="63" a="1"/>
  <c r="H74" i="63" s="1"/>
  <c r="AK30" i="67"/>
  <c r="AI30" i="67"/>
  <c r="AJ51" i="67"/>
  <c r="AG102" i="67"/>
  <c r="W66" i="67"/>
  <c r="AD66" i="67" s="1"/>
  <c r="V71" i="67"/>
  <c r="W52" i="67"/>
  <c r="AD52" i="67" s="1"/>
  <c r="X71" i="67"/>
  <c r="AE71" i="67" s="1"/>
  <c r="V59" i="67"/>
  <c r="X30" i="67"/>
  <c r="AE30" i="67" s="1"/>
  <c r="X52" i="67"/>
  <c r="AE52" i="67" s="1"/>
  <c r="Y31" i="67"/>
  <c r="AF31" i="67" s="1"/>
  <c r="Z52" i="67"/>
  <c r="AG52" i="67" s="1"/>
  <c r="Y51" i="67"/>
  <c r="AF51" i="67" s="1"/>
  <c r="V69" i="67"/>
  <c r="Y138" i="67"/>
  <c r="AF138" i="67" s="1"/>
  <c r="X125" i="67"/>
  <c r="AE125" i="67" s="1"/>
  <c r="Y69" i="67"/>
  <c r="AF69" i="67" s="1"/>
  <c r="N53" i="67"/>
  <c r="Z141" i="67"/>
  <c r="AG141" i="67" s="1"/>
  <c r="W51" i="67"/>
  <c r="AD51" i="67" s="1"/>
  <c r="Y102" i="67"/>
  <c r="N52" i="67"/>
  <c r="X103" i="67"/>
  <c r="AE103" i="67" s="1"/>
  <c r="X51" i="67"/>
  <c r="AE51" i="67" s="1"/>
  <c r="Z51" i="67"/>
  <c r="AG51" i="67" s="1"/>
  <c r="W31" i="67"/>
  <c r="AD31" i="67" s="1"/>
  <c r="N65" i="67"/>
  <c r="V52" i="67"/>
  <c r="X102" i="67"/>
  <c r="W30" i="67"/>
  <c r="AD30" i="67" s="1"/>
  <c r="Z103" i="67"/>
  <c r="AG103" i="67" s="1"/>
  <c r="V124" i="67"/>
  <c r="X123" i="67"/>
  <c r="AE123" i="67" s="1"/>
  <c r="W102" i="67"/>
  <c r="W57" i="67"/>
  <c r="AD57" i="67" s="1"/>
  <c r="W143" i="67"/>
  <c r="AD143" i="67" s="1"/>
  <c r="Z53" i="67"/>
  <c r="AG53" i="67" s="1"/>
  <c r="Z129" i="67"/>
  <c r="AG129" i="67" s="1"/>
  <c r="Y129" i="67"/>
  <c r="AF129" i="67" s="1"/>
  <c r="V104" i="67"/>
  <c r="X104" i="67"/>
  <c r="AE104" i="67" s="1"/>
  <c r="Z123" i="67"/>
  <c r="AG123" i="67" s="1"/>
  <c r="Z66" i="67"/>
  <c r="AG66" i="67" s="1"/>
  <c r="Y59" i="67"/>
  <c r="AF59" i="67" s="1"/>
  <c r="U143" i="67"/>
  <c r="Y53" i="67"/>
  <c r="AF53" i="67" s="1"/>
  <c r="G53" i="67"/>
  <c r="W59" i="67"/>
  <c r="AD59" i="67" s="1"/>
  <c r="Z137" i="67"/>
  <c r="AG137" i="67" s="1"/>
  <c r="W58" i="67"/>
  <c r="AD58" i="67" s="1"/>
  <c r="W129" i="67"/>
  <c r="AD129" i="67" s="1"/>
  <c r="X59" i="67"/>
  <c r="AE59" i="67" s="1"/>
  <c r="G58" i="67"/>
  <c r="W103" i="67"/>
  <c r="AD103" i="67" s="1"/>
  <c r="X129" i="67"/>
  <c r="AE129" i="67" s="1"/>
  <c r="Y103" i="67"/>
  <c r="AF103" i="67" s="1"/>
  <c r="X131" i="67"/>
  <c r="AE131" i="67" s="1"/>
  <c r="V130" i="67"/>
  <c r="W104" i="67"/>
  <c r="AD104" i="67" s="1"/>
  <c r="X65" i="67"/>
  <c r="AE65" i="67" s="1"/>
  <c r="X53" i="67"/>
  <c r="AE53" i="67" s="1"/>
  <c r="W65" i="67"/>
  <c r="AD65" i="67" s="1"/>
  <c r="G71" i="67"/>
  <c r="Y57" i="67"/>
  <c r="AF57" i="67" s="1"/>
  <c r="V53" i="67"/>
  <c r="Y65" i="67"/>
  <c r="AF65" i="67" s="1"/>
  <c r="Y30" i="67"/>
  <c r="AF30" i="67" s="1"/>
  <c r="Z69" i="67"/>
  <c r="AG69" i="67" s="1"/>
  <c r="Z125" i="67"/>
  <c r="AG125" i="67" s="1"/>
  <c r="Z104" i="67"/>
  <c r="AG104" i="67" s="1"/>
  <c r="AI32" i="67"/>
  <c r="V32" i="67"/>
  <c r="Z58" i="67"/>
  <c r="AG58" i="67" s="1"/>
  <c r="Y130" i="67"/>
  <c r="AF130" i="67" s="1"/>
  <c r="X124" i="67"/>
  <c r="AE124" i="67" s="1"/>
  <c r="G59" i="67"/>
  <c r="G51" i="67"/>
  <c r="U123" i="67"/>
  <c r="V143" i="67"/>
  <c r="Z130" i="67"/>
  <c r="AG130" i="67" s="1"/>
  <c r="Y52" i="67"/>
  <c r="AF52" i="67" s="1"/>
  <c r="Y137" i="67"/>
  <c r="AF137" i="67" s="1"/>
  <c r="X32" i="67"/>
  <c r="AE32" i="67" s="1"/>
  <c r="W130" i="67"/>
  <c r="AD130" i="67" s="1"/>
  <c r="X69" i="67"/>
  <c r="AE69" i="67" s="1"/>
  <c r="G52" i="67"/>
  <c r="U129" i="67"/>
  <c r="V123" i="67"/>
  <c r="N71" i="67"/>
  <c r="AI71" i="67" s="1"/>
  <c r="W123" i="67"/>
  <c r="AD123" i="67" s="1"/>
  <c r="Z131" i="67"/>
  <c r="AG131" i="67" s="1"/>
  <c r="N57" i="67"/>
  <c r="AI57" i="67" s="1"/>
  <c r="N56" i="67"/>
  <c r="V57" i="67"/>
  <c r="V137" i="67"/>
  <c r="V51" i="67"/>
  <c r="V65" i="67"/>
  <c r="Y104" i="67"/>
  <c r="AF104" i="67" s="1"/>
  <c r="AI29" i="67"/>
  <c r="X57" i="67"/>
  <c r="AE57" i="67" s="1"/>
  <c r="W69" i="67"/>
  <c r="AD69" i="67" s="1"/>
  <c r="G57" i="67"/>
  <c r="X66" i="67"/>
  <c r="AE66" i="67" s="1"/>
  <c r="Z124" i="67"/>
  <c r="AG124" i="67" s="1"/>
  <c r="W71" i="67"/>
  <c r="AD71" i="67" s="1"/>
  <c r="Y66" i="67"/>
  <c r="AF66" i="67" s="1"/>
  <c r="N31" i="67"/>
  <c r="AI31" i="67" s="1"/>
  <c r="Z59" i="67"/>
  <c r="AG59" i="67" s="1"/>
  <c r="Z57" i="67"/>
  <c r="AG57" i="67" s="1"/>
  <c r="AI66" i="67"/>
  <c r="X31" i="67"/>
  <c r="AE31" i="67" s="1"/>
  <c r="W138" i="67"/>
  <c r="AD138" i="67" s="1"/>
  <c r="Z65" i="67"/>
  <c r="AG65" i="67" s="1"/>
  <c r="V131" i="67"/>
  <c r="W53" i="67"/>
  <c r="AD53" i="67" s="1"/>
  <c r="W32" i="67"/>
  <c r="AD32" i="67" s="1"/>
  <c r="Y58" i="67"/>
  <c r="AF58" i="67" s="1"/>
  <c r="Y125" i="67"/>
  <c r="AF125" i="67" s="1"/>
  <c r="Y32" i="67"/>
  <c r="AF32" i="67" s="1"/>
  <c r="Y123" i="67"/>
  <c r="AF123" i="67" s="1"/>
  <c r="V129" i="67"/>
  <c r="U137" i="67"/>
  <c r="Y71" i="67"/>
  <c r="AF71" i="67" s="1"/>
  <c r="Z31" i="67"/>
  <c r="AG31" i="67" s="1"/>
  <c r="V58" i="67"/>
  <c r="N58" i="67"/>
  <c r="AI58" i="67" s="1"/>
  <c r="Y131" i="67"/>
  <c r="AF131" i="67" s="1"/>
  <c r="Z71" i="67"/>
  <c r="AG71" i="67" s="1"/>
  <c r="Z30" i="67"/>
  <c r="Z32" i="67"/>
  <c r="AG32" i="67" s="1"/>
  <c r="W131" i="67"/>
  <c r="AD131" i="67" s="1"/>
  <c r="X58" i="67"/>
  <c r="AE58" i="67" s="1"/>
  <c r="G56" i="67"/>
  <c r="V66" i="67"/>
  <c r="AI69" i="67"/>
  <c r="N59" i="67"/>
  <c r="AI59" i="67" s="1"/>
  <c r="G30" i="67" l="1"/>
  <c r="G29" i="67"/>
  <c r="F14" i="74" s="1" a="1"/>
  <c r="F14" i="74" s="1"/>
  <c r="G61" i="67"/>
  <c r="U61" i="67" s="1"/>
  <c r="Y61" i="67"/>
  <c r="AF61" i="67" s="1"/>
  <c r="L73" i="67"/>
  <c r="L25" i="67" s="1"/>
  <c r="K73" i="67"/>
  <c r="K25" i="67" s="1"/>
  <c r="J73" i="67"/>
  <c r="I73" i="67"/>
  <c r="I25" i="67" s="1"/>
  <c r="G62" i="67"/>
  <c r="V62" i="67"/>
  <c r="AG30" i="67"/>
  <c r="AI65" i="67"/>
  <c r="G31" i="74" a="1"/>
  <c r="G31" i="74" s="1"/>
  <c r="AI53" i="67"/>
  <c r="G26" i="74" a="1"/>
  <c r="G26" i="74" s="1"/>
  <c r="G36" i="74" a="1"/>
  <c r="G36" i="74" s="1"/>
  <c r="AI52" i="67"/>
  <c r="G25" i="74" a="1"/>
  <c r="G25" i="74" s="1"/>
  <c r="AI56" i="67"/>
  <c r="G27" i="74" a="1"/>
  <c r="G27" i="74" s="1"/>
  <c r="F25" i="74" a="1"/>
  <c r="F25" i="74" s="1"/>
  <c r="F27" i="74" a="1"/>
  <c r="F27" i="74" s="1"/>
  <c r="F24" i="74" a="1"/>
  <c r="F24" i="74" s="1"/>
  <c r="M24" i="74" s="1"/>
  <c r="F36" i="74" a="1"/>
  <c r="F36" i="74" s="1"/>
  <c r="F26" i="74" a="1"/>
  <c r="F26" i="74" s="1"/>
  <c r="AK63" i="67"/>
  <c r="AK73" i="67" s="1"/>
  <c r="P25" i="67"/>
  <c r="AK25" i="67" s="1"/>
  <c r="AN63" i="67"/>
  <c r="AN73" i="67" s="1"/>
  <c r="S25" i="67"/>
  <c r="AN25" i="67" s="1"/>
  <c r="AL63" i="67"/>
  <c r="AL73" i="67" s="1"/>
  <c r="Q25" i="67"/>
  <c r="AL25" i="67" s="1"/>
  <c r="H104" i="63"/>
  <c r="G70" i="51" a="1"/>
  <c r="G70" i="51" s="1"/>
  <c r="H108" i="63"/>
  <c r="Q37" i="51" a="1"/>
  <c r="Q37" i="51" s="1"/>
  <c r="H102" i="63"/>
  <c r="G69" i="51" a="1"/>
  <c r="G69" i="51" s="1"/>
  <c r="H107" i="63"/>
  <c r="G72" i="51" a="1"/>
  <c r="G72" i="51" s="1"/>
  <c r="H103" i="63"/>
  <c r="Q34" i="51" a="1"/>
  <c r="Q34" i="51" s="1"/>
  <c r="H102" i="67" s="1" a="1"/>
  <c r="H102" i="67" s="1"/>
  <c r="Q38" i="51" a="1"/>
  <c r="Q38" i="51" s="1"/>
  <c r="H110" i="63"/>
  <c r="H109" i="63"/>
  <c r="G73" i="51" a="1"/>
  <c r="G73" i="51" s="1"/>
  <c r="H105" i="63"/>
  <c r="Q35" i="51" a="1"/>
  <c r="Q35" i="51" s="1"/>
  <c r="H103" i="67" s="1" a="1"/>
  <c r="H103" i="67" s="1"/>
  <c r="H106" i="63"/>
  <c r="G74" i="51" a="1"/>
  <c r="G74" i="51" s="1"/>
  <c r="AJ63" i="67"/>
  <c r="AJ73" i="67" s="1"/>
  <c r="R25" i="67"/>
  <c r="AM25" i="67" s="1"/>
  <c r="AM63" i="67"/>
  <c r="AM73" i="67" s="1"/>
  <c r="O25" i="67"/>
  <c r="AE102" i="67"/>
  <c r="AF102" i="67"/>
  <c r="AD102" i="67"/>
  <c r="H24" i="67"/>
  <c r="H21" i="67" s="1"/>
  <c r="U53" i="67"/>
  <c r="U52" i="67"/>
  <c r="W63" i="67"/>
  <c r="AD63" i="67" s="1"/>
  <c r="U131" i="67"/>
  <c r="U69" i="67"/>
  <c r="Z63" i="67"/>
  <c r="AG63" i="67" s="1"/>
  <c r="X63" i="67"/>
  <c r="AE63" i="67" s="1"/>
  <c r="U65" i="67"/>
  <c r="U71" i="67"/>
  <c r="Z133" i="67"/>
  <c r="AG133" i="67" s="1"/>
  <c r="U59" i="67"/>
  <c r="U141" i="67"/>
  <c r="W133" i="67"/>
  <c r="AD133" i="67" s="1"/>
  <c r="U58" i="67"/>
  <c r="U125" i="67"/>
  <c r="U57" i="67"/>
  <c r="U104" i="67"/>
  <c r="U51" i="67"/>
  <c r="U128" i="67"/>
  <c r="X133" i="67"/>
  <c r="AE133" i="67" s="1"/>
  <c r="U124" i="67"/>
  <c r="V133" i="67"/>
  <c r="U56" i="67"/>
  <c r="U130" i="67"/>
  <c r="G63" i="67"/>
  <c r="F30" i="74" s="1" a="1"/>
  <c r="F30" i="74" s="1"/>
  <c r="M30" i="74" s="1"/>
  <c r="Y133" i="67"/>
  <c r="AF133" i="67" s="1"/>
  <c r="U32" i="67"/>
  <c r="Y63" i="67"/>
  <c r="AF63" i="67" s="1"/>
  <c r="U66" i="67"/>
  <c r="V63" i="67"/>
  <c r="U138" i="67"/>
  <c r="G101" i="67" l="1"/>
  <c r="F54" i="74" s="1" a="1"/>
  <c r="F54" i="74" s="1"/>
  <c r="I54" i="74" s="1"/>
  <c r="M14" i="74"/>
  <c r="I14" i="74"/>
  <c r="J14" i="74"/>
  <c r="J25" i="67"/>
  <c r="J24" i="67" s="1"/>
  <c r="J21" i="67" s="1"/>
  <c r="J22" i="67" s="1"/>
  <c r="M36" i="74"/>
  <c r="M26" i="74"/>
  <c r="M27" i="74"/>
  <c r="M25" i="74"/>
  <c r="M31" i="74"/>
  <c r="I30" i="74"/>
  <c r="J30" i="74"/>
  <c r="U62" i="67"/>
  <c r="F29" i="74" a="1"/>
  <c r="F29" i="74" s="1"/>
  <c r="M29" i="74" s="1"/>
  <c r="AI73" i="67"/>
  <c r="I26" i="74"/>
  <c r="J26" i="74"/>
  <c r="I36" i="74"/>
  <c r="J36" i="74"/>
  <c r="I24" i="74"/>
  <c r="J24" i="74"/>
  <c r="I25" i="74"/>
  <c r="J25" i="74"/>
  <c r="I27" i="74"/>
  <c r="J27" i="74"/>
  <c r="AI63" i="67"/>
  <c r="G28" i="74" a="1"/>
  <c r="G28" i="74" s="1"/>
  <c r="F28" i="74" a="1"/>
  <c r="F28" i="74" s="1"/>
  <c r="I24" i="67"/>
  <c r="I21" i="67" s="1"/>
  <c r="I22" i="67" s="1"/>
  <c r="Q73" i="51" a="1"/>
  <c r="Q73" i="51" s="1"/>
  <c r="Q15" i="51" a="1"/>
  <c r="Q15" i="51" s="1"/>
  <c r="G14" i="51" a="1"/>
  <c r="G14" i="51" s="1"/>
  <c r="Q72" i="51" a="1"/>
  <c r="Q72" i="51" s="1"/>
  <c r="Q14" i="51" a="1"/>
  <c r="Q14" i="51" s="1"/>
  <c r="Q70" i="51" a="1"/>
  <c r="Q70" i="51" s="1"/>
  <c r="D101" i="53" a="1"/>
  <c r="D101" i="53" s="1"/>
  <c r="Q11" i="51" a="1"/>
  <c r="Q11" i="51" s="1"/>
  <c r="G15" i="51" a="1"/>
  <c r="G15" i="51" s="1"/>
  <c r="D100" i="52" a="1"/>
  <c r="D100" i="52" s="1"/>
  <c r="G10" i="51" a="1"/>
  <c r="G10" i="51" s="1"/>
  <c r="D67" i="52"/>
  <c r="I67" i="52" s="1"/>
  <c r="K35" i="52" s="1"/>
  <c r="K41" i="52" s="1"/>
  <c r="D101" i="52" a="1"/>
  <c r="D101" i="52" s="1"/>
  <c r="G11" i="51" a="1"/>
  <c r="G11" i="51" s="1"/>
  <c r="G16" i="51" a="1"/>
  <c r="G16" i="51" s="1"/>
  <c r="D100" i="53" a="1"/>
  <c r="D100" i="53" s="1"/>
  <c r="Q69" i="51" a="1"/>
  <c r="Q69" i="51" s="1"/>
  <c r="Q10" i="51" a="1"/>
  <c r="Q10" i="51" s="1"/>
  <c r="D67" i="53"/>
  <c r="D3" i="63"/>
  <c r="D23" i="25" s="1"/>
  <c r="N25" i="67"/>
  <c r="Y73" i="67"/>
  <c r="AF73" i="67" s="1"/>
  <c r="O24" i="67"/>
  <c r="O21" i="67" s="1"/>
  <c r="AJ25" i="67"/>
  <c r="R24" i="67"/>
  <c r="G96" i="67"/>
  <c r="L24" i="67"/>
  <c r="L21" i="67" s="1"/>
  <c r="L22" i="67" s="1"/>
  <c r="U63" i="67"/>
  <c r="Z145" i="67"/>
  <c r="Z97" i="67"/>
  <c r="AG97" i="67" s="1"/>
  <c r="Y97" i="67"/>
  <c r="AF97" i="67" s="1"/>
  <c r="Y145" i="67"/>
  <c r="K24" i="67"/>
  <c r="K21" i="67" s="1"/>
  <c r="K22" i="67" s="1"/>
  <c r="W97" i="67"/>
  <c r="AD97" i="67" s="1"/>
  <c r="W145" i="67"/>
  <c r="G73" i="67"/>
  <c r="Z25" i="67"/>
  <c r="AG25" i="67" s="1"/>
  <c r="Z73" i="67"/>
  <c r="AG73" i="67" s="1"/>
  <c r="X97" i="67"/>
  <c r="AE97" i="67" s="1"/>
  <c r="X145" i="67"/>
  <c r="N73" i="67"/>
  <c r="V73" i="67"/>
  <c r="V145" i="67"/>
  <c r="W25" i="67"/>
  <c r="AD25" i="67" s="1"/>
  <c r="W73" i="67"/>
  <c r="AD73" i="67" s="1"/>
  <c r="X73" i="67"/>
  <c r="AE73" i="67" s="1"/>
  <c r="U133" i="67"/>
  <c r="Y25" i="67"/>
  <c r="AF25" i="67" s="1"/>
  <c r="X25" i="67" l="1"/>
  <c r="AE25" i="67" s="1"/>
  <c r="N54" i="74"/>
  <c r="M54" i="74"/>
  <c r="M28" i="74"/>
  <c r="E38" i="52"/>
  <c r="D38" i="52"/>
  <c r="F38" i="52"/>
  <c r="H38" i="52"/>
  <c r="I38" i="52"/>
  <c r="J38" i="52"/>
  <c r="K38" i="52"/>
  <c r="M12" i="50"/>
  <c r="M11" i="50"/>
  <c r="M13" i="50"/>
  <c r="E12" i="50"/>
  <c r="E11" i="50"/>
  <c r="E13" i="50"/>
  <c r="I29" i="74"/>
  <c r="J29" i="74"/>
  <c r="I28" i="74"/>
  <c r="J28" i="74"/>
  <c r="F77" i="74" a="1"/>
  <c r="F77" i="74" s="1"/>
  <c r="E51" i="74"/>
  <c r="AI25" i="67"/>
  <c r="G38" i="74" a="1"/>
  <c r="G38" i="74" s="1"/>
  <c r="D63" i="52"/>
  <c r="I67" i="53"/>
  <c r="D63" i="53"/>
  <c r="I63" i="53" s="1"/>
  <c r="G35" i="53" s="1"/>
  <c r="G103" i="67"/>
  <c r="U103" i="67" s="1"/>
  <c r="V103" i="67"/>
  <c r="H20" i="67"/>
  <c r="U30" i="67"/>
  <c r="V30" i="67"/>
  <c r="I168" i="70"/>
  <c r="G49" i="51"/>
  <c r="I168" i="73"/>
  <c r="I217" i="73" s="1"/>
  <c r="H98" i="55"/>
  <c r="H131" i="55" s="1"/>
  <c r="V31" i="67"/>
  <c r="I164" i="70"/>
  <c r="G45" i="51"/>
  <c r="H94" i="55"/>
  <c r="H127" i="55" s="1"/>
  <c r="I164" i="73"/>
  <c r="I213" i="73" s="1"/>
  <c r="H92" i="67"/>
  <c r="I165" i="70"/>
  <c r="I165" i="73"/>
  <c r="I214" i="73" s="1"/>
  <c r="G46" i="51"/>
  <c r="H95" i="55"/>
  <c r="H128" i="55" s="1"/>
  <c r="I169" i="70"/>
  <c r="I169" i="73"/>
  <c r="I218" i="73" s="1"/>
  <c r="G50" i="51"/>
  <c r="H99" i="55"/>
  <c r="H132" i="55" s="1"/>
  <c r="I177" i="73"/>
  <c r="I226" i="73" s="1"/>
  <c r="Q50" i="51"/>
  <c r="I177" i="70"/>
  <c r="H107" i="55"/>
  <c r="H140" i="55" s="1"/>
  <c r="I170" i="70"/>
  <c r="G51" i="51"/>
  <c r="I170" i="73"/>
  <c r="I219" i="73" s="1"/>
  <c r="H100" i="55"/>
  <c r="H133" i="55" s="1"/>
  <c r="I172" i="73"/>
  <c r="I221" i="73" s="1"/>
  <c r="Q45" i="51"/>
  <c r="I172" i="70"/>
  <c r="H102" i="55"/>
  <c r="H135" i="55" s="1"/>
  <c r="U101" i="67"/>
  <c r="G102" i="67"/>
  <c r="U102" i="67" s="1"/>
  <c r="H93" i="67"/>
  <c r="V102" i="67"/>
  <c r="I173" i="73"/>
  <c r="I222" i="73" s="1"/>
  <c r="Q46" i="51"/>
  <c r="I173" i="70"/>
  <c r="H103" i="55"/>
  <c r="H136" i="55" s="1"/>
  <c r="Q49" i="51"/>
  <c r="H106" i="55"/>
  <c r="H139" i="55" s="1"/>
  <c r="I176" i="73"/>
  <c r="I225" i="73" s="1"/>
  <c r="I176" i="70"/>
  <c r="R21" i="67"/>
  <c r="R22" i="67" s="1"/>
  <c r="AM24" i="67"/>
  <c r="AM21" i="67" s="1"/>
  <c r="AM22" i="67" s="1"/>
  <c r="O22" i="67"/>
  <c r="AJ24" i="67"/>
  <c r="AJ21" i="67" s="1"/>
  <c r="AJ22" i="67" s="1"/>
  <c r="P24" i="67"/>
  <c r="S24" i="67"/>
  <c r="AN24" i="67" s="1"/>
  <c r="AN21" i="67" s="1"/>
  <c r="AN22" i="67" s="1"/>
  <c r="W96" i="67"/>
  <c r="V25" i="67"/>
  <c r="Y24" i="67"/>
  <c r="Y21" i="67" s="1"/>
  <c r="Y22" i="67" s="1"/>
  <c r="G24" i="67"/>
  <c r="V24" i="67"/>
  <c r="Q24" i="67"/>
  <c r="V97" i="67"/>
  <c r="U97" i="67"/>
  <c r="U73" i="67"/>
  <c r="Y96" i="67"/>
  <c r="G25" i="67"/>
  <c r="N77" i="74" l="1"/>
  <c r="M77" i="74"/>
  <c r="K35" i="53"/>
  <c r="K39" i="53" s="1"/>
  <c r="M17" i="50"/>
  <c r="M38" i="50"/>
  <c r="E16" i="50"/>
  <c r="E37" i="50"/>
  <c r="E17" i="50"/>
  <c r="E38" i="50"/>
  <c r="M15" i="50"/>
  <c r="M36" i="50"/>
  <c r="E15" i="50"/>
  <c r="E36" i="50"/>
  <c r="M16" i="50"/>
  <c r="M37" i="50"/>
  <c r="AC139" i="67"/>
  <c r="AC140" i="67"/>
  <c r="AC134" i="67"/>
  <c r="AC135" i="67"/>
  <c r="J53" i="74"/>
  <c r="J69" i="74"/>
  <c r="J70" i="74"/>
  <c r="AC48" i="67"/>
  <c r="AC67" i="67"/>
  <c r="AC73" i="67"/>
  <c r="AC68" i="67"/>
  <c r="AC61" i="67"/>
  <c r="AC62" i="67"/>
  <c r="F3" i="51"/>
  <c r="D25" i="25" s="1"/>
  <c r="D37" i="52"/>
  <c r="M34" i="53"/>
  <c r="J77" i="74"/>
  <c r="I77" i="74"/>
  <c r="J60" i="74"/>
  <c r="J73" i="74"/>
  <c r="J72" i="74"/>
  <c r="J67" i="74"/>
  <c r="J61" i="74"/>
  <c r="J74" i="74"/>
  <c r="J75" i="74"/>
  <c r="J57" i="74"/>
  <c r="J65" i="74"/>
  <c r="J54" i="74"/>
  <c r="J64" i="74"/>
  <c r="J66" i="74"/>
  <c r="J76" i="74"/>
  <c r="J63" i="74"/>
  <c r="J58" i="74"/>
  <c r="J62" i="74"/>
  <c r="J55" i="74"/>
  <c r="J59" i="74"/>
  <c r="J56" i="74"/>
  <c r="J71" i="74"/>
  <c r="J68" i="74"/>
  <c r="J78" i="74"/>
  <c r="F51" i="74"/>
  <c r="F37" i="74" a="1"/>
  <c r="F37" i="74" s="1"/>
  <c r="G21" i="67"/>
  <c r="F38" i="74" a="1"/>
  <c r="F38" i="74" s="1"/>
  <c r="M38" i="74" s="1"/>
  <c r="U31" i="67"/>
  <c r="U29" i="67"/>
  <c r="L41" i="52"/>
  <c r="D65" i="53"/>
  <c r="I65" i="53" s="1"/>
  <c r="AC97" i="67"/>
  <c r="H94" i="67"/>
  <c r="AC102" i="67"/>
  <c r="AC25" i="67"/>
  <c r="H22" i="67"/>
  <c r="F12" i="55"/>
  <c r="N12" i="55" s="1"/>
  <c r="F12" i="73"/>
  <c r="M12" i="73" s="1"/>
  <c r="F9" i="55"/>
  <c r="K9" i="55" s="1"/>
  <c r="K25" i="55" s="1"/>
  <c r="K33" i="55" s="1"/>
  <c r="Q172" i="70"/>
  <c r="I205" i="70"/>
  <c r="Q170" i="70"/>
  <c r="I203" i="70"/>
  <c r="D37" i="53"/>
  <c r="I37" i="53"/>
  <c r="E37" i="53"/>
  <c r="J37" i="53"/>
  <c r="F37" i="53"/>
  <c r="K37" i="53"/>
  <c r="H37" i="53"/>
  <c r="Q164" i="70"/>
  <c r="I197" i="70"/>
  <c r="AC46" i="67"/>
  <c r="G20" i="67"/>
  <c r="AC40" i="67"/>
  <c r="AC27" i="67"/>
  <c r="AC29" i="67"/>
  <c r="AC35" i="67"/>
  <c r="V20" i="67"/>
  <c r="AC20" i="67" s="1"/>
  <c r="AC37" i="67"/>
  <c r="AC45" i="67"/>
  <c r="AC56" i="67"/>
  <c r="AC38" i="67"/>
  <c r="AC42" i="67"/>
  <c r="AC43" i="67"/>
  <c r="AC39" i="67"/>
  <c r="AC66" i="67"/>
  <c r="AC51" i="67"/>
  <c r="AC69" i="67"/>
  <c r="AC57" i="67"/>
  <c r="AC53" i="67"/>
  <c r="AC32" i="67"/>
  <c r="AC52" i="67"/>
  <c r="AC59" i="67"/>
  <c r="AC65" i="67"/>
  <c r="AC71" i="67"/>
  <c r="AC58" i="67"/>
  <c r="AC63" i="67"/>
  <c r="G92" i="67"/>
  <c r="AC101" i="67"/>
  <c r="AC114" i="67"/>
  <c r="AC118" i="67"/>
  <c r="AC115" i="67"/>
  <c r="AC112" i="67"/>
  <c r="AC128" i="67"/>
  <c r="AC117" i="67"/>
  <c r="AC99" i="67"/>
  <c r="AC110" i="67"/>
  <c r="AC111" i="67"/>
  <c r="AC109" i="67"/>
  <c r="AC107" i="67"/>
  <c r="V92" i="67"/>
  <c r="AC92" i="67" s="1"/>
  <c r="AC94" i="67" s="1"/>
  <c r="AC138" i="67"/>
  <c r="AC141" i="67"/>
  <c r="AC125" i="67"/>
  <c r="AC137" i="67"/>
  <c r="AC143" i="67"/>
  <c r="AC123" i="67"/>
  <c r="AC124" i="67"/>
  <c r="AC129" i="67"/>
  <c r="AC130" i="67"/>
  <c r="AC131" i="67"/>
  <c r="AC104" i="67"/>
  <c r="AC133" i="67"/>
  <c r="J37" i="52"/>
  <c r="K37" i="52"/>
  <c r="E37" i="52"/>
  <c r="H37" i="52"/>
  <c r="I37" i="52"/>
  <c r="F37" i="52"/>
  <c r="K39" i="52"/>
  <c r="F10" i="73"/>
  <c r="I210" i="70"/>
  <c r="Q177" i="70"/>
  <c r="I202" i="70"/>
  <c r="Q169" i="70"/>
  <c r="AC31" i="67"/>
  <c r="Q168" i="70"/>
  <c r="I201" i="70"/>
  <c r="F11" i="55"/>
  <c r="I63" i="52"/>
  <c r="G35" i="52" s="1"/>
  <c r="D65" i="52"/>
  <c r="I65" i="52" s="1"/>
  <c r="F11" i="73"/>
  <c r="G93" i="67"/>
  <c r="G39" i="53"/>
  <c r="G37" i="53"/>
  <c r="AC30" i="67"/>
  <c r="Q176" i="70"/>
  <c r="I209" i="70"/>
  <c r="F20" i="70" s="1"/>
  <c r="F9" i="73"/>
  <c r="AC103" i="67"/>
  <c r="I206" i="70"/>
  <c r="Q173" i="70"/>
  <c r="F10" i="55"/>
  <c r="I198" i="70"/>
  <c r="Q165" i="70"/>
  <c r="Q21" i="67"/>
  <c r="Q22" i="67" s="1"/>
  <c r="AL24" i="67"/>
  <c r="AL21" i="67" s="1"/>
  <c r="AL22" i="67" s="1"/>
  <c r="P21" i="67"/>
  <c r="P22" i="67" s="1"/>
  <c r="AK24" i="67"/>
  <c r="AK21" i="67" s="1"/>
  <c r="AK22" i="67" s="1"/>
  <c r="V21" i="67"/>
  <c r="AF96" i="67"/>
  <c r="Y93" i="67"/>
  <c r="Y94" i="67" s="1"/>
  <c r="AD96" i="67"/>
  <c r="W93" i="67"/>
  <c r="W94" i="67" s="1"/>
  <c r="Z24" i="67"/>
  <c r="S21" i="67"/>
  <c r="S22" i="67" s="1"/>
  <c r="W24" i="67"/>
  <c r="W21" i="67" s="1"/>
  <c r="W22" i="67" s="1"/>
  <c r="N24" i="67"/>
  <c r="AF24" i="67"/>
  <c r="AF21" i="67" s="1"/>
  <c r="AF22" i="67" s="1"/>
  <c r="U25" i="67"/>
  <c r="Z96" i="67"/>
  <c r="X96" i="67"/>
  <c r="V96" i="67"/>
  <c r="X24" i="67"/>
  <c r="X21" i="67" s="1"/>
  <c r="X22" i="67" s="1"/>
  <c r="AC24" i="67"/>
  <c r="N51" i="74" l="1"/>
  <c r="M51" i="74"/>
  <c r="F19" i="70"/>
  <c r="K19" i="70" s="1"/>
  <c r="G38" i="52"/>
  <c r="M35" i="52"/>
  <c r="G3" i="52" s="1"/>
  <c r="E29" i="25" s="1"/>
  <c r="H38" i="53"/>
  <c r="D38" i="53"/>
  <c r="K38" i="53"/>
  <c r="J38" i="53"/>
  <c r="I38" i="53"/>
  <c r="E38" i="53"/>
  <c r="M35" i="53"/>
  <c r="G3" i="53" s="1"/>
  <c r="E31" i="25" s="1"/>
  <c r="F38" i="53"/>
  <c r="G38" i="53"/>
  <c r="F17" i="70"/>
  <c r="K17" i="70" s="1"/>
  <c r="F18" i="70"/>
  <c r="F20" i="72"/>
  <c r="N20" i="70"/>
  <c r="F149" i="70"/>
  <c r="K20" i="70"/>
  <c r="M20" i="70"/>
  <c r="K72" i="74"/>
  <c r="K54" i="74"/>
  <c r="K61" i="74"/>
  <c r="K57" i="74"/>
  <c r="K59" i="74"/>
  <c r="K62" i="74"/>
  <c r="K65" i="74"/>
  <c r="K67" i="74"/>
  <c r="K70" i="74"/>
  <c r="K55" i="74"/>
  <c r="K73" i="74"/>
  <c r="K75" i="74"/>
  <c r="K69" i="74"/>
  <c r="K63" i="74"/>
  <c r="K77" i="74"/>
  <c r="K71" i="74"/>
  <c r="K58" i="74"/>
  <c r="K60" i="74"/>
  <c r="K56" i="74"/>
  <c r="K66" i="74"/>
  <c r="K68" i="74"/>
  <c r="K64" i="74"/>
  <c r="K74" i="74"/>
  <c r="K76" i="74"/>
  <c r="K78" i="74"/>
  <c r="AB139" i="67"/>
  <c r="AB134" i="67"/>
  <c r="AB135" i="67"/>
  <c r="O70" i="74"/>
  <c r="O69" i="74"/>
  <c r="AC21" i="67"/>
  <c r="AC22" i="67" s="1"/>
  <c r="Z21" i="67"/>
  <c r="Z22" i="67" s="1"/>
  <c r="AB46" i="67"/>
  <c r="AB67" i="67"/>
  <c r="AB73" i="67"/>
  <c r="AB48" i="67"/>
  <c r="AB61" i="67"/>
  <c r="AB62" i="67"/>
  <c r="O57" i="74"/>
  <c r="O62" i="74"/>
  <c r="O53" i="74"/>
  <c r="O74" i="74"/>
  <c r="O77" i="74"/>
  <c r="O75" i="74"/>
  <c r="O76" i="74"/>
  <c r="O56" i="74"/>
  <c r="O73" i="74"/>
  <c r="O66" i="74"/>
  <c r="O55" i="74"/>
  <c r="O72" i="74"/>
  <c r="O65" i="74"/>
  <c r="O78" i="74"/>
  <c r="O64" i="74"/>
  <c r="O59" i="74"/>
  <c r="O60" i="74"/>
  <c r="O58" i="74"/>
  <c r="O68" i="74"/>
  <c r="O54" i="74"/>
  <c r="O67" i="74"/>
  <c r="O71" i="74"/>
  <c r="O63" i="74"/>
  <c r="O61" i="74"/>
  <c r="K53" i="74"/>
  <c r="I37" i="74"/>
  <c r="J37" i="74"/>
  <c r="I51" i="74"/>
  <c r="J51" i="74"/>
  <c r="I38" i="74"/>
  <c r="J38" i="74"/>
  <c r="T52" i="74"/>
  <c r="T53" i="74"/>
  <c r="T50" i="74"/>
  <c r="T54" i="74"/>
  <c r="T51" i="74"/>
  <c r="F11" i="74"/>
  <c r="N21" i="67"/>
  <c r="N22" i="67" s="1"/>
  <c r="F3" i="67" s="1"/>
  <c r="G37" i="74" a="1"/>
  <c r="G37" i="74" s="1"/>
  <c r="U20" i="67"/>
  <c r="AB20" i="67" s="1"/>
  <c r="AB68" i="67"/>
  <c r="U92" i="67"/>
  <c r="AB92" i="67" s="1"/>
  <c r="AB94" i="67" s="1"/>
  <c r="AB140" i="67"/>
  <c r="AB133" i="67"/>
  <c r="AB101" i="67"/>
  <c r="AB31" i="67"/>
  <c r="D69" i="53"/>
  <c r="F3" i="53" s="1"/>
  <c r="D31" i="25" s="1"/>
  <c r="AB103" i="67"/>
  <c r="N12" i="73"/>
  <c r="O12" i="73" s="1"/>
  <c r="V22" i="67"/>
  <c r="F28" i="73"/>
  <c r="F36" i="73" s="1"/>
  <c r="AB97" i="67"/>
  <c r="AB102" i="67"/>
  <c r="K12" i="73"/>
  <c r="Y149" i="73" s="1"/>
  <c r="E149" i="73"/>
  <c r="F151" i="73" s="1"/>
  <c r="M12" i="55"/>
  <c r="O12" i="55" s="1"/>
  <c r="F28" i="55"/>
  <c r="F36" i="55" s="1"/>
  <c r="K12" i="55"/>
  <c r="K28" i="55" s="1"/>
  <c r="K36" i="55" s="1"/>
  <c r="F25" i="55"/>
  <c r="F33" i="55" s="1"/>
  <c r="F13" i="55"/>
  <c r="N13" i="55" s="1"/>
  <c r="M9" i="55"/>
  <c r="G94" i="67"/>
  <c r="F9" i="70"/>
  <c r="Q9" i="70" s="1"/>
  <c r="D84" i="55"/>
  <c r="F86" i="55" s="1"/>
  <c r="N9" i="55"/>
  <c r="F11" i="70"/>
  <c r="G22" i="67"/>
  <c r="AB25" i="67"/>
  <c r="AB29" i="67"/>
  <c r="G3" i="50"/>
  <c r="D27" i="25" s="1"/>
  <c r="F12" i="70"/>
  <c r="F10" i="70"/>
  <c r="D69" i="52"/>
  <c r="AB27" i="67"/>
  <c r="AB39" i="67"/>
  <c r="AB37" i="67"/>
  <c r="AB42" i="67"/>
  <c r="AB40" i="67"/>
  <c r="AB45" i="67"/>
  <c r="AB43" i="67"/>
  <c r="AB35" i="67"/>
  <c r="AB38" i="67"/>
  <c r="AB59" i="67"/>
  <c r="AB52" i="67"/>
  <c r="AB66" i="67"/>
  <c r="AB56" i="67"/>
  <c r="AB71" i="67"/>
  <c r="AB65" i="67"/>
  <c r="AB32" i="67"/>
  <c r="AB51" i="67"/>
  <c r="AB53" i="67"/>
  <c r="AB69" i="67"/>
  <c r="AB58" i="67"/>
  <c r="AB57" i="67"/>
  <c r="AB63" i="67"/>
  <c r="F27" i="55"/>
  <c r="N11" i="55"/>
  <c r="M11" i="55"/>
  <c r="K11" i="55"/>
  <c r="K27" i="55" s="1"/>
  <c r="K35" i="55" s="1"/>
  <c r="AB99" i="67"/>
  <c r="AB115" i="67"/>
  <c r="AB117" i="67"/>
  <c r="AB109" i="67"/>
  <c r="AB110" i="67"/>
  <c r="AB118" i="67"/>
  <c r="AB114" i="67"/>
  <c r="AB112" i="67"/>
  <c r="AB111" i="67"/>
  <c r="AB107" i="67"/>
  <c r="AB143" i="67"/>
  <c r="AB129" i="67"/>
  <c r="AB137" i="67"/>
  <c r="AB123" i="67"/>
  <c r="AB138" i="67"/>
  <c r="AB131" i="67"/>
  <c r="AB128" i="67"/>
  <c r="AB104" i="67"/>
  <c r="AB125" i="67"/>
  <c r="AB130" i="67"/>
  <c r="AB141" i="67"/>
  <c r="AB124" i="67"/>
  <c r="F13" i="73"/>
  <c r="N9" i="73"/>
  <c r="F25" i="73"/>
  <c r="K9" i="73"/>
  <c r="E140" i="73"/>
  <c r="M9" i="73"/>
  <c r="F27" i="73"/>
  <c r="E146" i="73"/>
  <c r="M11" i="73"/>
  <c r="K11" i="73"/>
  <c r="N11" i="73"/>
  <c r="E143" i="73"/>
  <c r="N10" i="73"/>
  <c r="M10" i="73"/>
  <c r="K10" i="73"/>
  <c r="F26" i="73"/>
  <c r="N10" i="55"/>
  <c r="K10" i="55"/>
  <c r="K26" i="55" s="1"/>
  <c r="K34" i="55" s="1"/>
  <c r="M10" i="55"/>
  <c r="F26" i="55"/>
  <c r="AB30" i="67"/>
  <c r="AI24" i="67"/>
  <c r="AC96" i="67"/>
  <c r="V93" i="67"/>
  <c r="V94" i="67" s="1"/>
  <c r="AG96" i="67"/>
  <c r="Z93" i="67"/>
  <c r="Z94" i="67" s="1"/>
  <c r="AE96" i="67"/>
  <c r="X93" i="67"/>
  <c r="X94" i="67" s="1"/>
  <c r="AG24" i="67"/>
  <c r="AG21" i="67" s="1"/>
  <c r="AG22" i="67" s="1"/>
  <c r="U24" i="67"/>
  <c r="AB24" i="67" s="1"/>
  <c r="AD24" i="67"/>
  <c r="AD21" i="67" s="1"/>
  <c r="AD22" i="67" s="1"/>
  <c r="U96" i="67"/>
  <c r="AE24" i="67"/>
  <c r="AE21" i="67" s="1"/>
  <c r="AE22" i="67" s="1"/>
  <c r="M37" i="74" l="1"/>
  <c r="O34" i="74" s="1"/>
  <c r="F19" i="72"/>
  <c r="F146" i="72" s="1"/>
  <c r="N19" i="70"/>
  <c r="M19" i="70"/>
  <c r="F146" i="70"/>
  <c r="Z146" i="70"/>
  <c r="J154" i="70" s="1"/>
  <c r="K19" i="72"/>
  <c r="Z146" i="72" s="1"/>
  <c r="J154" i="72" s="1"/>
  <c r="O20" i="70"/>
  <c r="M20" i="72"/>
  <c r="F149" i="72"/>
  <c r="N20" i="72"/>
  <c r="F140" i="70"/>
  <c r="N17" i="70"/>
  <c r="F17" i="72"/>
  <c r="F21" i="70"/>
  <c r="M17" i="70"/>
  <c r="K20" i="72"/>
  <c r="Z149" i="72" s="1"/>
  <c r="Z149" i="70"/>
  <c r="R154" i="70" s="1"/>
  <c r="M18" i="70"/>
  <c r="K18" i="70"/>
  <c r="F143" i="70"/>
  <c r="F18" i="72"/>
  <c r="N18" i="70"/>
  <c r="K38" i="74"/>
  <c r="K14" i="74"/>
  <c r="K23" i="74"/>
  <c r="K25" i="74"/>
  <c r="K30" i="74"/>
  <c r="K17" i="74"/>
  <c r="K22" i="74"/>
  <c r="K31" i="74"/>
  <c r="K33" i="74"/>
  <c r="K21" i="74"/>
  <c r="K16" i="74"/>
  <c r="K29" i="74"/>
  <c r="K19" i="74"/>
  <c r="K24" i="74"/>
  <c r="K18" i="74"/>
  <c r="K27" i="74"/>
  <c r="K32" i="74"/>
  <c r="K26" i="74"/>
  <c r="K28" i="74"/>
  <c r="K20" i="74"/>
  <c r="K34" i="74"/>
  <c r="K36" i="74"/>
  <c r="K37" i="74"/>
  <c r="K35" i="74"/>
  <c r="K15" i="74"/>
  <c r="M34" i="52"/>
  <c r="F3" i="52" s="1"/>
  <c r="D29" i="25" s="1"/>
  <c r="G39" i="52"/>
  <c r="AI21" i="67"/>
  <c r="AI22" i="67" s="1"/>
  <c r="AB21" i="67"/>
  <c r="AB22" i="67" s="1"/>
  <c r="K12" i="70"/>
  <c r="K12" i="72" s="1"/>
  <c r="F12" i="72"/>
  <c r="N12" i="72" s="1"/>
  <c r="F26" i="70"/>
  <c r="F34" i="70" s="1"/>
  <c r="F10" i="72"/>
  <c r="E143" i="72" s="1"/>
  <c r="N11" i="70"/>
  <c r="F11" i="72"/>
  <c r="M11" i="72" s="1"/>
  <c r="M9" i="70"/>
  <c r="F9" i="72"/>
  <c r="N9" i="72" s="1"/>
  <c r="X50" i="74"/>
  <c r="Y51" i="74"/>
  <c r="Y50" i="74"/>
  <c r="Y52" i="74"/>
  <c r="Y54" i="74"/>
  <c r="X53" i="74"/>
  <c r="Y53" i="74"/>
  <c r="W54" i="74"/>
  <c r="W50" i="74"/>
  <c r="W52" i="74"/>
  <c r="X51" i="74"/>
  <c r="W51" i="74"/>
  <c r="V59" i="74"/>
  <c r="W53" i="74"/>
  <c r="X54" i="74"/>
  <c r="X52" i="74"/>
  <c r="R51" i="74"/>
  <c r="I11" i="74"/>
  <c r="J11" i="74"/>
  <c r="S50" i="74"/>
  <c r="R50" i="74"/>
  <c r="R53" i="74"/>
  <c r="S53" i="74"/>
  <c r="R52" i="74"/>
  <c r="Q59" i="74"/>
  <c r="R54" i="74"/>
  <c r="S51" i="74"/>
  <c r="S54" i="74"/>
  <c r="S52" i="74"/>
  <c r="K13" i="74"/>
  <c r="G11" i="74"/>
  <c r="G37" i="52"/>
  <c r="K28" i="73"/>
  <c r="K36" i="73" s="1"/>
  <c r="Q36" i="73" s="1"/>
  <c r="T28" i="55"/>
  <c r="Q28" i="55"/>
  <c r="E3" i="67"/>
  <c r="S28" i="55"/>
  <c r="F85" i="55"/>
  <c r="O9" i="55"/>
  <c r="P25" i="55"/>
  <c r="S25" i="55"/>
  <c r="F150" i="73"/>
  <c r="M25" i="55"/>
  <c r="Q25" i="55"/>
  <c r="T25" i="55"/>
  <c r="N28" i="55"/>
  <c r="M28" i="55"/>
  <c r="M13" i="55"/>
  <c r="O13" i="55" s="1"/>
  <c r="P28" i="55"/>
  <c r="E86" i="55"/>
  <c r="E140" i="70"/>
  <c r="E85" i="55"/>
  <c r="N25" i="55"/>
  <c r="N9" i="70"/>
  <c r="F29" i="55"/>
  <c r="F37" i="55" s="1"/>
  <c r="K13" i="55"/>
  <c r="K29" i="55" s="1"/>
  <c r="K37" i="55" s="1"/>
  <c r="F13" i="70"/>
  <c r="F25" i="70"/>
  <c r="F33" i="70" s="1"/>
  <c r="M11" i="70"/>
  <c r="K9" i="70"/>
  <c r="K9" i="72" s="1"/>
  <c r="E146" i="70"/>
  <c r="K11" i="70"/>
  <c r="K11" i="72" s="1"/>
  <c r="F27" i="70"/>
  <c r="F35" i="70" s="1"/>
  <c r="O10" i="55"/>
  <c r="E149" i="70"/>
  <c r="F151" i="70" s="1"/>
  <c r="N10" i="70"/>
  <c r="E143" i="70"/>
  <c r="F28" i="70"/>
  <c r="F36" i="70" s="1"/>
  <c r="M10" i="70"/>
  <c r="M12" i="70"/>
  <c r="N12" i="70"/>
  <c r="K10" i="70"/>
  <c r="O9" i="73"/>
  <c r="O10" i="73"/>
  <c r="O11" i="73"/>
  <c r="F142" i="73"/>
  <c r="F141" i="73"/>
  <c r="N13" i="73"/>
  <c r="F29" i="73"/>
  <c r="K13" i="73"/>
  <c r="K29" i="73" s="1"/>
  <c r="K37" i="73" s="1"/>
  <c r="M13" i="73"/>
  <c r="F34" i="73"/>
  <c r="Y143" i="73"/>
  <c r="K26" i="73"/>
  <c r="K34" i="73" s="1"/>
  <c r="F34" i="55"/>
  <c r="Q26" i="55"/>
  <c r="S26" i="55"/>
  <c r="M26" i="55"/>
  <c r="T26" i="55"/>
  <c r="N26" i="55"/>
  <c r="P26" i="55"/>
  <c r="M36" i="55"/>
  <c r="Q36" i="55"/>
  <c r="S36" i="55"/>
  <c r="P36" i="55"/>
  <c r="T36" i="55"/>
  <c r="Y146" i="73"/>
  <c r="K27" i="73"/>
  <c r="K35" i="73" s="1"/>
  <c r="S33" i="55"/>
  <c r="M33" i="55"/>
  <c r="T33" i="55"/>
  <c r="N33" i="55"/>
  <c r="P33" i="55"/>
  <c r="Q33" i="55"/>
  <c r="F145" i="73"/>
  <c r="F144" i="73"/>
  <c r="F35" i="55"/>
  <c r="N27" i="55"/>
  <c r="Q27" i="55"/>
  <c r="M27" i="55"/>
  <c r="P27" i="55"/>
  <c r="T27" i="55"/>
  <c r="S27" i="55"/>
  <c r="Q154" i="73"/>
  <c r="Z150" i="73"/>
  <c r="Z151" i="73"/>
  <c r="N36" i="55"/>
  <c r="F148" i="73"/>
  <c r="F147" i="73"/>
  <c r="O11" i="55"/>
  <c r="Y140" i="73"/>
  <c r="K25" i="73"/>
  <c r="K33" i="73" s="1"/>
  <c r="F35" i="73"/>
  <c r="F33" i="73"/>
  <c r="AB96" i="67"/>
  <c r="U93" i="67"/>
  <c r="U94" i="67" s="1"/>
  <c r="U21" i="67"/>
  <c r="U22" i="67" s="1"/>
  <c r="M11" i="74" l="1"/>
  <c r="N11" i="74"/>
  <c r="N34" i="74"/>
  <c r="N35" i="74"/>
  <c r="N21" i="74"/>
  <c r="N24" i="74"/>
  <c r="N32" i="74"/>
  <c r="N20" i="74"/>
  <c r="N33" i="74"/>
  <c r="N29" i="74"/>
  <c r="N13" i="74"/>
  <c r="N17" i="74"/>
  <c r="N14" i="74"/>
  <c r="N30" i="74"/>
  <c r="N23" i="74"/>
  <c r="N16" i="74"/>
  <c r="N19" i="74"/>
  <c r="N22" i="74"/>
  <c r="N18" i="74"/>
  <c r="N15" i="74"/>
  <c r="N36" i="74"/>
  <c r="N27" i="74"/>
  <c r="N31" i="74"/>
  <c r="N25" i="74"/>
  <c r="N26" i="74"/>
  <c r="N28" i="74"/>
  <c r="N38" i="74"/>
  <c r="N37" i="74"/>
  <c r="F141" i="70"/>
  <c r="F147" i="70"/>
  <c r="O19" i="70"/>
  <c r="O18" i="70"/>
  <c r="N19" i="72"/>
  <c r="M19" i="72"/>
  <c r="F145" i="70"/>
  <c r="R154" i="72"/>
  <c r="Z151" i="72"/>
  <c r="Z150" i="72" s="1"/>
  <c r="F140" i="72"/>
  <c r="N17" i="72"/>
  <c r="M17" i="72"/>
  <c r="K18" i="72"/>
  <c r="Z143" i="72" s="1"/>
  <c r="N154" i="72" s="1"/>
  <c r="Z143" i="70"/>
  <c r="N154" i="70" s="1"/>
  <c r="Z140" i="70"/>
  <c r="F154" i="70" s="1"/>
  <c r="K17" i="72"/>
  <c r="Z140" i="72" s="1"/>
  <c r="F154" i="72" s="1"/>
  <c r="O17" i="70"/>
  <c r="O20" i="72"/>
  <c r="M18" i="72"/>
  <c r="N18" i="72"/>
  <c r="F143" i="72"/>
  <c r="F145" i="72" s="1"/>
  <c r="M21" i="70"/>
  <c r="N21" i="70"/>
  <c r="F21" i="72"/>
  <c r="K21" i="70"/>
  <c r="K21" i="72" s="1"/>
  <c r="Y149" i="70"/>
  <c r="Z150" i="70" s="1"/>
  <c r="K28" i="70"/>
  <c r="K36" i="70" s="1"/>
  <c r="P36" i="70" s="1"/>
  <c r="O35" i="74"/>
  <c r="O37" i="74"/>
  <c r="O28" i="74"/>
  <c r="O27" i="74"/>
  <c r="O24" i="74"/>
  <c r="O36" i="74"/>
  <c r="O30" i="74"/>
  <c r="O19" i="74"/>
  <c r="O16" i="74"/>
  <c r="O26" i="74"/>
  <c r="O29" i="74"/>
  <c r="O31" i="74"/>
  <c r="O15" i="74"/>
  <c r="O18" i="74"/>
  <c r="O25" i="74"/>
  <c r="O22" i="74"/>
  <c r="O23" i="74"/>
  <c r="O32" i="74"/>
  <c r="O20" i="74"/>
  <c r="O14" i="74"/>
  <c r="O38" i="74"/>
  <c r="O17" i="74"/>
  <c r="O33" i="74"/>
  <c r="O21" i="74"/>
  <c r="O11" i="70"/>
  <c r="O9" i="70"/>
  <c r="N13" i="70"/>
  <c r="F13" i="72"/>
  <c r="Y143" i="70"/>
  <c r="K10" i="72"/>
  <c r="X59" i="74"/>
  <c r="Y59" i="74"/>
  <c r="W59" i="74"/>
  <c r="V60" i="74"/>
  <c r="Y60" i="74" s="1"/>
  <c r="T10" i="74"/>
  <c r="S11" i="74"/>
  <c r="S10" i="74"/>
  <c r="T11" i="74"/>
  <c r="T12" i="74"/>
  <c r="T13" i="74"/>
  <c r="T14" i="74"/>
  <c r="T59" i="74"/>
  <c r="O13" i="74"/>
  <c r="Q60" i="74"/>
  <c r="S59" i="74"/>
  <c r="R59" i="74"/>
  <c r="S14" i="74"/>
  <c r="R13" i="74"/>
  <c r="R14" i="74"/>
  <c r="S13" i="74"/>
  <c r="Q19" i="74"/>
  <c r="R12" i="74"/>
  <c r="S12" i="74"/>
  <c r="R11" i="74"/>
  <c r="R10" i="74"/>
  <c r="N28" i="73"/>
  <c r="P36" i="73"/>
  <c r="S36" i="73"/>
  <c r="M36" i="73"/>
  <c r="T28" i="73"/>
  <c r="N36" i="73"/>
  <c r="M28" i="73"/>
  <c r="T36" i="73"/>
  <c r="P28" i="73"/>
  <c r="S28" i="73"/>
  <c r="Q28" i="73"/>
  <c r="Q27" i="73"/>
  <c r="P27" i="73"/>
  <c r="F142" i="70"/>
  <c r="F148" i="70"/>
  <c r="K25" i="70"/>
  <c r="K33" i="70" s="1"/>
  <c r="S33" i="70" s="1"/>
  <c r="S27" i="73"/>
  <c r="M27" i="73"/>
  <c r="Y140" i="70"/>
  <c r="E154" i="70" s="1"/>
  <c r="N27" i="73"/>
  <c r="T27" i="73"/>
  <c r="K13" i="70"/>
  <c r="M13" i="70"/>
  <c r="F29" i="70"/>
  <c r="F37" i="70" s="1"/>
  <c r="M29" i="55"/>
  <c r="N11" i="72"/>
  <c r="O11" i="72" s="1"/>
  <c r="E146" i="72"/>
  <c r="F147" i="72" s="1"/>
  <c r="M9" i="72"/>
  <c r="O9" i="72" s="1"/>
  <c r="F27" i="72"/>
  <c r="F35" i="72" s="1"/>
  <c r="F25" i="72"/>
  <c r="F33" i="72" s="1"/>
  <c r="E140" i="72"/>
  <c r="Y146" i="70"/>
  <c r="Z147" i="70" s="1"/>
  <c r="S29" i="55"/>
  <c r="Q29" i="55"/>
  <c r="K27" i="70"/>
  <c r="K35" i="70" s="1"/>
  <c r="T35" i="70" s="1"/>
  <c r="P29" i="55"/>
  <c r="T29" i="55"/>
  <c r="N29" i="55"/>
  <c r="N37" i="55"/>
  <c r="N10" i="72"/>
  <c r="M10" i="72"/>
  <c r="F144" i="70"/>
  <c r="F26" i="72"/>
  <c r="F34" i="72" s="1"/>
  <c r="M12" i="72"/>
  <c r="O12" i="72" s="1"/>
  <c r="F28" i="72"/>
  <c r="F36" i="72" s="1"/>
  <c r="F150" i="70"/>
  <c r="E149" i="72"/>
  <c r="F150" i="72" s="1"/>
  <c r="O10" i="70"/>
  <c r="K26" i="70"/>
  <c r="K34" i="70" s="1"/>
  <c r="Q34" i="70" s="1"/>
  <c r="O12" i="70"/>
  <c r="Q26" i="73"/>
  <c r="M25" i="73"/>
  <c r="Q25" i="73"/>
  <c r="T25" i="73"/>
  <c r="N25" i="73"/>
  <c r="S25" i="73"/>
  <c r="P25" i="73"/>
  <c r="N34" i="73"/>
  <c r="M154" i="73"/>
  <c r="Z145" i="73"/>
  <c r="Z144" i="73"/>
  <c r="Y140" i="72"/>
  <c r="S35" i="55"/>
  <c r="Q35" i="55"/>
  <c r="M35" i="55"/>
  <c r="N35" i="55"/>
  <c r="T35" i="55"/>
  <c r="P35" i="55"/>
  <c r="S26" i="73"/>
  <c r="Y149" i="72"/>
  <c r="Q154" i="72" s="1"/>
  <c r="K28" i="72"/>
  <c r="K36" i="72" s="1"/>
  <c r="Y146" i="72"/>
  <c r="K27" i="72"/>
  <c r="K35" i="72" s="1"/>
  <c r="T37" i="55"/>
  <c r="S37" i="55"/>
  <c r="Q37" i="55"/>
  <c r="P37" i="55"/>
  <c r="M37" i="55"/>
  <c r="R156" i="73"/>
  <c r="R155" i="73"/>
  <c r="M26" i="73"/>
  <c r="P34" i="73"/>
  <c r="S34" i="73"/>
  <c r="Q34" i="73"/>
  <c r="M34" i="73"/>
  <c r="T34" i="73"/>
  <c r="Q35" i="73"/>
  <c r="T35" i="73"/>
  <c r="S35" i="73"/>
  <c r="N35" i="73"/>
  <c r="M35" i="73"/>
  <c r="P35" i="73"/>
  <c r="N26" i="73"/>
  <c r="Z142" i="73"/>
  <c r="E154" i="73"/>
  <c r="Z141" i="73"/>
  <c r="Z148" i="73"/>
  <c r="I154" i="73"/>
  <c r="Z147" i="73"/>
  <c r="P26" i="73"/>
  <c r="P29" i="73"/>
  <c r="S29" i="73"/>
  <c r="N29" i="73"/>
  <c r="F37" i="73"/>
  <c r="M29" i="73"/>
  <c r="Q29" i="73"/>
  <c r="T29" i="73"/>
  <c r="N34" i="55"/>
  <c r="M34" i="55"/>
  <c r="S34" i="55"/>
  <c r="T34" i="55"/>
  <c r="Q34" i="55"/>
  <c r="P34" i="55"/>
  <c r="Q33" i="73"/>
  <c r="P33" i="73"/>
  <c r="N33" i="73"/>
  <c r="T33" i="73"/>
  <c r="S33" i="73"/>
  <c r="M33" i="73"/>
  <c r="T26" i="73"/>
  <c r="O13" i="73"/>
  <c r="Z145" i="70" l="1"/>
  <c r="O19" i="72"/>
  <c r="M154" i="70"/>
  <c r="N156" i="70" s="1"/>
  <c r="N36" i="70"/>
  <c r="K26" i="72"/>
  <c r="K34" i="72" s="1"/>
  <c r="T34" i="72" s="1"/>
  <c r="Z144" i="70"/>
  <c r="K25" i="72"/>
  <c r="K33" i="72" s="1"/>
  <c r="M33" i="72" s="1"/>
  <c r="F141" i="72"/>
  <c r="F29" i="72"/>
  <c r="F37" i="72" s="1"/>
  <c r="O21" i="70"/>
  <c r="F144" i="72"/>
  <c r="O17" i="72"/>
  <c r="N21" i="72"/>
  <c r="M21" i="72"/>
  <c r="O18" i="72"/>
  <c r="M36" i="70"/>
  <c r="Q36" i="70"/>
  <c r="Q154" i="70"/>
  <c r="R155" i="70" s="1"/>
  <c r="S36" i="70"/>
  <c r="T28" i="70"/>
  <c r="M28" i="70"/>
  <c r="Z151" i="70"/>
  <c r="T36" i="70"/>
  <c r="P28" i="70"/>
  <c r="N28" i="70"/>
  <c r="S28" i="70"/>
  <c r="Q28" i="70"/>
  <c r="O13" i="70"/>
  <c r="K13" i="72"/>
  <c r="K29" i="72" s="1"/>
  <c r="Y10" i="74"/>
  <c r="X11" i="74"/>
  <c r="X13" i="74"/>
  <c r="Y14" i="74"/>
  <c r="X10" i="74"/>
  <c r="Y12" i="74"/>
  <c r="X12" i="74"/>
  <c r="X14" i="74"/>
  <c r="Y11" i="74"/>
  <c r="Y13" i="74"/>
  <c r="X60" i="74"/>
  <c r="W60" i="74"/>
  <c r="V61" i="74"/>
  <c r="Y61" i="74" s="1"/>
  <c r="V19" i="74"/>
  <c r="W11" i="74"/>
  <c r="W10" i="74"/>
  <c r="S19" i="74"/>
  <c r="T19" i="74"/>
  <c r="W12" i="74"/>
  <c r="T60" i="74"/>
  <c r="W13" i="74"/>
  <c r="W14" i="74"/>
  <c r="S60" i="74"/>
  <c r="Q61" i="74"/>
  <c r="R60" i="74"/>
  <c r="Q20" i="74"/>
  <c r="R19" i="74"/>
  <c r="K29" i="70"/>
  <c r="K37" i="70" s="1"/>
  <c r="T37" i="70" s="1"/>
  <c r="P25" i="70"/>
  <c r="P33" i="70"/>
  <c r="Q25" i="70"/>
  <c r="M33" i="70"/>
  <c r="S25" i="70"/>
  <c r="N33" i="70"/>
  <c r="M25" i="70"/>
  <c r="Q33" i="70"/>
  <c r="T33" i="70"/>
  <c r="F142" i="72"/>
  <c r="N25" i="70"/>
  <c r="T25" i="70"/>
  <c r="M13" i="72"/>
  <c r="T34" i="70"/>
  <c r="P26" i="70"/>
  <c r="N13" i="72"/>
  <c r="P34" i="70"/>
  <c r="S34" i="70"/>
  <c r="Q26" i="70"/>
  <c r="I154" i="70"/>
  <c r="J155" i="70" s="1"/>
  <c r="Z148" i="70"/>
  <c r="Z142" i="70"/>
  <c r="F148" i="72"/>
  <c r="Z141" i="70"/>
  <c r="Q35" i="70"/>
  <c r="F151" i="72"/>
  <c r="M35" i="70"/>
  <c r="M27" i="70"/>
  <c r="N35" i="70"/>
  <c r="P35" i="70"/>
  <c r="Q27" i="70"/>
  <c r="N27" i="70"/>
  <c r="P27" i="70"/>
  <c r="S35" i="70"/>
  <c r="S27" i="70"/>
  <c r="T27" i="70"/>
  <c r="Y143" i="72"/>
  <c r="Z145" i="72" s="1"/>
  <c r="O10" i="72"/>
  <c r="N34" i="70"/>
  <c r="N26" i="70"/>
  <c r="T26" i="70"/>
  <c r="M26" i="70"/>
  <c r="M34" i="70"/>
  <c r="S26" i="70"/>
  <c r="M27" i="72"/>
  <c r="Q27" i="72"/>
  <c r="N27" i="72"/>
  <c r="P27" i="72"/>
  <c r="T27" i="72"/>
  <c r="S27" i="72"/>
  <c r="N28" i="72"/>
  <c r="J155" i="73"/>
  <c r="J156" i="73"/>
  <c r="T28" i="72"/>
  <c r="P35" i="72"/>
  <c r="Q35" i="72"/>
  <c r="M35" i="72"/>
  <c r="S35" i="72"/>
  <c r="T35" i="72"/>
  <c r="N35" i="72"/>
  <c r="F155" i="70"/>
  <c r="F156" i="70"/>
  <c r="P28" i="72"/>
  <c r="N155" i="73"/>
  <c r="N156" i="73"/>
  <c r="T37" i="73"/>
  <c r="P37" i="73"/>
  <c r="Q37" i="73"/>
  <c r="N37" i="73"/>
  <c r="S37" i="73"/>
  <c r="M37" i="73"/>
  <c r="M28" i="72"/>
  <c r="R155" i="72"/>
  <c r="R156" i="72"/>
  <c r="Q28" i="72"/>
  <c r="E154" i="72"/>
  <c r="Z141" i="72"/>
  <c r="Z142" i="72"/>
  <c r="S36" i="72"/>
  <c r="Q36" i="72"/>
  <c r="T36" i="72"/>
  <c r="N36" i="72"/>
  <c r="P36" i="72"/>
  <c r="M36" i="72"/>
  <c r="F156" i="73"/>
  <c r="F155" i="73"/>
  <c r="I154" i="72"/>
  <c r="Z147" i="72"/>
  <c r="Z148" i="72"/>
  <c r="S28" i="72"/>
  <c r="P25" i="72" l="1"/>
  <c r="P26" i="72"/>
  <c r="N155" i="70"/>
  <c r="N34" i="72"/>
  <c r="T25" i="72"/>
  <c r="M26" i="72"/>
  <c r="Q34" i="72"/>
  <c r="N26" i="72"/>
  <c r="P34" i="72"/>
  <c r="M34" i="72"/>
  <c r="Q26" i="72"/>
  <c r="T26" i="72"/>
  <c r="S34" i="72"/>
  <c r="S26" i="72"/>
  <c r="P33" i="72"/>
  <c r="T33" i="72"/>
  <c r="N33" i="72"/>
  <c r="S33" i="72"/>
  <c r="M25" i="72"/>
  <c r="S25" i="72"/>
  <c r="Q33" i="72"/>
  <c r="Q25" i="72"/>
  <c r="N25" i="72"/>
  <c r="O21" i="72"/>
  <c r="R156" i="70"/>
  <c r="K37" i="72"/>
  <c r="T37" i="72" s="1"/>
  <c r="N29" i="72"/>
  <c r="T29" i="72"/>
  <c r="P29" i="72"/>
  <c r="S29" i="72"/>
  <c r="M29" i="72"/>
  <c r="Q29" i="72"/>
  <c r="W19" i="74"/>
  <c r="Y19" i="74"/>
  <c r="X19" i="74"/>
  <c r="W61" i="74"/>
  <c r="X61" i="74"/>
  <c r="V62" i="74"/>
  <c r="V20" i="74"/>
  <c r="W20" i="74" s="1"/>
  <c r="S20" i="74"/>
  <c r="T20" i="74"/>
  <c r="T61" i="74"/>
  <c r="Q62" i="74"/>
  <c r="R61" i="74"/>
  <c r="S61" i="74"/>
  <c r="Q21" i="74"/>
  <c r="R20" i="74"/>
  <c r="Q29" i="70"/>
  <c r="O13" i="72"/>
  <c r="N37" i="70"/>
  <c r="Q37" i="70"/>
  <c r="M29" i="70"/>
  <c r="P29" i="70"/>
  <c r="S37" i="70"/>
  <c r="S29" i="70"/>
  <c r="P37" i="70"/>
  <c r="M37" i="70"/>
  <c r="N29" i="70"/>
  <c r="T29" i="70"/>
  <c r="J156" i="70"/>
  <c r="M154" i="72"/>
  <c r="N156" i="72" s="1"/>
  <c r="Z144" i="72"/>
  <c r="J156" i="72"/>
  <c r="J155" i="72"/>
  <c r="F156" i="72"/>
  <c r="F155" i="72"/>
  <c r="M37" i="72" l="1"/>
  <c r="N37" i="72"/>
  <c r="S37" i="72"/>
  <c r="Q37" i="72"/>
  <c r="P37" i="72"/>
  <c r="X62" i="74"/>
  <c r="Y62" i="74"/>
  <c r="V63" i="74"/>
  <c r="Y63" i="74" s="1"/>
  <c r="W62" i="74"/>
  <c r="X20" i="74"/>
  <c r="Y20" i="74"/>
  <c r="V21" i="74"/>
  <c r="X21" i="74" s="1"/>
  <c r="T62" i="74"/>
  <c r="T21" i="74"/>
  <c r="S62" i="74"/>
  <c r="R62" i="74"/>
  <c r="Q63" i="74"/>
  <c r="R21" i="74"/>
  <c r="Q22" i="74"/>
  <c r="S21" i="74"/>
  <c r="N155" i="72"/>
  <c r="W21" i="74" l="1"/>
  <c r="Y21" i="74"/>
  <c r="X63" i="74"/>
  <c r="W63" i="74"/>
  <c r="V22" i="74"/>
  <c r="Y22" i="74" s="1"/>
  <c r="T63" i="74"/>
  <c r="T22" i="74"/>
  <c r="R63" i="74"/>
  <c r="S63" i="74"/>
  <c r="R22" i="74"/>
  <c r="Q23" i="74"/>
  <c r="S22" i="74"/>
  <c r="W22" i="74" l="1"/>
  <c r="X22" i="74"/>
  <c r="V23" i="74"/>
  <c r="X23" i="74" s="1"/>
  <c r="T23" i="74"/>
  <c r="R23" i="74"/>
  <c r="S23" i="74"/>
  <c r="Y23" i="74" l="1"/>
  <c r="W23" i="7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F9785F8-8E6C-42C1-8B54-7D2A2D9AD5A4}" keepAlive="1" name="Query - VDOdecisions" description="Connection to the 'VDOdecisions' query in the workbook." type="5" refreshedVersion="6" background="1" saveData="1">
    <dbPr connection="Provider=Microsoft.Mashup.OleDb.1;Data Source=$Workbook$;Location=VDOdecisions;Extended Properties=&quot;&quot;" command="SELECT * FROM [VDOdecisions]"/>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<sst xmlns="http://schemas.openxmlformats.org/spreadsheetml/2006/main" count="11371" uniqueCount="894">
  <si>
    <t>VDO calculation model</t>
  </si>
  <si>
    <t>Essential Services Commission</t>
  </si>
  <si>
    <t>Contents</t>
  </si>
  <si>
    <t>Worksheet</t>
  </si>
  <si>
    <t>Name</t>
  </si>
  <si>
    <t>Link</t>
  </si>
  <si>
    <t>Description</t>
  </si>
  <si>
    <t>Disclaimer</t>
  </si>
  <si>
    <t>This page contains a declaration regarding the limitations and use of this model.</t>
  </si>
  <si>
    <t>-</t>
  </si>
  <si>
    <t>User guide</t>
  </si>
  <si>
    <t>Instructions for model operation.</t>
  </si>
  <si>
    <t>Information</t>
  </si>
  <si>
    <t>Sources</t>
  </si>
  <si>
    <t>Version control</t>
  </si>
  <si>
    <t>General assumptions</t>
  </si>
  <si>
    <t>Assumptions and constants used in the model.</t>
  </si>
  <si>
    <t>Checks</t>
  </si>
  <si>
    <t>Checks!A1</t>
  </si>
  <si>
    <t>Change</t>
  </si>
  <si>
    <t>Worksheet description:</t>
  </si>
  <si>
    <t>[Please provide a description of what this sheet does and any specific details or other notes the user needs to know]</t>
  </si>
  <si>
    <t>User Guide</t>
  </si>
  <si>
    <t>Section/Item notes (where necessary)</t>
  </si>
  <si>
    <t>Model Structure</t>
  </si>
  <si>
    <t>Calculation methodology</t>
  </si>
  <si>
    <t>Worksheets</t>
  </si>
  <si>
    <t>Cost calculations</t>
  </si>
  <si>
    <t>Output and summary</t>
  </si>
  <si>
    <t>Supporting information</t>
  </si>
  <si>
    <t>Project details</t>
  </si>
  <si>
    <t>Entity name</t>
  </si>
  <si>
    <t>Division</t>
  </si>
  <si>
    <t>Project</t>
  </si>
  <si>
    <t>Project Manager</t>
  </si>
  <si>
    <t>Model details</t>
  </si>
  <si>
    <t>Model owner</t>
  </si>
  <si>
    <t>Built by (organisation)</t>
  </si>
  <si>
    <t>Model status</t>
  </si>
  <si>
    <t>File location</t>
  </si>
  <si>
    <t>Data access</t>
  </si>
  <si>
    <t>URL</t>
  </si>
  <si>
    <t>Username</t>
  </si>
  <si>
    <t>Password</t>
  </si>
  <si>
    <t>Inputs</t>
  </si>
  <si>
    <t>Cost element</t>
  </si>
  <si>
    <t>Cost item</t>
  </si>
  <si>
    <t>F-CurrentVDO_Input</t>
  </si>
  <si>
    <t>D-NextVDO_Input</t>
  </si>
  <si>
    <t>F-NextVDO_Input</t>
  </si>
  <si>
    <t>C/19/31622, NEM wide avg 2013/14, p17 (pdf), Fig 8</t>
  </si>
  <si>
    <t>C/20/14760, 'Calcs' tab, item 9.6</t>
  </si>
  <si>
    <t>C/20/19952, J8, 'cost calc'</t>
  </si>
  <si>
    <t>C/20/20098, p7, table 3</t>
  </si>
  <si>
    <t>C/20/14755, p26, table 30</t>
  </si>
  <si>
    <t>C/20/21511, p44, single phase half yr (HY)</t>
  </si>
  <si>
    <t>C/20/21513, p49, single phase half yr (HY)</t>
  </si>
  <si>
    <t>C/20/21516, p53, single phase</t>
  </si>
  <si>
    <t>C/20/21521, p51, single phase half yr (HY)</t>
  </si>
  <si>
    <t>C/20/21522, p36 single phase half yr (HY)</t>
  </si>
  <si>
    <t>C/20/21511, p33, NEE11</t>
  </si>
  <si>
    <t>C/20/21513, p17, C1R</t>
  </si>
  <si>
    <t>C/20/21516, p22, A100/F100a/T100b</t>
  </si>
  <si>
    <t>C/20/21521, p19, D1</t>
  </si>
  <si>
    <t>C/20/21522, p17, LVS1R</t>
  </si>
  <si>
    <t>C/20/21511, p34, NEE12</t>
  </si>
  <si>
    <t>C/20/21513, p17, C1G</t>
  </si>
  <si>
    <t>C/20/21516, p23, A200/F200a/T200b</t>
  </si>
  <si>
    <t>C/20/21521, p19, ND1</t>
  </si>
  <si>
    <t>C/20/21522, p17, LVM1R</t>
  </si>
  <si>
    <t>C/20/21549, p46, table 2</t>
  </si>
  <si>
    <t>C/20/21549, p53, table 3</t>
  </si>
  <si>
    <t>C/20/14760, 'Calcs' tab, item 9.3</t>
  </si>
  <si>
    <t>C/20/21549, p54</t>
  </si>
  <si>
    <t>C/20/14765, p51</t>
  </si>
  <si>
    <t>https://www.esc.vic.gov.au/victorian-energy-upgrades-program/participating-veu-program/energy-retailers-veu-program</t>
  </si>
  <si>
    <t>C/20/14760, 'Calcs' tab, item 9.5, cell D100</t>
  </si>
  <si>
    <t>C/20/14760, 'Calcs' tab, item 9.5, cell D76</t>
  </si>
  <si>
    <t>C/20/14760, 'Calcs' tab, item 9.9</t>
  </si>
  <si>
    <t>NA</t>
  </si>
  <si>
    <t>C/20/14760, 'Calcs' tab, item 9.1</t>
  </si>
  <si>
    <t>C/20/21511, p33, NEE13</t>
  </si>
  <si>
    <t>C/20/21513, p17, CDS</t>
  </si>
  <si>
    <t>C/20/21516, p23, A180</t>
  </si>
  <si>
    <t>C/20/21521, p19, DD1</t>
  </si>
  <si>
    <t>C/20/21522, p17, LVDed</t>
  </si>
  <si>
    <t>C/19/31622, p26 (pdf), item 5.3</t>
  </si>
  <si>
    <t>C/20/14760, 'Calcs' tab, item 9.4</t>
  </si>
  <si>
    <t>Ausnet &amp; Powercor—C/20/14760, 'Calcs' item 9.4</t>
  </si>
  <si>
    <t>Citipower, Jemena &amp; UE—C/20/14756, p13, short sub-transmission, type DLFE</t>
  </si>
  <si>
    <t>Usage profile</t>
  </si>
  <si>
    <t>Customer type</t>
  </si>
  <si>
    <t>Residential</t>
  </si>
  <si>
    <t>Small business</t>
  </si>
  <si>
    <t>Model version log</t>
  </si>
  <si>
    <t>Updated by</t>
  </si>
  <si>
    <t>Update notes</t>
  </si>
  <si>
    <t>Approved by</t>
  </si>
  <si>
    <t>This worksheet contains all inputs used for calculating the VDO cost stacks.</t>
  </si>
  <si>
    <t>Cost stack inputs</t>
  </si>
  <si>
    <t>Year</t>
  </si>
  <si>
    <t>VDO decision</t>
  </si>
  <si>
    <t>Fixed/Variable</t>
  </si>
  <si>
    <t>Unit</t>
  </si>
  <si>
    <t>D-NextVDO_InputDate</t>
  </si>
  <si>
    <t>F-NextVDO_InputDate</t>
  </si>
  <si>
    <t>Retail</t>
  </si>
  <si>
    <t>Retail operating cost - base</t>
  </si>
  <si>
    <t>Fixed</t>
  </si>
  <si>
    <t>$</t>
  </si>
  <si>
    <t>All</t>
  </si>
  <si>
    <t>Retail operating cost - regulatory cost allowance</t>
  </si>
  <si>
    <t>Retail operating cost - 5 min settlement allowance</t>
  </si>
  <si>
    <t>Retail operating cost - bad debt allowance</t>
  </si>
  <si>
    <t>Customer acquisition and retention cost</t>
  </si>
  <si>
    <t>Solar</t>
  </si>
  <si>
    <t>Feed-in tariff (FiT)</t>
  </si>
  <si>
    <t>ESC licence fees</t>
  </si>
  <si>
    <t>Reliability and emergency reserve trader (RERT)</t>
  </si>
  <si>
    <t>$/week</t>
  </si>
  <si>
    <t>Full retail competition (FRC) operations</t>
  </si>
  <si>
    <t>Network</t>
  </si>
  <si>
    <t>Metering - Ausnet</t>
  </si>
  <si>
    <t>$/year</t>
  </si>
  <si>
    <t>Metering - Citipower</t>
  </si>
  <si>
    <t>Metering - Jemena</t>
  </si>
  <si>
    <t>Metering - Powercor</t>
  </si>
  <si>
    <t>Metering - United Energy</t>
  </si>
  <si>
    <t>Wholesale</t>
  </si>
  <si>
    <t>Price - RES - Ausnet</t>
  </si>
  <si>
    <t>Variable</t>
  </si>
  <si>
    <t>$/MWh</t>
  </si>
  <si>
    <t>Price - RES - Citipower</t>
  </si>
  <si>
    <t>Price - RES - Jemena</t>
  </si>
  <si>
    <t>Price - RES - Powercor</t>
  </si>
  <si>
    <t>Price - RES - United Energy</t>
  </si>
  <si>
    <t>Volatility - RES - Ausnet</t>
  </si>
  <si>
    <t>Volatility - RES - Citipower</t>
  </si>
  <si>
    <t>Volatility - RES - Jemena</t>
  </si>
  <si>
    <t>Volatility - RES - Powercor</t>
  </si>
  <si>
    <t>Volatility - RES - United Energy</t>
  </si>
  <si>
    <t>Price - SME - Ausnet</t>
  </si>
  <si>
    <t>Price - SME - Citipower</t>
  </si>
  <si>
    <t>Price - SME - Jemena</t>
  </si>
  <si>
    <t>Price - SME - Powercor</t>
  </si>
  <si>
    <t>Price - SME - United Energy</t>
  </si>
  <si>
    <t>Volatility - SME - Ausnet</t>
  </si>
  <si>
    <t>Volatility - SME - Citipower</t>
  </si>
  <si>
    <t>Volatility - SME - Jemena</t>
  </si>
  <si>
    <t>Volatility - SME - Powercor</t>
  </si>
  <si>
    <t>Volatility - SME - United Energy</t>
  </si>
  <si>
    <t>Environmental</t>
  </si>
  <si>
    <t>Victorian energy upgrades (VEU) - Price</t>
  </si>
  <si>
    <t>$/certificate</t>
  </si>
  <si>
    <t>Large-scale renewable energy target (LRET) - Price</t>
  </si>
  <si>
    <t>Small-scale renewable energy scheme (SRES) - Price</t>
  </si>
  <si>
    <t>Victorian energy upgrades (VEU) - Liability</t>
  </si>
  <si>
    <t>%/year</t>
  </si>
  <si>
    <t>Large-scale renewable energy target (LRET) - Liability</t>
  </si>
  <si>
    <t>Small-scale renewable energy scheme (SRES) - Liability</t>
  </si>
  <si>
    <t>General NEM fees</t>
  </si>
  <si>
    <t>Full retail competition (FRC) operations (OBSOLETE)</t>
  </si>
  <si>
    <t>National transmission planner</t>
  </si>
  <si>
    <t>Ancillary services</t>
  </si>
  <si>
    <t>Anytime - Block 1 - RES - Ausnet</t>
  </si>
  <si>
    <t>c/kWh</t>
  </si>
  <si>
    <t>Anytime - Balance - RES - Ausnet</t>
  </si>
  <si>
    <t>Anytime - Single rate - RES - Citipower</t>
  </si>
  <si>
    <t>Anytime - Single rate - RES - Jemena</t>
  </si>
  <si>
    <t>Anytime - Single rate - RES - Powercor</t>
  </si>
  <si>
    <t>Anytime - Single rate - RES - United Energy</t>
  </si>
  <si>
    <t>Anytime - Block 1 - SME - Ausnet</t>
  </si>
  <si>
    <t>Anytime - Balance - SME - Ausnet</t>
  </si>
  <si>
    <t>Anytime - Single rate - SME - Citipower</t>
  </si>
  <si>
    <t>Anytime - Single rate - SME - Jemena</t>
  </si>
  <si>
    <t>Anytime - Single rate - SME - Powercor</t>
  </si>
  <si>
    <t>Anytime - Single rate - SME - United Energy</t>
  </si>
  <si>
    <t>TOU - Peak - RES - Ausnet</t>
  </si>
  <si>
    <t>TOU - Peak - RES - Citipower</t>
  </si>
  <si>
    <t>TOU - Peak - RES - Jemena</t>
  </si>
  <si>
    <t>TOU - Peak - RES - Powercor</t>
  </si>
  <si>
    <t>TOU - Peak - RES - United Energy</t>
  </si>
  <si>
    <t>TOU - Off peak - RES - Ausnet</t>
  </si>
  <si>
    <t>TOU - Off peak - RES - Citipower</t>
  </si>
  <si>
    <t>TOU - Off peak - RES - Jemena</t>
  </si>
  <si>
    <t>TOU - Off peak - RES - Powercor</t>
  </si>
  <si>
    <t>TOU - Off peak - RES - United Energy</t>
  </si>
  <si>
    <t>TOU - Peak - SME - Ausnet</t>
  </si>
  <si>
    <t>TOU - Peak - SME - Citipower</t>
  </si>
  <si>
    <t>TOU - Peak - SME - Jemena</t>
  </si>
  <si>
    <t>TOU - Peak - SME - Powercor</t>
  </si>
  <si>
    <t>TOU - Peak - SME - United Energy</t>
  </si>
  <si>
    <t>TOU - Off peak - SME - Ausnet</t>
  </si>
  <si>
    <t>TOU - Off peak - SME - Citipower</t>
  </si>
  <si>
    <t>TOU - Off peak - SME - Jemena</t>
  </si>
  <si>
    <t>TOU - Off peak - SME - Powercor</t>
  </si>
  <si>
    <t>TOU - Off peak - SME - United Energy</t>
  </si>
  <si>
    <t>Controlled load - RES - Ausnet</t>
  </si>
  <si>
    <t>Controlled load - RES - Citipower</t>
  </si>
  <si>
    <t>Controlled load - RES - Jemena</t>
  </si>
  <si>
    <t>Controlled load - RES - Powercor</t>
  </si>
  <si>
    <t>Controlled load - RES - United Energy</t>
  </si>
  <si>
    <t>Retail margin</t>
  </si>
  <si>
    <t>Retail operating margin</t>
  </si>
  <si>
    <t>%</t>
  </si>
  <si>
    <t>Marginal loss factors</t>
  </si>
  <si>
    <t>Marginal loss factor - Ausnet</t>
  </si>
  <si>
    <t>Marginal loss factor - Citipower</t>
  </si>
  <si>
    <t>Marginal loss factor - Jemena</t>
  </si>
  <si>
    <t>Marginal loss factor - Powercor</t>
  </si>
  <si>
    <t>Marginal loss factor - United Energy</t>
  </si>
  <si>
    <t>Distribution loss factors</t>
  </si>
  <si>
    <t>Distribution loss factor - Ausnet</t>
  </si>
  <si>
    <t>Distribution loss factor - Citipower</t>
  </si>
  <si>
    <t>Distribution loss factor - Jemena</t>
  </si>
  <si>
    <t>Distribution loss factor - Powercor</t>
  </si>
  <si>
    <t>Distribution loss factor - United Energy</t>
  </si>
  <si>
    <t>Profile name</t>
  </si>
  <si>
    <t>Usage type</t>
  </si>
  <si>
    <t>Ref</t>
  </si>
  <si>
    <t>Residential - small</t>
  </si>
  <si>
    <t>Block 1</t>
  </si>
  <si>
    <t>kWh/year</t>
  </si>
  <si>
    <t>Residential - medium</t>
  </si>
  <si>
    <t>Residential - large</t>
  </si>
  <si>
    <t>Small business - small</t>
  </si>
  <si>
    <t>Small business - medium</t>
  </si>
  <si>
    <t>Small business - large</t>
  </si>
  <si>
    <t>Balance</t>
  </si>
  <si>
    <t>Annual</t>
  </si>
  <si>
    <t>Peak</t>
  </si>
  <si>
    <t>General Assumptions</t>
  </si>
  <si>
    <t>Constants</t>
  </si>
  <si>
    <t>Number of days in a year</t>
  </si>
  <si>
    <t>[DiY]</t>
  </si>
  <si>
    <t>Number of months in a year</t>
  </si>
  <si>
    <t>[MiY]</t>
  </si>
  <si>
    <t>Number of months in a quarter year</t>
  </si>
  <si>
    <t>[MiQ]</t>
  </si>
  <si>
    <t>Weeks in a year</t>
  </si>
  <si>
    <t>[WiY]</t>
  </si>
  <si>
    <t>Financial units</t>
  </si>
  <si>
    <t>AUD</t>
  </si>
  <si>
    <t>[AUD]</t>
  </si>
  <si>
    <t>Financial year end month</t>
  </si>
  <si>
    <t>N/A</t>
  </si>
  <si>
    <t>Goods &amp; Services Tax (GST)</t>
  </si>
  <si>
    <t>[GST]</t>
  </si>
  <si>
    <t>This worksheet contains indices used to adjust cost stack elements by CPI (where necessary).</t>
  </si>
  <si>
    <t>CPI</t>
  </si>
  <si>
    <t>Indices "as at" for previous VDO decisions</t>
  </si>
  <si>
    <t>Decision paper</t>
  </si>
  <si>
    <t>Date</t>
  </si>
  <si>
    <t>Indice</t>
  </si>
  <si>
    <t>VDO 2019</t>
  </si>
  <si>
    <t>VDO 2020</t>
  </si>
  <si>
    <t>VDO 2021 - Draft</t>
  </si>
  <si>
    <t>VDO 2021 - Final</t>
  </si>
  <si>
    <t>VDO 2022 - Draft</t>
  </si>
  <si>
    <t>VDO 2022 - Final</t>
  </si>
  <si>
    <t>CPI indices</t>
  </si>
  <si>
    <t>ABS All groups CPI, Australia</t>
  </si>
  <si>
    <t>Series ID A2325846C</t>
  </si>
  <si>
    <t>Period</t>
  </si>
  <si>
    <t>Rate checks:</t>
  </si>
  <si>
    <t>Calculation</t>
  </si>
  <si>
    <t>Rates</t>
  </si>
  <si>
    <t>Fixed costs</t>
  </si>
  <si>
    <t>Ausnet</t>
  </si>
  <si>
    <t>Citipower</t>
  </si>
  <si>
    <t>Jemena</t>
  </si>
  <si>
    <t>Powercor</t>
  </si>
  <si>
    <t>United Energy</t>
  </si>
  <si>
    <t>Other</t>
  </si>
  <si>
    <t>Solar (FiT)</t>
  </si>
  <si>
    <t>Metering</t>
  </si>
  <si>
    <t>Residential charges - daily supply</t>
  </si>
  <si>
    <t>GST</t>
  </si>
  <si>
    <t>Total fixed costs</t>
  </si>
  <si>
    <t>Small business charges - daily supply</t>
  </si>
  <si>
    <t>Variable costs</t>
  </si>
  <si>
    <t>Environmental programs</t>
  </si>
  <si>
    <t>$/kWh</t>
  </si>
  <si>
    <t>Wholesale cost</t>
  </si>
  <si>
    <t>Network losses</t>
  </si>
  <si>
    <t>Residential charges - usage</t>
  </si>
  <si>
    <t>Network charge</t>
  </si>
  <si>
    <t>Controlled load</t>
  </si>
  <si>
    <t>Small business charges - usage</t>
  </si>
  <si>
    <t>Non cost items</t>
  </si>
  <si>
    <t>Indice at VDO decision</t>
  </si>
  <si>
    <t>CPI increase</t>
  </si>
  <si>
    <t>Retail operating cost</t>
  </si>
  <si>
    <t>Marginal loss factor</t>
  </si>
  <si>
    <t>Distribution loss factor</t>
  </si>
  <si>
    <t>Total loss factor</t>
  </si>
  <si>
    <t>Retail costs</t>
  </si>
  <si>
    <t>Fixed network charges</t>
  </si>
  <si>
    <t>Variable network charges</t>
  </si>
  <si>
    <t>Residential wholesale</t>
  </si>
  <si>
    <t>Price - RES</t>
  </si>
  <si>
    <t>Volatility - RES</t>
  </si>
  <si>
    <t>Small business wholesale</t>
  </si>
  <si>
    <t>Price - SME</t>
  </si>
  <si>
    <t>Volatility - SME</t>
  </si>
  <si>
    <t>Environmental &amp; Solar</t>
  </si>
  <si>
    <t>Victorian Energy Upgrades (VEU)</t>
  </si>
  <si>
    <t>VEU cost</t>
  </si>
  <si>
    <t>Large-scale Renewable Energy Target (LRET)</t>
  </si>
  <si>
    <t>LRET cost</t>
  </si>
  <si>
    <t>Small-scale Renewable Energy Scheme (SRES)</t>
  </si>
  <si>
    <t>SRES cost</t>
  </si>
  <si>
    <t>Feed-in Tariff (FiT)</t>
  </si>
  <si>
    <t>True up</t>
  </si>
  <si>
    <t>Environmental costs</t>
  </si>
  <si>
    <t>Pass through (Yes/No)</t>
  </si>
  <si>
    <t>Large-scale renewable energy target (LRET)</t>
  </si>
  <si>
    <t>No</t>
  </si>
  <si>
    <t>Cost</t>
  </si>
  <si>
    <t>Difference</t>
  </si>
  <si>
    <t>Network loss adjustment</t>
  </si>
  <si>
    <t>Profit margin adjustment</t>
  </si>
  <si>
    <t>LRET True up</t>
  </si>
  <si>
    <t>Small-scale renewable energy scheme (SRES)</t>
  </si>
  <si>
    <t>SRES True up</t>
  </si>
  <si>
    <t>Victorian energy upgrades (VEU)</t>
  </si>
  <si>
    <t>VEU True up</t>
  </si>
  <si>
    <t>[sheet title]</t>
  </si>
  <si>
    <t>[ SECTION HEADING]</t>
  </si>
  <si>
    <t>[EXAMPLE TABLE HEADING]</t>
  </si>
  <si>
    <t>[EXAMPLE COL HEADING]</t>
  </si>
  <si>
    <t>Rate name</t>
  </si>
  <si>
    <t>Compliant Maximum Annual Bill (CMAB)</t>
  </si>
  <si>
    <t>Cost stacks - estimated annual bill</t>
  </si>
  <si>
    <t>kWh/yr</t>
  </si>
  <si>
    <t>Labels</t>
  </si>
  <si>
    <t>Lookup references</t>
  </si>
  <si>
    <t>Units</t>
  </si>
  <si>
    <t>Usage profiles</t>
  </si>
  <si>
    <t>$/day</t>
  </si>
  <si>
    <t>Rate check - Previous VDO values</t>
  </si>
  <si>
    <t>Rate</t>
  </si>
  <si>
    <t>TOU - Peak charge_Residential</t>
  </si>
  <si>
    <t>TOU - Off peak charge_Residential</t>
  </si>
  <si>
    <t>Anytime - Block 1 charge_Residential</t>
  </si>
  <si>
    <t>Anytime - Balance charge_Residential</t>
  </si>
  <si>
    <t>Anytime - Single rate charge_Residential</t>
  </si>
  <si>
    <t>Controlled load charge_Residential</t>
  </si>
  <si>
    <t>TOU - Peak charge_Small business</t>
  </si>
  <si>
    <t>TOU - Off peak charge_Small business</t>
  </si>
  <si>
    <t>Anytime - Block 1 charge_Small business</t>
  </si>
  <si>
    <t>Anytime - Balance charge_Small business</t>
  </si>
  <si>
    <t>Anytime - Single rate charge_Small business</t>
  </si>
  <si>
    <t>Model maintenance</t>
  </si>
  <si>
    <t>Change log</t>
  </si>
  <si>
    <t>Outstanding changes for review?</t>
  </si>
  <si>
    <t>Model operations</t>
  </si>
  <si>
    <t>Change Log</t>
  </si>
  <si>
    <t>Instructions</t>
  </si>
  <si>
    <t>Outstanding items for review?</t>
  </si>
  <si>
    <t>#</t>
  </si>
  <si>
    <t>Current version</t>
  </si>
  <si>
    <t>User</t>
  </si>
  <si>
    <t>Cell ref</t>
  </si>
  <si>
    <t>Issue</t>
  </si>
  <si>
    <t>Proposed change</t>
  </si>
  <si>
    <t>Change made Y/N?</t>
  </si>
  <si>
    <t>Peer tested by</t>
  </si>
  <si>
    <t>Version</t>
  </si>
  <si>
    <t>Retail cost</t>
  </si>
  <si>
    <t>Network usage charge</t>
  </si>
  <si>
    <t>Network fixed cost</t>
  </si>
  <si>
    <t>Annual costs</t>
  </si>
  <si>
    <t>Per kWh costs</t>
  </si>
  <si>
    <t>Average</t>
  </si>
  <si>
    <t>Total</t>
  </si>
  <si>
    <t>Environmental (FiT)</t>
  </si>
  <si>
    <t>X axis labels</t>
  </si>
  <si>
    <t>Zone</t>
  </si>
  <si>
    <t>Source documentation - calculation inputs</t>
  </si>
  <si>
    <t>C/19/31620, pdf p63, item 3.7, ICRC electricity standing offer report 2017-18</t>
  </si>
  <si>
    <t>C/20/20862, p5, AER stakeholder forum presentation, Red/Lumo</t>
  </si>
  <si>
    <t>C/20/20946 (internal analysis, confirmation email)</t>
  </si>
  <si>
    <t>Percentage change</t>
  </si>
  <si>
    <t>CPI uplift factor</t>
  </si>
  <si>
    <t>VD-CurrentVDO_Input</t>
  </si>
  <si>
    <t>VF-CurrentVDO_Input</t>
  </si>
  <si>
    <t>VDO 2021 - Variation draft</t>
  </si>
  <si>
    <t>Anytime - supply charge - RES - Ausnet</t>
  </si>
  <si>
    <t>Anytime - supply charge - RES - Citipower</t>
  </si>
  <si>
    <t>Anytime - supply charge - RES - Jemena</t>
  </si>
  <si>
    <t>Anytime - supply charge - RES - Powercor</t>
  </si>
  <si>
    <t>Anytime - supply charge - RES - United Energy</t>
  </si>
  <si>
    <t>Anytime - supply charge - SME - Ausnet</t>
  </si>
  <si>
    <t>Anytime - supply charge - SME - Citipower</t>
  </si>
  <si>
    <t>Anytime - supply charge - SME - Jemena</t>
  </si>
  <si>
    <t>Anytime - supply charge - SME - Powercor</t>
  </si>
  <si>
    <t>Anytime - supply charge - SME - United Energy</t>
  </si>
  <si>
    <t>TOU - supply charge - RES - Ausnet</t>
  </si>
  <si>
    <t>TOU - supply charge - RES - Citipower</t>
  </si>
  <si>
    <t>TOU - supply charge - RES - Jemena</t>
  </si>
  <si>
    <t>TOU - supply charge - RES - Powercor</t>
  </si>
  <si>
    <t>TOU - supply charge - RES - United Energy</t>
  </si>
  <si>
    <t>TOU - supply charge - SME - Ausnet</t>
  </si>
  <si>
    <t>TOU - supply charge - SME - Citipower</t>
  </si>
  <si>
    <t>TOU - supply charge - SME - Jemena</t>
  </si>
  <si>
    <t>TOU - supply charge - SME - Powercor</t>
  </si>
  <si>
    <t>TOU - supply charge - SME - United Energy</t>
  </si>
  <si>
    <t>Anytime - supply charge_Residential</t>
  </si>
  <si>
    <t>Anytime - supply charge_Small business</t>
  </si>
  <si>
    <t>VDO 2021 - Variation final</t>
  </si>
  <si>
    <t>Checks:</t>
  </si>
  <si>
    <t>Calc_Rates</t>
  </si>
  <si>
    <t>OP_Rates</t>
  </si>
  <si>
    <t>OP_CMAB!A1</t>
  </si>
  <si>
    <t>OP_CostStack_RES!A1</t>
  </si>
  <si>
    <t>OP_CostStack_SME!A1</t>
  </si>
  <si>
    <t>Worksheet link</t>
  </si>
  <si>
    <t>Auto flag checks</t>
  </si>
  <si>
    <t>AusNet</t>
  </si>
  <si>
    <t>United</t>
  </si>
  <si>
    <t>Price Monitoring and Regulation</t>
  </si>
  <si>
    <t>Victorian Default Offer</t>
  </si>
  <si>
    <t>Chart data</t>
  </si>
  <si>
    <t>Assumptions</t>
  </si>
  <si>
    <t>Start date</t>
  </si>
  <si>
    <t>End date</t>
  </si>
  <si>
    <t>Days</t>
  </si>
  <si>
    <t>Actual proportion</t>
  </si>
  <si>
    <t>Approx proportion</t>
  </si>
  <si>
    <t>Proportion to use</t>
  </si>
  <si>
    <t>Half year propotion</t>
  </si>
  <si>
    <t>Half yearly bills, $</t>
  </si>
  <si>
    <t>Bill impacts half year- 2021 VDO variation</t>
  </si>
  <si>
    <t>Approx</t>
  </si>
  <si>
    <t>Bill impact, $</t>
  </si>
  <si>
    <t>Bill impact, %</t>
  </si>
  <si>
    <t>Charts - bill impacts</t>
  </si>
  <si>
    <t>Charts - annual bills CY 2020 vs CY 2021</t>
  </si>
  <si>
    <t>CY bills 2020 vs 2021</t>
  </si>
  <si>
    <t>Bill impacts half year</t>
  </si>
  <si>
    <t>Bill impacts full year</t>
  </si>
  <si>
    <t>WACC adjustment</t>
  </si>
  <si>
    <t>GST adjustment</t>
  </si>
  <si>
    <t>H1 2021 (VDO)</t>
  </si>
  <si>
    <t>H2 2021 (Variation - flat)</t>
  </si>
  <si>
    <t>H2 2021 (Variation - ToU)</t>
  </si>
  <si>
    <t>Victoria</t>
  </si>
  <si>
    <t>AusNet Services</t>
  </si>
  <si>
    <t>Usage profile inputs - anytime usage</t>
  </si>
  <si>
    <t>C/20/14760, 'Calcs' tab, item 9.8</t>
  </si>
  <si>
    <t>Date updated</t>
  </si>
  <si>
    <t>Small business - flat rate</t>
  </si>
  <si>
    <t>Residential - flat rate</t>
  </si>
  <si>
    <t>Tariff type</t>
  </si>
  <si>
    <t>Min</t>
  </si>
  <si>
    <t>Max</t>
  </si>
  <si>
    <t>Range</t>
  </si>
  <si>
    <t>Total range</t>
  </si>
  <si>
    <t>Bill decrease</t>
  </si>
  <si>
    <t>min</t>
  </si>
  <si>
    <t>max</t>
  </si>
  <si>
    <t>Bill increase</t>
  </si>
  <si>
    <t>C/21/17257, p64, single phase</t>
  </si>
  <si>
    <t>C/21/17257, p47, NEE11</t>
  </si>
  <si>
    <t>C/21/17257, p48, NEE12</t>
  </si>
  <si>
    <t>C/21/17257, p47, NAST11</t>
  </si>
  <si>
    <t>C/21/17257, p48, NAST12</t>
  </si>
  <si>
    <t>C/21/17257, p47, NEE13</t>
  </si>
  <si>
    <t>C/21/17258, p40, single phase</t>
  </si>
  <si>
    <t>C/21/17258, p15, C1R</t>
  </si>
  <si>
    <t>C/21/17258, p15, C1G</t>
  </si>
  <si>
    <t>C/21/17258, p15, CRTOU</t>
  </si>
  <si>
    <t>C/21/17258, p15, CGTOU</t>
  </si>
  <si>
    <t>C/21/17258, p15, CDS</t>
  </si>
  <si>
    <t>C/21/17260, p40, single phase</t>
  </si>
  <si>
    <t>C/21/17260, p15, D1</t>
  </si>
  <si>
    <t>C/21/17260, p15, ND1</t>
  </si>
  <si>
    <t>C/21/17260, p15, PRTOU</t>
  </si>
  <si>
    <t>C/21/17260, p15, NDTOU</t>
  </si>
  <si>
    <t>C/21/17260, p15, DD1</t>
  </si>
  <si>
    <t>C/21/17261, p40, single phase single element</t>
  </si>
  <si>
    <t>C/21/17261, p15, LVS1R</t>
  </si>
  <si>
    <t>C/21/17261, p15, LVM1R</t>
  </si>
  <si>
    <t>C/21/17261, p15, URTOU</t>
  </si>
  <si>
    <t>C/21/17261, p15, LVTOU</t>
  </si>
  <si>
    <t>C/21/17261, p15, LVDED</t>
  </si>
  <si>
    <t>C/21/17259, p71, single phase single element</t>
  </si>
  <si>
    <t>C/21/17259, p28, A120/F120</t>
  </si>
  <si>
    <t>C/21/17259, p28, A200/F200a</t>
  </si>
  <si>
    <t>C/21/17259, p28, A100/F100a</t>
  </si>
  <si>
    <t>C/21/17259, p29, A210/F210a</t>
  </si>
  <si>
    <t>2021 VDO</t>
  </si>
  <si>
    <t>C/21/17259, p28, A180</t>
  </si>
  <si>
    <t>Amended 2021 VDO - flat</t>
  </si>
  <si>
    <t>Amended 2021 VDO - ToU</t>
  </si>
  <si>
    <t>Propotion</t>
  </si>
  <si>
    <t>Domestic bills for 4 months, indicative, $</t>
  </si>
  <si>
    <t>Small business bills for 4 months, indicative, $</t>
  </si>
  <si>
    <t>Domestic bills for half year, indicative, $</t>
  </si>
  <si>
    <t>Small business bills for half year, indicative, $</t>
  </si>
  <si>
    <t>Domestic bills, indicative, $/year</t>
  </si>
  <si>
    <t>Small business bills, indicative, $/year</t>
  </si>
  <si>
    <t>Citipower - initial</t>
  </si>
  <si>
    <t>Powercor - initial</t>
  </si>
  <si>
    <t>Revised proposal for Citipower and Powercor small business customers</t>
  </si>
  <si>
    <t>Amended 2021 VDO</t>
  </si>
  <si>
    <t>CITIPOWER</t>
  </si>
  <si>
    <t>POWERCOR</t>
  </si>
  <si>
    <t>INITIAL PROPOSALS</t>
  </si>
  <si>
    <t>REVISED PROPOSALS</t>
  </si>
  <si>
    <t>Monthly bills, $</t>
  </si>
  <si>
    <t>Network costs</t>
  </si>
  <si>
    <t>Time period, decision/actual</t>
  </si>
  <si>
    <t>Anytime - supply charge - RES</t>
  </si>
  <si>
    <t>Proportion of annual</t>
  </si>
  <si>
    <t>Actual time period, months</t>
  </si>
  <si>
    <t>Anytime - Block 1 - RES</t>
  </si>
  <si>
    <t>Anytime - Balance - RES</t>
  </si>
  <si>
    <t>Anytime - Single rate - RES</t>
  </si>
  <si>
    <t>Rate type</t>
  </si>
  <si>
    <t>Anytime - supply charge - SME</t>
  </si>
  <si>
    <t>Anytime - Block 1 - SME</t>
  </si>
  <si>
    <t>Anytime - Balance - SME</t>
  </si>
  <si>
    <t>Anytime - Single rate - SME</t>
  </si>
  <si>
    <t>Anytime - Residential</t>
  </si>
  <si>
    <t>Anytime - Small business</t>
  </si>
  <si>
    <t>TOU - Residential</t>
  </si>
  <si>
    <t>TOU - Small business</t>
  </si>
  <si>
    <t>TOU - supply charge - RES</t>
  </si>
  <si>
    <t>TOU - Peak - RES</t>
  </si>
  <si>
    <t>TOU - Off peak - RES</t>
  </si>
  <si>
    <t>TOU - supply charge - SME</t>
  </si>
  <si>
    <t>TOU - Peak - SME</t>
  </si>
  <si>
    <t>TOU - Off peak - SME</t>
  </si>
  <si>
    <t>Anytime - supply cost true up</t>
  </si>
  <si>
    <t>Anytime - usage cost true up</t>
  </si>
  <si>
    <t>TOU - supply cost true up</t>
  </si>
  <si>
    <t>TOU - usage cost true up</t>
  </si>
  <si>
    <t>Anytime - supply cost - residential</t>
  </si>
  <si>
    <t>Anytime - usage cost - residential</t>
  </si>
  <si>
    <t>Anytime - supply cost - small business</t>
  </si>
  <si>
    <t>Anytime - usage cost - small business</t>
  </si>
  <si>
    <t>TOU - supply cost - residential</t>
  </si>
  <si>
    <t>TOU - usage cost - residential</t>
  </si>
  <si>
    <t>TOU - supply cost - small business</t>
  </si>
  <si>
    <t>TOU - usage cost - small business</t>
  </si>
  <si>
    <t>True up inputs</t>
  </si>
  <si>
    <t>WACC (annual)</t>
  </si>
  <si>
    <t>Single rate</t>
  </si>
  <si>
    <t>Anytime - supply</t>
  </si>
  <si>
    <t>TOU - supply</t>
  </si>
  <si>
    <t>Network true up cost start date</t>
  </si>
  <si>
    <t>Network true up cost end date</t>
  </si>
  <si>
    <t>Network true up rate start date</t>
  </si>
  <si>
    <t>Network true up rate end date</t>
  </si>
  <si>
    <t>Anytime</t>
  </si>
  <si>
    <t>TOU</t>
  </si>
  <si>
    <t>Adjusted WACC</t>
  </si>
  <si>
    <t>Input_ForRateCalc</t>
  </si>
  <si>
    <t>Days proportion</t>
  </si>
  <si>
    <t>Month proportion</t>
  </si>
  <si>
    <t>Usage profile inputs</t>
  </si>
  <si>
    <t>VDO decisions</t>
  </si>
  <si>
    <t>Change in VDO 2021 from 2020, $</t>
  </si>
  <si>
    <t>Change in VDO 2021 from 2020, %</t>
  </si>
  <si>
    <t>VDO 2021, overall, $</t>
  </si>
  <si>
    <t>VDO 2021, Jan - Aug 2021, $</t>
  </si>
  <si>
    <t>Amended VDO 2021, Sep - Dec 2021, $</t>
  </si>
  <si>
    <t>VDO 2021, overall incl true up, $</t>
  </si>
  <si>
    <t>Month</t>
  </si>
  <si>
    <t>VDO 2021, set in Dec 2020, $</t>
  </si>
  <si>
    <t>Amended VDO 2021, set in Jul 2021, $</t>
  </si>
  <si>
    <t>Change in Amended VDO 2021 from VDO 2021, $</t>
  </si>
  <si>
    <t>Change in Amended VDO 2021 from VDO 2021, %</t>
  </si>
  <si>
    <t>Index</t>
  </si>
  <si>
    <t>Change in 2021 incl true up from VDO 2020, $</t>
  </si>
  <si>
    <t>Change in 2021 incl true up from VDO 2020, %</t>
  </si>
  <si>
    <t>Change in VDO 2021 from VDO 2020, $</t>
  </si>
  <si>
    <t>Change in VDO 2021 from VDO 2020, %</t>
  </si>
  <si>
    <t>True up proportion</t>
  </si>
  <si>
    <t>Network cost true up for Jul - Aug 2021</t>
  </si>
  <si>
    <t>Note: True up is spread over 10 months until Jun 2021. For VDO 2021 the true up calculation includes Sep - Dec 2021.</t>
  </si>
  <si>
    <t>Residential - TOU</t>
  </si>
  <si>
    <t>Small business - TOU</t>
  </si>
  <si>
    <t>Decision/Actual</t>
  </si>
  <si>
    <t>Actual</t>
  </si>
  <si>
    <t>Decision</t>
  </si>
  <si>
    <t>Decision ref</t>
  </si>
  <si>
    <t>VDO 2021</t>
  </si>
  <si>
    <t>Blended VDO 2021</t>
  </si>
  <si>
    <t>Annual VDO</t>
  </si>
  <si>
    <t>8 month VDO</t>
  </si>
  <si>
    <t>4 month VDO</t>
  </si>
  <si>
    <t>[blank]</t>
  </si>
  <si>
    <t>Poweror</t>
  </si>
  <si>
    <t>Reduction from initial proposal</t>
  </si>
  <si>
    <t>Bill impacts monthly</t>
  </si>
  <si>
    <t>Bill impacts monthly - 2021 VDO variation</t>
  </si>
  <si>
    <t>Network true up rates</t>
  </si>
  <si>
    <t>True up rate calculation</t>
  </si>
  <si>
    <t>Environmental true up rates</t>
  </si>
  <si>
    <t>LRET true up</t>
  </si>
  <si>
    <t>SRES true up</t>
  </si>
  <si>
    <t>VEU true up</t>
  </si>
  <si>
    <t>Environmental variable rate true ups</t>
  </si>
  <si>
    <t>Environmental true ups - checks</t>
  </si>
  <si>
    <t>Network true ups - checks</t>
  </si>
  <si>
    <t>Environmental true up values</t>
  </si>
  <si>
    <t>Off peak</t>
  </si>
  <si>
    <t>Domestic bills, estimated, $/month</t>
  </si>
  <si>
    <t>Small business bills, estimated, $/month</t>
  </si>
  <si>
    <t>VIC avg</t>
  </si>
  <si>
    <t>AVG per month</t>
  </si>
  <si>
    <t>Disclaimer, copyright &amp; terms and conditions of use
The VDO Price Determination model (model) does not constitute a decision or determination by the Essential Services Commission (commission). The model has been designed by the commission to enable it to calculate the tariffs a retailer may charge prescribed customers under a standing offer.
Limited access to this model is made available to third parties (users) for information purposes only and for the sole purpose of illustrating the modelling framework used by the commission to calculate the VDO tariffs.  The commission gives no warranty and makes no representation as to the accuracy, reliability, timeliness or other features of the data contained in the model for use other than calculation by the commission of the VDO tariffs.
Copyright and all other intellectual property rights in the model vests with the commission.  The commission hereby permits a user to view the model, download and use the model, and display and print the model from the commission’s website only in unaltered form, for the purposes of internal study, research, criticism or review by the user only, provided the user acknowledges the source of the model or any parts of the model.
A user must not disrupt, modify or interfere with the model, or alter or tamper with any information or material in or associated with the model, or gain or attempt to gain unauthorized access to secure parts of the model.  A user must not make the model available to a third party and must direct a third party to access the model directly from the commission’s website.
By viewing, downloading, using, displaying or printing the model or parts of the model, you agree to be bound by the disclaimer, copyright provisions and these terms and conditions of use. 
Note:  If you have obtained the model otherwise than by downloading it from the commission’s website, the model may have been modified by a previous user. The commission accepts no liability in relation to modifications made by any user.</t>
  </si>
  <si>
    <t>Anytime usage</t>
  </si>
  <si>
    <t>TOU usage</t>
  </si>
  <si>
    <t>Controlled load - RES</t>
  </si>
  <si>
    <t>Controlled load cost - residential</t>
  </si>
  <si>
    <t>Network true up rate</t>
  </si>
  <si>
    <t>Environmental  true up rate</t>
  </si>
  <si>
    <t>Network true up</t>
  </si>
  <si>
    <t>Environmental true up</t>
  </si>
  <si>
    <t>VDO residential rates</t>
  </si>
  <si>
    <t>VDO small business rates</t>
  </si>
  <si>
    <t>1 month impact (TOU)</t>
  </si>
  <si>
    <t>VDO period</t>
  </si>
  <si>
    <t>Total customers</t>
  </si>
  <si>
    <t>July</t>
  </si>
  <si>
    <t>August</t>
  </si>
  <si>
    <t>June</t>
  </si>
  <si>
    <t>Total usage</t>
  </si>
  <si>
    <t>Item</t>
  </si>
  <si>
    <t>No.</t>
  </si>
  <si>
    <t>TOU check</t>
  </si>
  <si>
    <t>Block check</t>
  </si>
  <si>
    <t>Single rate check</t>
  </si>
  <si>
    <t>Usage per customer</t>
  </si>
  <si>
    <t>Value</t>
  </si>
  <si>
    <t>Yes</t>
  </si>
  <si>
    <t>Controlled load - usage cost true up</t>
  </si>
  <si>
    <t>Input_Usage</t>
  </si>
  <si>
    <t>Input_DecisionActual</t>
  </si>
  <si>
    <t>Cost recovery days</t>
  </si>
  <si>
    <t>Input_TUEnv_Actual</t>
  </si>
  <si>
    <t>Input_TUNet_Actual</t>
  </si>
  <si>
    <t>Input_TUNet_Props</t>
  </si>
  <si>
    <t>Calc_TUV_Net_1</t>
  </si>
  <si>
    <t>Calc_TUV_Env_1</t>
  </si>
  <si>
    <t>TUNet_Usage_Actual_1</t>
  </si>
  <si>
    <t>Calc_TUV_Env_2</t>
  </si>
  <si>
    <t>Calc_TUV_Net_2</t>
  </si>
  <si>
    <t>TUNet_Usage_Actual_2</t>
  </si>
  <si>
    <t>Calc_TUR_Env_1</t>
  </si>
  <si>
    <t>Calc_TUV_EnvGroup_1</t>
  </si>
  <si>
    <t>Input_TUNet_Dates</t>
  </si>
  <si>
    <t>Usage per customer - Block 1 - Ausnet</t>
  </si>
  <si>
    <t>Network true up values per customers - Calc_TUV_NetGroup_1</t>
  </si>
  <si>
    <t>Network true up rates per customer per day - Calc_TUR_Net_1</t>
  </si>
  <si>
    <t>Network true up values per customers - Calc_TUV_NetGroup_2</t>
  </si>
  <si>
    <t>Network true up rates per customer per day - Calc_TUR_Net_2</t>
  </si>
  <si>
    <t>Usage per customer - Block 1</t>
  </si>
  <si>
    <t>Usage per customer - Balance</t>
  </si>
  <si>
    <t>Usage per customer - Single rate</t>
  </si>
  <si>
    <t>Latest extract</t>
  </si>
  <si>
    <t>C/21/23215, internal confirmation email</t>
  </si>
  <si>
    <t>TUNet_Usage_PerRate_2</t>
  </si>
  <si>
    <t>TUNet_Usage_PerRate_1</t>
  </si>
  <si>
    <t>Residential True Up</t>
  </si>
  <si>
    <t>Residential calculated rate</t>
  </si>
  <si>
    <t>Small business calculated rate</t>
  </si>
  <si>
    <t>Small business True Up</t>
  </si>
  <si>
    <t>VDO 2020 - Final</t>
  </si>
  <si>
    <t>VDO 2019 - Final</t>
  </si>
  <si>
    <t>Analysis - previous VDO bills - single rate</t>
  </si>
  <si>
    <t>FiT</t>
  </si>
  <si>
    <t>VDO 2021 Variation - Final</t>
  </si>
  <si>
    <t>VDO 2021 (blend)</t>
  </si>
  <si>
    <t>Weighting</t>
  </si>
  <si>
    <t>Environmental schemes</t>
  </si>
  <si>
    <t>Cost elements and total bills</t>
  </si>
  <si>
    <t>CHART</t>
  </si>
  <si>
    <t>% change</t>
  </si>
  <si>
    <t>Check</t>
  </si>
  <si>
    <t>% overall change</t>
  </si>
  <si>
    <t>Cost element change</t>
  </si>
  <si>
    <t>Residential TOU</t>
  </si>
  <si>
    <t>Small business TOU</t>
  </si>
  <si>
    <t>Difference, $</t>
  </si>
  <si>
    <t>Residential Anytime</t>
  </si>
  <si>
    <t>Small business Anytime</t>
  </si>
  <si>
    <t>kWh</t>
  </si>
  <si>
    <t xml:space="preserve"> </t>
  </si>
  <si>
    <t>Usage unit</t>
  </si>
  <si>
    <t>Usage value</t>
  </si>
  <si>
    <t>Tariffs and usage</t>
  </si>
  <si>
    <t>Residential Anytime with CL</t>
  </si>
  <si>
    <t>CL</t>
  </si>
  <si>
    <t>Tariff name</t>
  </si>
  <si>
    <t>Difference, %</t>
  </si>
  <si>
    <t>Bill dec</t>
  </si>
  <si>
    <t>Bill inc</t>
  </si>
  <si>
    <t>2022 VDO</t>
  </si>
  <si>
    <t>Chart comparison previous period</t>
  </si>
  <si>
    <t>% of overall change</t>
  </si>
  <si>
    <t>Usage</t>
  </si>
  <si>
    <t>Environmental - Anytime VDO</t>
  </si>
  <si>
    <t>Network - Anytime VDO</t>
  </si>
  <si>
    <t>GST (anytime)</t>
  </si>
  <si>
    <t>Retail margin (anytime)</t>
  </si>
  <si>
    <t>Subtotal</t>
  </si>
  <si>
    <t>Per kWh</t>
  </si>
  <si>
    <t>Domestic flat rate, indicative, $/year</t>
  </si>
  <si>
    <t>Small business flat rate, indicative, $/year</t>
  </si>
  <si>
    <t>Domestic TOU, indicative, $/year</t>
  </si>
  <si>
    <t>Collated data</t>
  </si>
  <si>
    <t>Include 2021 VDO in charts</t>
  </si>
  <si>
    <t>% of total</t>
  </si>
  <si>
    <t>Small-scale renewable energy scheme (SRES) - Liability true up (2021 only)</t>
  </si>
  <si>
    <t>Large-scale renewable energy target (LRET) - Liability true up (2021 only)</t>
  </si>
  <si>
    <t>C/21/24615, internal confirmation email</t>
  </si>
  <si>
    <t>C/21/23708, 'FiT' tab D32</t>
  </si>
  <si>
    <t>NA-no RERT cost applicable</t>
  </si>
  <si>
    <t>C/21/23276, p27</t>
  </si>
  <si>
    <t>Energy Consumers Australia</t>
  </si>
  <si>
    <t>C/21/24616, p43</t>
  </si>
  <si>
    <t>C/21/24616, p50</t>
  </si>
  <si>
    <t>C/21/24617, https://www.esc.vic.gov.au/victorian-energy-upgrades-program/participating-veu-program/energy-retailers-veu-program</t>
  </si>
  <si>
    <t>C/21/23708, 'VEU' tab F20</t>
  </si>
  <si>
    <t>C/21/24616, p53 'Cost of obtaining STCs'</t>
  </si>
  <si>
    <t>C/21/24616, p52 'Cost of obtaining LGCs'</t>
  </si>
  <si>
    <t>C/21/24616, p51 'Renewable Power Percentage'</t>
  </si>
  <si>
    <t>NA-no longer method for true up</t>
  </si>
  <si>
    <t>C/21/23708, 'SRES' tab E24</t>
  </si>
  <si>
    <t>NA-no NTP cost applicable</t>
  </si>
  <si>
    <t>C/21/23708, 'Ancillary Services' tab E16</t>
  </si>
  <si>
    <t>C/21/23708, 'Loss Factors' tab G15:G19</t>
  </si>
  <si>
    <t>C/21/23708, 'Loss Factors' tab D27:D31</t>
  </si>
  <si>
    <t>NA-no longer variable cost</t>
  </si>
  <si>
    <t>C/21/24679, internal confirmation email</t>
  </si>
  <si>
    <t>Cost element total</t>
  </si>
  <si>
    <t>Total (anytime) - from rounded rates</t>
  </si>
  <si>
    <t>Total (anytime) - from this sheet calcs</t>
  </si>
  <si>
    <t>change</t>
  </si>
  <si>
    <t>Draft 2022 VDO</t>
  </si>
  <si>
    <t>Domestic flat rate</t>
  </si>
  <si>
    <t>Domestic TOU</t>
  </si>
  <si>
    <t>Small business flat rate</t>
  </si>
  <si>
    <t>VDO domestic annual bill, Amended VDO 2021 vs Draft VDO 2022, $</t>
  </si>
  <si>
    <t>VDO small business annual bill, Amended VDO 2021 vs Draft VDO 2022, $</t>
  </si>
  <si>
    <t>Calculated</t>
  </si>
  <si>
    <t>Network true up rates per customer per kWh - Calc_TUR_NetCL_2</t>
  </si>
  <si>
    <t>Cost recovery kWh</t>
  </si>
  <si>
    <t>Porportion of annual usage</t>
  </si>
  <si>
    <t>Decision period</t>
  </si>
  <si>
    <t>Decision period multiplier</t>
  </si>
  <si>
    <t>Period (days)</t>
  </si>
  <si>
    <t>Distributed Energy Resources Integration Program (DER)</t>
  </si>
  <si>
    <t>IT upgrade and 5MS/GS compliance</t>
  </si>
  <si>
    <t>Calc_TU_rates</t>
  </si>
  <si>
    <t>Peer review notes</t>
  </si>
  <si>
    <t>Outstanding changes will create a flag on the 'Checks' tab.</t>
  </si>
  <si>
    <t>Pending changes</t>
  </si>
  <si>
    <t>Any required changes that pending execution (ie, because updated values are needed etc) are entered in the 'Pending changes' section table.</t>
  </si>
  <si>
    <t>Any executed changes are entered in the 'Change Log' section table to confirm all modifications made to the model.</t>
  </si>
  <si>
    <t>Any changes entered in the 'Change Log' table are complete once peer reviewed with confirmation notes entered in cols M-Q.</t>
  </si>
  <si>
    <t>Change log review</t>
  </si>
  <si>
    <t>ERROR</t>
  </si>
  <si>
    <t>In change log?</t>
  </si>
  <si>
    <t>Inputs count</t>
  </si>
  <si>
    <t>Inputs table</t>
  </si>
  <si>
    <t>Calc tables</t>
  </si>
  <si>
    <t>Calculated rates and prices</t>
  </si>
  <si>
    <t>Annual bills</t>
  </si>
  <si>
    <t>True up costs and rates</t>
  </si>
  <si>
    <t>C/21/23708, 'Loss Factors' tab E38:E42</t>
  </si>
  <si>
    <t>C/21/23708, 'Loss Factors' tab O25:O29</t>
  </si>
  <si>
    <t>C/21/30498, p53</t>
  </si>
  <si>
    <t>C/21/30498, p46</t>
  </si>
  <si>
    <t>C/21/30323, K8, 'Cost calc'</t>
  </si>
  <si>
    <t>C/21/23708, 'Ancillary Services' tab E16 (value updated)</t>
  </si>
  <si>
    <t>C/21/23276, p28</t>
  </si>
  <si>
    <t>C/21/30498, p54-55 'Cost of obtaining LGCs'</t>
  </si>
  <si>
    <t>C/21/30498, p56 'Cost of obtaining STCs'</t>
  </si>
  <si>
    <t>C/21/23708, 'VEU' tab F21</t>
  </si>
  <si>
    <t>Comparison table</t>
  </si>
  <si>
    <t>Change $</t>
  </si>
  <si>
    <t>Total usage - Controlled load</t>
  </si>
  <si>
    <t>July 2020 to August 2020</t>
  </si>
  <si>
    <t>January 2021 to June 2021</t>
  </si>
  <si>
    <t>July 2020 to June 2021</t>
  </si>
  <si>
    <t>Calc_TU_values</t>
  </si>
  <si>
    <t>CL usage - True up proportion</t>
  </si>
  <si>
    <t>Proportion of CL usage</t>
  </si>
  <si>
    <t>Cost recovery CL kWh</t>
  </si>
  <si>
    <t>Residential (anytime customer, assuming 4 000 kWh/yr)</t>
  </si>
  <si>
    <t>Small business (anytime customer, assuming 20 000 kWh/yr)</t>
  </si>
  <si>
    <t>Change ranking</t>
  </si>
  <si>
    <t>Notes</t>
  </si>
  <si>
    <t>Top 5 decreases</t>
  </si>
  <si>
    <t>Top 5 increases</t>
  </si>
  <si>
    <t>Change % of total</t>
  </si>
  <si>
    <t>C/21/31139, internal confirmation email</t>
  </si>
  <si>
    <t>Cost items for CPI adjustment</t>
  </si>
  <si>
    <t>Cost Item CPI</t>
  </si>
  <si>
    <t>Adjust?</t>
  </si>
  <si>
    <t>C/21/31371, internal confirmation email</t>
  </si>
  <si>
    <t>C/21/30498, p54 'Renewable Power Percentage'</t>
  </si>
  <si>
    <t>% of total change</t>
  </si>
  <si>
    <t>Final 2022 VDO</t>
  </si>
  <si>
    <t>VDO domestic annual bill, Amended VDO 2021 vs Final VDO 2022, $</t>
  </si>
  <si>
    <t>VDO small business annual bill, Amended VDO 2021 vs Final VDO 2022, $</t>
  </si>
  <si>
    <t>VDO domestic monthly bill, Amended VDO 2021 vs Final VDO 2022, $</t>
  </si>
  <si>
    <t>VDO small business monthly bill, Amended VDO 2021 vs Final VDO 2022, $</t>
  </si>
  <si>
    <t>Wholesale losses</t>
  </si>
  <si>
    <t>Environmental losses</t>
  </si>
  <si>
    <t>Other losses</t>
  </si>
  <si>
    <t>2022-23</t>
  </si>
  <si>
    <t>Jonathan Roberts</t>
  </si>
  <si>
    <t>Mayank Grover &amp; Patrice Yee</t>
  </si>
  <si>
    <t>CH_Bill impact annual!A1</t>
  </si>
  <si>
    <t>CH_Bill impact monthly!A1</t>
  </si>
  <si>
    <t>VDO 2022-23 - Draft</t>
  </si>
  <si>
    <t>VDO 2022-23 - Final</t>
  </si>
  <si>
    <t>F-CurrentVDO_InputDate2</t>
  </si>
  <si>
    <t>D-CurrentVDO_Input</t>
  </si>
  <si>
    <t>D-CurrentVDO_InputDate</t>
  </si>
  <si>
    <t>VF-PreviousVDO_Input</t>
  </si>
  <si>
    <t>VF-PreviousVDO_InputDate</t>
  </si>
  <si>
    <t>VD-PreviousVDO_Input</t>
  </si>
  <si>
    <t>VD-PreviousVDO_InputDate</t>
  </si>
  <si>
    <t>F-PreviousVDO_Input</t>
  </si>
  <si>
    <t>F-PreviousVDO_InputDate</t>
  </si>
  <si>
    <t>Progress Tracker</t>
  </si>
  <si>
    <t>Key tasks</t>
  </si>
  <si>
    <t>Input sheets</t>
  </si>
  <si>
    <t>Calc sheets</t>
  </si>
  <si>
    <t>Calc_rates</t>
  </si>
  <si>
    <t>Output sheets</t>
  </si>
  <si>
    <t>OP_CMAB</t>
  </si>
  <si>
    <t>Other sheets</t>
  </si>
  <si>
    <t>Complete</t>
  </si>
  <si>
    <t>QA</t>
  </si>
  <si>
    <t>Development</t>
  </si>
  <si>
    <t>C/22/1315, internal confirmation email</t>
  </si>
  <si>
    <t>C/21/35983, 'FiT' tab D32</t>
  </si>
  <si>
    <t>C/21/35983, 'Annual Metering Charges' tab D16</t>
  </si>
  <si>
    <t>C/21/35983, 'Annual Metering Charges' tab D17</t>
  </si>
  <si>
    <t>C/21/35983, 'Annual Metering Charges' tab D18</t>
  </si>
  <si>
    <t>C/21/35983, 'Annual Metering Charges' tab D19</t>
  </si>
  <si>
    <t>C/21/35983, 'Annual Metering Charges' tab D20</t>
  </si>
  <si>
    <t>Retail operating cost - consumer data right allowance</t>
  </si>
  <si>
    <t>C/22/6300, "Draft results - VDO FY23", c10</t>
  </si>
  <si>
    <t>C/22/6300, "Draft results - VDO FY23", c11</t>
  </si>
  <si>
    <t>C/22/6300, "Draft results - VDO FY23", c12</t>
  </si>
  <si>
    <t>C/22/6300, "Draft results - VDO FY23", c13</t>
  </si>
  <si>
    <t>C/22/6300, "Draft results - VDO FY23", c14</t>
  </si>
  <si>
    <t>C/22/6300, "Draft results - VDO FY23", e10</t>
  </si>
  <si>
    <t>C/22/6300, "Draft results - VDO FY23", e11</t>
  </si>
  <si>
    <t>C/22/6300, "Draft results - VDO FY23", e12</t>
  </si>
  <si>
    <t>C/22/6300, "Draft results - VDO FY23", e13</t>
  </si>
  <si>
    <t>C/22/6300, "Draft results - VDO FY23", e14</t>
  </si>
  <si>
    <t>C/22/6300, "Draft results - VDO FY23", d10</t>
  </si>
  <si>
    <t>C/22/6300, "Draft results - VDO FY23", d11</t>
  </si>
  <si>
    <t>C/22/6300, "Draft results - VDO FY23", d12</t>
  </si>
  <si>
    <t>C/22/6300, "Draft results - VDO FY23", d13</t>
  </si>
  <si>
    <t>C/22/6300, "Draft results - VDO FY23", d14</t>
  </si>
  <si>
    <t>C/22/6300, "Draft results - VDO FY23", f10</t>
  </si>
  <si>
    <t>C/22/6300, "Draft results - VDO FY23", f11</t>
  </si>
  <si>
    <t>C/22/6300, "Draft results - VDO FY23", f12</t>
  </si>
  <si>
    <t>C/22/6300, "Draft results - VDO FY23", f13</t>
  </si>
  <si>
    <t>C/22/6300, "Draft results - VDO FY23", f14</t>
  </si>
  <si>
    <t>C/22/6300, "Draft results - VDO FY23", c25</t>
  </si>
  <si>
    <t>C/22/6300, "Draft results - VDO FY23", c43</t>
  </si>
  <si>
    <t>C/22/6300, "Draft results - VDO FY23", c21</t>
  </si>
  <si>
    <t>C/22/6300, "Draft results - VDO FY23", c38 &amp; c39</t>
  </si>
  <si>
    <t>C/21/35983, 'Loss Factors' tab D38:D42</t>
  </si>
  <si>
    <t>C/22/6370, internal confirmation email</t>
  </si>
  <si>
    <t>C/22/6360, 'CDR per customer calcs' tab, F11</t>
  </si>
  <si>
    <t>C/21/35983, 'Ancillary Services' tab, E16</t>
  </si>
  <si>
    <t>C/21/35983 "VEU tab" F20</t>
  </si>
  <si>
    <t>C/21/35983, 'Loss Factors' tab D17:D21</t>
  </si>
  <si>
    <t>Cells have been changed</t>
  </si>
  <si>
    <t>For web publication</t>
  </si>
  <si>
    <t>Patrice Yee</t>
  </si>
  <si>
    <t>Output rates (both from cost stack calculation and true up) for all tariffs.</t>
  </si>
  <si>
    <t>Output annual bills for Compliant Maximum Annual Bill (CMAB).</t>
  </si>
  <si>
    <t>Table of contents</t>
  </si>
  <si>
    <t>Calculations for cost stack rates.</t>
  </si>
  <si>
    <t>Calculations for total true up amounts to be recovered.</t>
  </si>
  <si>
    <t>Calculations for true up rates to be applied over the determination period.</t>
  </si>
  <si>
    <t>All cost and non-cost inputs used in the model.</t>
  </si>
  <si>
    <t>Contains CPI indices used in the model.</t>
  </si>
  <si>
    <t>Inputs and assumptions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</si>
</sst>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7">
    <numFmt numFmtId="164" formatCode="&quot;$&quot;#,##0.00_);[Red]\(&quot;$&quot;#,##0.00\)"/>
    <numFmt numFmtId="165" formatCode="&quot;$&quot;#,##0_);[Red]\(&quot;$&quot;#,##0\)"/>
    <numFmt numFmtId="166" formatCode="&quot;$&quot;#,##0.00_);\(&quot;$&quot;#,##0.00\)"/>
    <numFmt numFmtId="167" formatCode="[Green][=0]&quot;OK&quot;;[Red]&quot;Err&quot;"/>
    <numFmt numFmtId="168" formatCode="0.0000"/>
    <numFmt numFmtId="169" formatCode="&quot;$&quot;#,##0.0000;[Red]\-&quot;$&quot;#,##0.0000"/>
    <numFmt numFmtId="170" formatCode="&quot;$&quot;#,##0.00000;[Red]\-&quot;$&quot;#,##0.00000"/>
    <numFmt numFmtId="171" formatCode="#&quot;.&quot;##"/>
    <numFmt numFmtId="172" formatCode="[Green][=0]&quot;OK&quot;;[Red]&quot;Error&quot;"/>
    <numFmt numFmtId="173" formatCode="0.00000"/>
    <numFmt numFmtId="174" formatCode="0.00000000"/>
    <numFmt numFmtId="175" formatCode="0.0%"/>
    <numFmt numFmtId="176" formatCode="\+0;\-0;0"/>
    <numFmt numFmtId="177" formatCode="0.0"/>
    <numFmt numFmtId="178" formatCode="\+&quot;$&quot;0;\-&quot;$&quot;0;&quot;$&quot;0"/>
    <numFmt numFmtId="179" formatCode="\+0%;\-0%;0%"/>
    <numFmt numFmtId="180" formatCode="&quot;$&quot;#,##0"/>
    <numFmt numFmtId="181" formatCode="&quot;$&quot;#,##0.0;[Red]\-&quot;$&quot;#,##0.0"/>
    <numFmt numFmtId="182" formatCode="&quot;$&quot;#,##0.000000;[Red]\-&quot;$&quot;#,##0.000000"/>
    <numFmt numFmtId="183" formatCode="&quot;$&quot;#,##0.0000000;[Red]\-&quot;$&quot;#,##0.0000000"/>
    <numFmt numFmtId="184" formatCode="&quot;$&quot;#,##0.00000000;[Red]\-&quot;$&quot;#,##0.00000000"/>
    <numFmt numFmtId="185" formatCode="[Green][&lt;=0]0.0%;[Red][&gt;0]0.0%"/>
    <numFmt numFmtId="186" formatCode="\+0.0%;\-0.0%;0.0%"/>
    <numFmt numFmtId="187" formatCode="&quot;$&quot;#,##0.00;[Red]&quot;$&quot;#,##0.00"/>
    <numFmt numFmtId="188" formatCode="0.000000000000000%"/>
    <numFmt numFmtId="189" formatCode="&quot;$&quot;#,##0.0_);[Red]\(&quot;$&quot;#,##0.0\)"/>
    <numFmt numFmtId="190" formatCode="[Green][=0]&quot;OK&quot;;[Red]General"/>
    <numFmt numFmtId="191" formatCode="&quot;$&quot;#,##0.0000;[Red]&quot;$&quot;#,##0.0000"/>
    <numFmt numFmtId="192" formatCode="0.000000"/>
    <numFmt numFmtId="193" formatCode="[Green][&lt;=0]0%;[Red][&gt;0]0%"/>
    <numFmt numFmtId="194" formatCode="[Green][&lt;=0]&quot;$&quot;0;[Red][&gt;0]&quot;$&quot;0"/>
    <numFmt numFmtId="195" formatCode="[Green][&lt;=0]&quot;$&quot;0.00;[Red][&gt;0]&quot;$&quot;0.00"/>
    <numFmt numFmtId="196" formatCode="[Green][&lt;=0]&quot;$&quot;0;[Red][&gt;0]\+&quot;$&quot;0"/>
    <numFmt numFmtId="197" formatCode="[Green][&lt;=0]0.0%;[Red][&gt;0]\+0.0%"/>
    <numFmt numFmtId="198" formatCode="&quot;$&quot;#,##0.0000_);[Red]\(&quot;$&quot;#,##0.0000\)"/>
    <numFmt numFmtId="199" formatCode="0.000%"/>
    <numFmt numFmtId="200" formatCode="0.000"/>
  </numFmts>
  <fonts count="38" x14ac:knownFonts="1">
    <font>
      <sz val="11"/>
      <color theme="1"/>
      <name val="Calibri"/>
      <family val="2"/>
      <scheme val="minor"/>
    </font>
    <font>
      <b/>
      <sz val="14"/>
      <color theme="0"/>
      <name val="Calibri"/>
      <family val="2"/>
      <scheme val="minor"/>
    </font>
    <font>
      <b/>
      <sz val="12"/>
      <color theme="1"/>
      <name val="Calibri"/>
      <family val="2"/>
      <scheme val="minor"/>
    </font>
    <font>
      <b/>
      <sz val="12"/>
      <color rgb="FF4986A0"/>
      <name val="Calibri"/>
      <family val="2"/>
      <scheme val="minor"/>
    </font>
    <font>
      <b/>
      <sz val="12"/>
      <name val="Calibri"/>
      <family val="2"/>
      <scheme val="minor"/>
    </font>
    <font>
      <b/>
      <sz val="12"/>
      <color rgb="FFCE0058"/>
      <name val="Calibri"/>
      <family val="2"/>
      <scheme val="minor"/>
    </font>
    <font>
      <sz val="11"/>
      <color theme="0"/>
      <name val="Calibri"/>
      <family val="2"/>
      <scheme val="minor"/>
    </font>
    <font>
      <sz val="11"/>
      <name val="Calibri"/>
      <family val="2"/>
      <scheme val="minor"/>
    </font>
    <font>
      <sz val="11"/>
      <color rgb="FF236192"/>
      <name val="Calibri"/>
      <family val="2"/>
      <scheme val="minor"/>
    </font>
    <font>
      <b/>
      <sz val="12"/>
      <color theme="0"/>
      <name val="Calibri"/>
      <family val="2"/>
      <scheme val="minor"/>
    </font>
    <font>
      <b/>
      <sz val="18"/>
      <color theme="0"/>
      <name val="Calibri"/>
      <family val="2"/>
      <scheme val="minor"/>
    </font>
    <font>
      <b/>
      <sz val="12"/>
      <color rgb="FF236192"/>
      <name val="Calibri"/>
      <family val="2"/>
      <scheme val="minor"/>
    </font>
    <font>
      <sz val="10"/>
      <color indexed="9"/>
      <name val="Verdana"/>
      <family val="2"/>
    </font>
    <font>
      <sz val="11"/>
      <color rgb="FF7F7F7F"/>
      <name val="Calibri"/>
      <family val="2"/>
      <scheme val="minor"/>
    </font>
    <font>
      <b/>
      <sz val="22"/>
      <color theme="0"/>
      <name val="Calibri"/>
      <family val="2"/>
      <scheme val="minor"/>
    </font>
    <font>
      <sz val="11"/>
      <color rgb="FFED8B00"/>
      <name val="Calibri"/>
      <family val="2"/>
      <scheme val="minor"/>
    </font>
    <font>
      <sz val="11"/>
      <color theme="1" tint="0.24994659260841701"/>
      <name val="Calibri"/>
      <family val="2"/>
      <scheme val="minor"/>
    </font>
    <font>
      <b/>
      <sz val="11"/>
      <name val="Calibri"/>
      <family val="2"/>
      <scheme val="minor"/>
    </font>
    <font>
      <sz val="11"/>
      <color theme="1"/>
      <name val="Calibri"/>
      <family val="2"/>
      <scheme val="minor"/>
    </font>
    <font>
      <i/>
      <sz val="11"/>
      <color rgb="FF7F7F7F"/>
      <name val="Calibri"/>
      <family val="2"/>
      <scheme val="minor"/>
    </font>
    <font>
      <sz val="12"/>
      <color rgb="FFCE0058"/>
      <name val="Calibri"/>
      <family val="2"/>
      <scheme val="minor"/>
    </font>
    <font>
      <sz val="11"/>
      <color rgb="FF4986A0"/>
      <name val="Calibri"/>
      <family val="2"/>
      <scheme val="minor"/>
    </font>
    <font>
      <sz val="12"/>
      <color rgb="FF4986A0"/>
      <name val="Calibri"/>
      <family val="2"/>
      <scheme val="minor"/>
    </font>
    <font>
      <sz val="12"/>
      <color theme="0"/>
      <name val="Calibri"/>
      <family val="2"/>
      <scheme val="minor"/>
    </font>
    <font>
      <sz val="12"/>
      <color theme="3"/>
      <name val="Calibri"/>
      <family val="2"/>
      <scheme val="minor"/>
    </font>
    <font>
      <sz val="12"/>
      <color theme="1"/>
      <name val="Calibri"/>
      <family val="2"/>
      <scheme val="minor"/>
    </font>
    <font>
      <sz val="11"/>
      <color rgb="FFCE0058"/>
      <name val="Calibri"/>
      <family val="2"/>
      <scheme val="minor"/>
    </font>
    <font>
      <sz val="11"/>
      <color rgb="FFFA7D00"/>
      <name val="Calibri"/>
      <family val="2"/>
      <scheme val="minor"/>
    </font>
    <font>
      <sz val="22"/>
      <color theme="0"/>
      <name val="Calibri"/>
      <family val="2"/>
      <scheme val="minor"/>
    </font>
    <font>
      <b/>
      <sz val="11"/>
      <color theme="1"/>
      <name val="Calibri"/>
      <family val="2"/>
      <scheme val="minor"/>
    </font>
    <font>
      <sz val="8"/>
      <name val="Calibri"/>
      <family val="2"/>
      <scheme val="minor"/>
    </font>
    <font>
      <b/>
      <sz val="10"/>
      <color theme="1"/>
      <name val="Verdana"/>
      <family val="2"/>
    </font>
    <font>
      <b/>
      <sz val="10"/>
      <color theme="0"/>
      <name val="Verdana"/>
      <family val="2"/>
    </font>
    <font>
      <b/>
      <sz val="11"/>
      <color theme="0"/>
      <name val="Verdana"/>
      <family val="2"/>
    </font>
    <font>
      <i/>
      <sz val="11"/>
      <color theme="1" tint="0.499984740745262"/>
      <name val="Calibri"/>
      <family val="2"/>
      <scheme val="minor"/>
    </font>
    <font>
      <b/>
      <sz val="11"/>
      <color rgb="FFED8B00"/>
      <name val="Calibri"/>
      <family val="2"/>
      <scheme val="minor"/>
    </font>
    <font>
      <b/>
      <sz val="11"/>
      <color indexed="8"/>
      <name val="Calibri"/>
      <family val="2"/>
      <scheme val="minor"/>
    </font>
    <font>
      <sz val="11"/>
      <color theme="5"/>
      <name val="Calibri"/>
      <family val="2"/>
      <scheme val="minor"/>
    </font>
  </fonts>
  <fills count="18">
    <fill>
      <patternFill patternType="none"/>
    </fill>
    <fill>
      <patternFill patternType="gray125"/>
    </fill>
    <fill>
      <patternFill patternType="solid">
        <fgColor rgb="FF236192"/>
        <bgColor indexed="64"/>
      </patternFill>
    </fill>
    <fill>
      <patternFill patternType="solid">
        <fgColor theme="0" tint="-0.14999847407452621"/>
        <bgColor indexed="64"/>
      </patternFill>
    </fill>
    <fill>
      <patternFill patternType="solid">
        <fgColor rgb="FF236192"/>
        <bgColor rgb="FF00A1DE"/>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1" tint="0.499984740745262"/>
        <bgColor indexed="64"/>
      </patternFill>
    </fill>
    <fill>
      <patternFill patternType="solid">
        <fgColor rgb="FF4986A0"/>
        <bgColor indexed="64"/>
      </patternFill>
    </fill>
    <fill>
      <patternFill patternType="solid">
        <fgColor rgb="FFAFCDDB"/>
        <bgColor indexed="64"/>
      </patternFill>
    </fill>
    <fill>
      <patternFill patternType="solid">
        <fgColor rgb="FFFFFF00"/>
        <bgColor indexed="64"/>
      </patternFill>
    </fill>
    <fill>
      <patternFill patternType="solid">
        <fgColor theme="0" tint="-0.34998626667073579"/>
        <bgColor indexed="64"/>
      </patternFill>
    </fill>
    <fill>
      <patternFill patternType="solid">
        <fgColor rgb="FFCE0058"/>
        <bgColor indexed="64"/>
      </patternFill>
    </fill>
    <fill>
      <patternFill patternType="solid">
        <fgColor rgb="FFD3DFE9"/>
        <bgColor indexed="64"/>
      </patternFill>
    </fill>
    <fill>
      <patternFill patternType="solid">
        <fgColor rgb="FF67A0B9"/>
        <bgColor indexed="64"/>
      </patternFill>
    </fill>
    <fill>
      <patternFill patternType="solid">
        <fgColor theme="0"/>
        <bgColor indexed="64"/>
      </patternFill>
    </fill>
    <fill>
      <patternFill patternType="solid">
        <fgColor rgb="FFFFE6C1"/>
        <bgColor indexed="64"/>
      </patternFill>
    </fill>
    <fill>
      <patternFill patternType="solid">
        <fgColor theme="5" tint="0.79998168889431442"/>
        <bgColor indexed="64"/>
      </patternFill>
    </fill>
  </fills>
  <borders count="33">
    <border>
      <left/>
      <right/>
      <top/>
      <bottom/>
      <diagonal/>
    </border>
    <border>
      <left/>
      <right/>
      <top/>
      <bottom style="thin">
        <color theme="0"/>
      </bottom>
      <diagonal/>
    </border>
    <border>
      <left/>
      <right/>
      <top/>
      <bottom style="medium">
        <color rgb="FFCE0058"/>
      </bottom>
      <diagonal/>
    </border>
    <border>
      <left style="hair">
        <color rgb="FF7F7F7F"/>
      </left>
      <right style="hair">
        <color rgb="FF7F7F7F"/>
      </right>
      <top style="hair">
        <color rgb="FF7F7F7F"/>
      </top>
      <bottom style="hair">
        <color rgb="FF7F7F7F"/>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rgb="FFCE0058"/>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double">
        <color rgb="FFFF8001"/>
      </bottom>
      <diagonal/>
    </border>
    <border>
      <left style="thin">
        <color theme="0"/>
      </left>
      <right style="thin">
        <color theme="0"/>
      </right>
      <top/>
      <bottom style="thin">
        <color theme="0"/>
      </bottom>
      <diagonal/>
    </border>
    <border>
      <left style="thin">
        <color theme="0" tint="-0.24994659260841701"/>
      </left>
      <right style="thin">
        <color theme="0" tint="-0.24994659260841701"/>
      </right>
      <top style="thin">
        <color theme="0" tint="-0.24994659260841701"/>
      </top>
      <bottom/>
      <diagonal/>
    </border>
    <border>
      <left/>
      <right/>
      <top style="thin">
        <color theme="0"/>
      </top>
      <bottom/>
      <diagonal/>
    </border>
    <border>
      <left style="thin">
        <color theme="0"/>
      </left>
      <right/>
      <top style="thin">
        <color theme="0"/>
      </top>
      <bottom style="thin">
        <color theme="0"/>
      </bottom>
      <diagonal/>
    </border>
    <border>
      <left style="thin">
        <color theme="0"/>
      </left>
      <right/>
      <top/>
      <bottom style="thin">
        <color theme="0"/>
      </bottom>
      <diagonal/>
    </border>
    <border>
      <left/>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n">
        <color rgb="FFFFFFFF"/>
      </bottom>
      <diagonal/>
    </border>
    <border>
      <left/>
      <right/>
      <top style="thin">
        <color rgb="FF4986A0"/>
      </top>
      <bottom style="double">
        <color rgb="FF4986A0"/>
      </bottom>
      <diagonal/>
    </border>
    <border>
      <left style="thin">
        <color theme="0"/>
      </left>
      <right style="thin">
        <color theme="0" tint="-0.24994659260841701"/>
      </right>
      <top style="thin">
        <color theme="0"/>
      </top>
      <bottom style="thin">
        <color theme="0"/>
      </bottom>
      <diagonal/>
    </border>
    <border>
      <left style="thin">
        <color theme="0"/>
      </left>
      <right style="thin">
        <color theme="0" tint="-0.24994659260841701"/>
      </right>
      <top style="thin">
        <color theme="0"/>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left>
      <right style="thin">
        <color theme="0"/>
      </right>
      <top style="thin">
        <color rgb="FFFFFFFF"/>
      </top>
      <bottom style="thin">
        <color theme="0"/>
      </bottom>
      <diagonal/>
    </border>
    <border>
      <left/>
      <right style="thin">
        <color theme="0"/>
      </right>
      <top style="thin">
        <color theme="0"/>
      </top>
      <bottom/>
      <diagonal/>
    </border>
    <border>
      <left/>
      <right style="thin">
        <color theme="0"/>
      </right>
      <top style="thin">
        <color theme="0"/>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theme="0" tint="-0.24994659260841701"/>
      </left>
      <right/>
      <top/>
      <bottom/>
      <diagonal/>
    </border>
    <border>
      <left style="thin">
        <color theme="0" tint="-0.24994659260841701"/>
      </left>
      <right style="thin">
        <color theme="0" tint="-0.24994659260841701"/>
      </right>
      <top/>
      <bottom/>
      <diagonal/>
    </border>
    <border>
      <left/>
      <right/>
      <top/>
      <bottom style="thin">
        <color indexed="64"/>
      </bottom>
      <diagonal/>
    </border>
    <border>
      <left style="thin">
        <color theme="0"/>
      </left>
      <right/>
      <top style="thin">
        <color theme="0"/>
      </top>
      <bottom/>
      <diagonal/>
    </border>
    <border>
      <left style="thin">
        <color theme="0" tint="-0.24994659260841701"/>
      </left>
      <right style="thin">
        <color theme="0"/>
      </right>
      <top style="thin">
        <color theme="0" tint="-0.24994659260841701"/>
      </top>
      <bottom style="thin">
        <color theme="0" tint="-0.24994659260841701"/>
      </bottom>
      <diagonal/>
    </border>
  </borders>
  <cellStyleXfs count="43">
    <xf numFmtId="0" fontId="0" fillId="0" borderId="0">
      <alignment vertical="top"/>
    </xf>
    <xf numFmtId="0" fontId="14" fillId="2" borderId="0" applyNumberFormat="0" applyProtection="0">
      <alignment horizontal="left" vertical="center"/>
    </xf>
    <xf numFmtId="0" fontId="10" fillId="2" borderId="1" applyNumberFormat="0" applyProtection="0">
      <alignment horizontal="left" vertical="center"/>
    </xf>
    <xf numFmtId="0" fontId="2" fillId="0" borderId="2" applyNumberFormat="0" applyFill="0" applyProtection="0">
      <alignment horizontal="left" vertical="center"/>
    </xf>
    <xf numFmtId="0" fontId="3" fillId="0" borderId="0" applyNumberFormat="0" applyFill="0" applyProtection="0">
      <alignment horizontal="left" vertical="center"/>
    </xf>
    <xf numFmtId="0" fontId="14" fillId="2" borderId="0" applyProtection="0">
      <alignment horizontal="left" vertical="center"/>
    </xf>
    <xf numFmtId="0" fontId="5" fillId="0" borderId="0" applyFill="0" applyProtection="0">
      <alignment horizontal="left" vertical="center"/>
    </xf>
    <xf numFmtId="0" fontId="7" fillId="9" borderId="7" applyNumberFormat="0">
      <alignment horizontal="center" vertical="center"/>
      <protection locked="0"/>
    </xf>
    <xf numFmtId="0" fontId="8" fillId="0" borderId="3" applyNumberFormat="0" applyProtection="0">
      <alignment horizontal="center" vertical="center"/>
    </xf>
    <xf numFmtId="0" fontId="9" fillId="2" borderId="0" applyProtection="0">
      <alignment horizontal="left" vertical="center"/>
    </xf>
    <xf numFmtId="0" fontId="6" fillId="2" borderId="0">
      <alignment horizontal="left" vertical="center"/>
    </xf>
    <xf numFmtId="0" fontId="10" fillId="2" borderId="1" applyProtection="0">
      <alignment horizontal="left" vertical="center"/>
    </xf>
    <xf numFmtId="0" fontId="11" fillId="0" borderId="0">
      <alignment horizontal="center" vertical="center"/>
    </xf>
    <xf numFmtId="0" fontId="12" fillId="4" borderId="4" applyBorder="0">
      <alignment horizontal="left" vertical="center"/>
    </xf>
    <xf numFmtId="0" fontId="13" fillId="0" borderId="0">
      <alignment horizontal="center" vertical="top"/>
    </xf>
    <xf numFmtId="0" fontId="16" fillId="6" borderId="7">
      <alignment horizontal="center" vertical="center"/>
    </xf>
    <xf numFmtId="0" fontId="15" fillId="5" borderId="7">
      <alignment vertical="top"/>
    </xf>
    <xf numFmtId="0" fontId="21" fillId="5" borderId="7">
      <alignment vertical="top"/>
    </xf>
    <xf numFmtId="0" fontId="2" fillId="0" borderId="2" applyFill="0" applyProtection="0">
      <alignment horizontal="left" vertical="center"/>
    </xf>
    <xf numFmtId="167" fontId="26" fillId="5" borderId="7" applyAlignment="0" applyProtection="0"/>
    <xf numFmtId="0" fontId="18" fillId="10" borderId="5" applyNumberFormat="0" applyFont="0" applyAlignment="0" applyProtection="0"/>
    <xf numFmtId="0" fontId="19" fillId="0" borderId="0" applyNumberFormat="0" applyFill="0" applyBorder="0" applyProtection="0">
      <alignment vertical="top"/>
    </xf>
    <xf numFmtId="172" fontId="20" fillId="5" borderId="7" applyProtection="0">
      <alignment horizontal="center" vertical="top"/>
    </xf>
    <xf numFmtId="0" fontId="2" fillId="0" borderId="6" applyFill="0" applyProtection="0">
      <alignment horizontal="left" vertical="center"/>
    </xf>
    <xf numFmtId="0" fontId="23" fillId="8" borderId="7">
      <alignment horizontal="center" vertical="top"/>
    </xf>
    <xf numFmtId="0" fontId="18" fillId="0" borderId="8">
      <alignment vertical="top"/>
    </xf>
    <xf numFmtId="0" fontId="22" fillId="0" borderId="0">
      <alignment vertical="top"/>
    </xf>
    <xf numFmtId="0" fontId="14" fillId="2" borderId="0" applyNumberFormat="0" applyProtection="0">
      <alignment horizontal="left" vertical="center"/>
    </xf>
    <xf numFmtId="0" fontId="10" fillId="2" borderId="1" applyNumberFormat="0" applyProtection="0">
      <alignment horizontal="left" vertical="center"/>
    </xf>
    <xf numFmtId="0" fontId="2" fillId="0" borderId="2" applyNumberFormat="0" applyFill="0" applyProtection="0">
      <alignment horizontal="left" vertical="center"/>
    </xf>
    <xf numFmtId="0" fontId="3" fillId="0" borderId="0" applyNumberFormat="0" applyFill="0" applyProtection="0">
      <alignment horizontal="left" vertical="center"/>
    </xf>
    <xf numFmtId="0" fontId="4" fillId="0" borderId="0" applyFill="0" applyProtection="0">
      <alignment horizontal="left" vertical="center"/>
    </xf>
    <xf numFmtId="0" fontId="5" fillId="0" borderId="0" applyFill="0" applyProtection="0">
      <alignment horizontal="left" vertical="center"/>
    </xf>
    <xf numFmtId="0" fontId="7" fillId="0" borderId="8" applyAlignment="0" applyProtection="0">
      <alignment horizontal="left" vertical="center"/>
    </xf>
    <xf numFmtId="0" fontId="1" fillId="2" borderId="0">
      <alignment horizontal="center" vertical="center"/>
    </xf>
    <xf numFmtId="0" fontId="6" fillId="7" borderId="7">
      <alignment horizontal="center" vertical="center"/>
    </xf>
    <xf numFmtId="0" fontId="27" fillId="0" borderId="9" applyNumberFormat="0" applyFill="0" applyAlignment="0" applyProtection="0"/>
    <xf numFmtId="171" fontId="33" fillId="2" borderId="0">
      <alignment horizontal="left" vertical="center"/>
    </xf>
    <xf numFmtId="9" fontId="18" fillId="0" borderId="0" applyFont="0" applyFill="0" applyBorder="0" applyAlignment="0" applyProtection="0"/>
    <xf numFmtId="0" fontId="8" fillId="0" borderId="0">
      <alignment horizontal="left" vertical="center"/>
    </xf>
    <xf numFmtId="0" fontId="29" fillId="0" borderId="18" applyNumberFormat="0" applyFill="0" applyAlignment="0" applyProtection="0"/>
    <xf numFmtId="0" fontId="34" fillId="0" borderId="21">
      <alignment horizontal="left" vertical="center"/>
    </xf>
    <xf numFmtId="0" fontId="7" fillId="0" borderId="27" applyAlignment="0" applyProtection="0">
      <alignment horizontal="left" vertical="center"/>
    </xf>
  </cellStyleXfs>
  <cellXfs count="388">
    <xf numFmtId="0" fontId="0" fillId="0" borderId="0" xfId="0">
      <alignment vertical="top"/>
    </xf>
    <xf numFmtId="0" fontId="5" fillId="0" borderId="0" xfId="6">
      <alignment horizontal="left" vertical="center"/>
    </xf>
    <xf numFmtId="0" fontId="7" fillId="9" borderId="7" xfId="7">
      <alignment horizontal="center" vertical="center"/>
      <protection locked="0"/>
    </xf>
    <xf numFmtId="0" fontId="9" fillId="2" borderId="0" xfId="9">
      <alignment horizontal="left" vertical="center"/>
    </xf>
    <xf numFmtId="0" fontId="0" fillId="3" borderId="0" xfId="0" applyFill="1">
      <alignment vertical="top"/>
    </xf>
    <xf numFmtId="0" fontId="0" fillId="3" borderId="0" xfId="0" applyFill="1" applyAlignment="1">
      <alignment wrapText="1"/>
    </xf>
    <xf numFmtId="0" fontId="0" fillId="0" borderId="0" xfId="0" applyAlignment="1">
      <alignment horizontal="center"/>
    </xf>
    <xf numFmtId="0" fontId="0" fillId="0" borderId="0" xfId="0" applyAlignment="1">
      <alignment horizontal="right" vertical="center"/>
    </xf>
    <xf numFmtId="0" fontId="0" fillId="0" borderId="0" xfId="0" applyAlignment="1">
      <alignment horizontal="center" vertical="center"/>
    </xf>
    <xf numFmtId="0" fontId="11" fillId="0" borderId="0" xfId="12">
      <alignment horizontal="center" vertical="center"/>
    </xf>
    <xf numFmtId="0" fontId="0" fillId="0" borderId="0" xfId="0" applyAlignment="1">
      <alignment vertical="top" wrapText="1"/>
    </xf>
    <xf numFmtId="0" fontId="6" fillId="2" borderId="0" xfId="10" applyAlignment="1">
      <alignment horizontal="left" vertical="top" wrapText="1"/>
    </xf>
    <xf numFmtId="0" fontId="0" fillId="3" borderId="0" xfId="0" applyFill="1" applyAlignment="1">
      <alignment vertical="top" wrapText="1"/>
    </xf>
    <xf numFmtId="0" fontId="8" fillId="2" borderId="0" xfId="39" applyFill="1" applyAlignment="1">
      <alignment horizontal="left" vertical="top"/>
    </xf>
    <xf numFmtId="15" fontId="7" fillId="9" borderId="7" xfId="7" applyNumberFormat="1">
      <alignment horizontal="center" vertical="center"/>
      <protection locked="0"/>
    </xf>
    <xf numFmtId="0" fontId="7" fillId="9" borderId="7" xfId="7" applyNumberFormat="1">
      <alignment horizontal="center" vertical="center"/>
      <protection locked="0"/>
    </xf>
    <xf numFmtId="0" fontId="13" fillId="0" borderId="0" xfId="14">
      <alignment horizontal="center" vertical="top"/>
    </xf>
    <xf numFmtId="0" fontId="16" fillId="6" borderId="7" xfId="15">
      <alignment horizontal="center" vertical="center"/>
    </xf>
    <xf numFmtId="0" fontId="8" fillId="2" borderId="0" xfId="39" quotePrefix="1" applyFill="1" applyAlignment="1">
      <alignment horizontal="left" vertical="top"/>
    </xf>
    <xf numFmtId="15" fontId="0" fillId="0" borderId="0" xfId="0" applyNumberFormat="1">
      <alignment vertical="top"/>
    </xf>
    <xf numFmtId="0" fontId="0" fillId="3" borderId="0" xfId="0" applyFill="1" applyAlignment="1">
      <alignment horizontal="center" vertical="top"/>
    </xf>
    <xf numFmtId="0" fontId="0" fillId="2" borderId="0" xfId="0" applyFill="1" applyAlignment="1">
      <alignment horizontal="center"/>
    </xf>
    <xf numFmtId="0" fontId="0" fillId="2" borderId="0" xfId="0" applyFill="1">
      <alignment vertical="top"/>
    </xf>
    <xf numFmtId="0" fontId="18" fillId="0" borderId="8" xfId="25">
      <alignment vertical="top"/>
    </xf>
    <xf numFmtId="172" fontId="20" fillId="5" borderId="7" xfId="22">
      <alignment horizontal="center" vertical="top"/>
    </xf>
    <xf numFmtId="0" fontId="14" fillId="2" borderId="0" xfId="5">
      <alignment horizontal="left" vertical="center"/>
    </xf>
    <xf numFmtId="0" fontId="10" fillId="2" borderId="1" xfId="11">
      <alignment horizontal="left" vertical="center"/>
    </xf>
    <xf numFmtId="0" fontId="10" fillId="2" borderId="1" xfId="11" applyAlignment="1">
      <alignment horizontal="center" vertical="center"/>
    </xf>
    <xf numFmtId="0" fontId="2" fillId="0" borderId="2" xfId="18">
      <alignment horizontal="left" vertical="center"/>
    </xf>
    <xf numFmtId="0" fontId="22" fillId="0" borderId="0" xfId="26">
      <alignment vertical="top"/>
    </xf>
    <xf numFmtId="0" fontId="14" fillId="2" borderId="0" xfId="5" applyAlignment="1">
      <alignment horizontal="center" vertical="center"/>
    </xf>
    <xf numFmtId="0" fontId="9" fillId="2" borderId="0" xfId="9" applyAlignment="1">
      <alignment horizontal="center" vertical="center"/>
    </xf>
    <xf numFmtId="0" fontId="6" fillId="2" borderId="0" xfId="10" applyAlignment="1">
      <alignment horizontal="center" vertical="top"/>
    </xf>
    <xf numFmtId="0" fontId="2" fillId="0" borderId="2" xfId="18" applyFill="1">
      <alignment horizontal="left" vertical="center"/>
    </xf>
    <xf numFmtId="0" fontId="0" fillId="0" borderId="0" xfId="0" applyAlignment="1">
      <alignment horizontal="center" vertical="top" wrapText="1"/>
    </xf>
    <xf numFmtId="0" fontId="5" fillId="0" borderId="0" xfId="6" applyAlignment="1">
      <alignment horizontal="center" vertical="center"/>
    </xf>
    <xf numFmtId="0" fontId="18" fillId="0" borderId="8" xfId="25" applyAlignment="1">
      <alignment vertical="top" wrapText="1"/>
    </xf>
    <xf numFmtId="0" fontId="28" fillId="2" borderId="0" xfId="5" applyFont="1" applyAlignment="1">
      <alignment horizontal="center" vertical="center"/>
    </xf>
    <xf numFmtId="0" fontId="7" fillId="9" borderId="7" xfId="7" applyAlignment="1">
      <alignment horizontal="right" vertical="center"/>
      <protection locked="0"/>
    </xf>
    <xf numFmtId="0" fontId="16" fillId="6" borderId="7" xfId="15" applyAlignment="1">
      <alignment horizontal="right" vertical="center"/>
    </xf>
    <xf numFmtId="0" fontId="22" fillId="0" borderId="0" xfId="26" applyAlignment="1">
      <alignment horizontal="right" vertical="center"/>
    </xf>
    <xf numFmtId="0" fontId="6" fillId="7" borderId="7" xfId="35">
      <alignment horizontal="center" vertical="center"/>
    </xf>
    <xf numFmtId="0" fontId="23" fillId="8" borderId="7" xfId="24">
      <alignment horizontal="center" vertical="top"/>
    </xf>
    <xf numFmtId="0" fontId="23" fillId="8" borderId="10" xfId="24" applyBorder="1">
      <alignment horizontal="center" vertical="top"/>
    </xf>
    <xf numFmtId="0" fontId="18" fillId="0" borderId="11" xfId="25" applyBorder="1">
      <alignment vertical="top"/>
    </xf>
    <xf numFmtId="15" fontId="18" fillId="0" borderId="8" xfId="25" applyNumberFormat="1" applyAlignment="1">
      <alignment horizontal="left" vertical="top"/>
    </xf>
    <xf numFmtId="2" fontId="7" fillId="9" borderId="13" xfId="7" applyNumberFormat="1" applyBorder="1">
      <alignment horizontal="center" vertical="center"/>
      <protection locked="0"/>
    </xf>
    <xf numFmtId="0" fontId="23" fillId="8" borderId="10" xfId="24" applyBorder="1" applyAlignment="1">
      <alignment horizontal="center" vertical="top"/>
    </xf>
    <xf numFmtId="0" fontId="23" fillId="8" borderId="14" xfId="24" applyBorder="1" applyAlignment="1">
      <alignment horizontal="center" vertical="top"/>
    </xf>
    <xf numFmtId="15" fontId="16" fillId="6" borderId="7" xfId="15" applyNumberFormat="1">
      <alignment horizontal="center" vertical="center"/>
    </xf>
    <xf numFmtId="0" fontId="23" fillId="8" borderId="7" xfId="24" applyAlignment="1">
      <alignment horizontal="right" vertical="top"/>
    </xf>
    <xf numFmtId="0" fontId="16" fillId="6" borderId="15" xfId="15" applyBorder="1" applyAlignment="1">
      <alignment horizontal="left" vertical="center"/>
    </xf>
    <xf numFmtId="0" fontId="23" fillId="8" borderId="1" xfId="24" applyBorder="1">
      <alignment horizontal="center" vertical="top"/>
    </xf>
    <xf numFmtId="0" fontId="16" fillId="6" borderId="12" xfId="15" applyBorder="1" applyAlignment="1">
      <alignment horizontal="left" vertical="center"/>
    </xf>
    <xf numFmtId="0" fontId="23" fillId="8" borderId="7" xfId="24" applyAlignment="1">
      <alignment horizontal="left" vertical="top"/>
    </xf>
    <xf numFmtId="168" fontId="7" fillId="9" borderId="7" xfId="7" applyNumberFormat="1" applyAlignment="1">
      <alignment horizontal="right" vertical="center"/>
      <protection locked="0"/>
    </xf>
    <xf numFmtId="10" fontId="7" fillId="0" borderId="8" xfId="33" applyNumberFormat="1" applyAlignment="1">
      <alignment vertical="top"/>
    </xf>
    <xf numFmtId="0" fontId="29" fillId="0" borderId="8" xfId="25" applyFont="1">
      <alignment vertical="top"/>
    </xf>
    <xf numFmtId="0" fontId="0" fillId="0" borderId="8" xfId="0" applyBorder="1">
      <alignment vertical="top"/>
    </xf>
    <xf numFmtId="0" fontId="0" fillId="0" borderId="8" xfId="25" applyFont="1">
      <alignment vertical="top"/>
    </xf>
    <xf numFmtId="0" fontId="23" fillId="8" borderId="10" xfId="24" applyBorder="1" applyAlignment="1">
      <alignment horizontal="right" vertical="top"/>
    </xf>
    <xf numFmtId="169" fontId="7" fillId="0" borderId="8" xfId="33" applyNumberFormat="1" applyAlignment="1">
      <alignment vertical="top"/>
    </xf>
    <xf numFmtId="169" fontId="15" fillId="5" borderId="7" xfId="16" applyNumberFormat="1">
      <alignment vertical="top"/>
    </xf>
    <xf numFmtId="2" fontId="7" fillId="9" borderId="7" xfId="7" applyNumberFormat="1" applyAlignment="1">
      <alignment horizontal="right" vertical="center"/>
      <protection locked="0"/>
    </xf>
    <xf numFmtId="168" fontId="18" fillId="0" borderId="8" xfId="25" applyNumberFormat="1">
      <alignment vertical="top"/>
    </xf>
    <xf numFmtId="2" fontId="18" fillId="0" borderId="8" xfId="25" applyNumberFormat="1">
      <alignment vertical="top"/>
    </xf>
    <xf numFmtId="2" fontId="0" fillId="0" borderId="8" xfId="25" applyNumberFormat="1" applyFont="1">
      <alignment vertical="top"/>
    </xf>
    <xf numFmtId="168" fontId="0" fillId="0" borderId="8" xfId="25" applyNumberFormat="1" applyFont="1">
      <alignment vertical="top"/>
    </xf>
    <xf numFmtId="0" fontId="29" fillId="0" borderId="8" xfId="0" applyFont="1" applyBorder="1">
      <alignment vertical="top"/>
    </xf>
    <xf numFmtId="9" fontId="7" fillId="9" borderId="7" xfId="7" applyNumberFormat="1">
      <alignment horizontal="center" vertical="center"/>
      <protection locked="0"/>
    </xf>
    <xf numFmtId="0" fontId="0" fillId="0" borderId="11" xfId="0" applyBorder="1">
      <alignment vertical="top"/>
    </xf>
    <xf numFmtId="10" fontId="7" fillId="0" borderId="11" xfId="33" applyNumberFormat="1" applyBorder="1" applyAlignment="1">
      <alignment vertical="top"/>
    </xf>
    <xf numFmtId="169" fontId="7" fillId="0" borderId="11" xfId="33" applyNumberFormat="1" applyBorder="1" applyAlignment="1">
      <alignment vertical="top"/>
    </xf>
    <xf numFmtId="164" fontId="7" fillId="0" borderId="8" xfId="33" applyNumberFormat="1" applyAlignment="1">
      <alignment vertical="top" wrapText="1"/>
    </xf>
    <xf numFmtId="169" fontId="17" fillId="0" borderId="8" xfId="33" applyNumberFormat="1" applyFont="1" applyAlignment="1">
      <alignment vertical="top" wrapText="1"/>
    </xf>
    <xf numFmtId="0" fontId="6" fillId="7" borderId="13" xfId="35" applyBorder="1">
      <alignment horizontal="center" vertical="center"/>
    </xf>
    <xf numFmtId="0" fontId="15" fillId="5" borderId="7" xfId="16">
      <alignment vertical="top"/>
    </xf>
    <xf numFmtId="169" fontId="7" fillId="0" borderId="8" xfId="33" applyNumberFormat="1" applyAlignment="1">
      <alignment vertical="top" wrapText="1"/>
    </xf>
    <xf numFmtId="169" fontId="0" fillId="0" borderId="0" xfId="0" applyNumberFormat="1">
      <alignment vertical="top"/>
    </xf>
    <xf numFmtId="170" fontId="0" fillId="0" borderId="0" xfId="0" applyNumberFormat="1">
      <alignment vertical="top"/>
    </xf>
    <xf numFmtId="170" fontId="7" fillId="0" borderId="8" xfId="33" applyNumberFormat="1" applyAlignment="1">
      <alignment vertical="top" wrapText="1"/>
    </xf>
    <xf numFmtId="0" fontId="4" fillId="0" borderId="0" xfId="31">
      <alignment horizontal="left" vertical="center"/>
    </xf>
    <xf numFmtId="0" fontId="6" fillId="7" borderId="7" xfId="35" applyAlignment="1">
      <alignment horizontal="left" vertical="center"/>
    </xf>
    <xf numFmtId="169" fontId="16" fillId="6" borderId="7" xfId="15" applyNumberFormat="1" applyAlignment="1">
      <alignment horizontal="right" vertical="center"/>
    </xf>
    <xf numFmtId="169" fontId="16" fillId="6" borderId="13" xfId="15" applyNumberFormat="1" applyBorder="1" applyAlignment="1">
      <alignment horizontal="right" vertical="center"/>
    </xf>
    <xf numFmtId="0" fontId="23" fillId="8" borderId="14" xfId="24" applyBorder="1" applyAlignment="1">
      <alignment horizontal="right" vertical="top"/>
    </xf>
    <xf numFmtId="168" fontId="7" fillId="0" borderId="8" xfId="33" applyNumberFormat="1" applyAlignment="1">
      <alignment vertical="top"/>
    </xf>
    <xf numFmtId="164" fontId="0" fillId="0" borderId="0" xfId="0" applyNumberFormat="1">
      <alignment vertical="top"/>
    </xf>
    <xf numFmtId="0" fontId="31" fillId="13" borderId="4" xfId="0" applyFont="1" applyFill="1" applyBorder="1" applyAlignment="1">
      <alignment horizontal="center" vertical="center"/>
    </xf>
    <xf numFmtId="0" fontId="32" fillId="11" borderId="4" xfId="0" applyFont="1" applyFill="1" applyBorder="1" applyAlignment="1">
      <alignment horizontal="center" vertical="center"/>
    </xf>
    <xf numFmtId="0" fontId="32" fillId="2" borderId="4" xfId="0" applyFont="1" applyFill="1" applyBorder="1" applyAlignment="1">
      <alignment horizontal="center" vertical="center"/>
    </xf>
    <xf numFmtId="0" fontId="32" fillId="12" borderId="4" xfId="0" applyFont="1" applyFill="1" applyBorder="1" applyAlignment="1">
      <alignment horizontal="center" vertical="center"/>
    </xf>
    <xf numFmtId="0" fontId="32" fillId="14" borderId="4" xfId="0" applyFont="1" applyFill="1" applyBorder="1" applyAlignment="1">
      <alignment horizontal="center" vertical="center"/>
    </xf>
    <xf numFmtId="172" fontId="20" fillId="5" borderId="7" xfId="22" applyAlignment="1">
      <alignment horizontal="right" vertical="top"/>
    </xf>
    <xf numFmtId="169" fontId="15" fillId="5" borderId="13" xfId="16" applyNumberFormat="1" applyBorder="1">
      <alignment vertical="top"/>
    </xf>
    <xf numFmtId="172" fontId="20" fillId="5" borderId="7" xfId="22" applyAlignment="1">
      <alignment horizontal="center" vertical="center"/>
    </xf>
    <xf numFmtId="0" fontId="23" fillId="2" borderId="0" xfId="9" applyFont="1" applyAlignment="1">
      <alignment horizontal="center"/>
    </xf>
    <xf numFmtId="0" fontId="18" fillId="0" borderId="8" xfId="25" applyAlignment="1">
      <alignment horizontal="left" vertical="top"/>
    </xf>
    <xf numFmtId="15" fontId="16" fillId="6" borderId="7" xfId="15" applyNumberFormat="1" applyAlignment="1">
      <alignment horizontal="right" vertical="center"/>
    </xf>
    <xf numFmtId="15" fontId="7" fillId="9" borderId="7" xfId="7" applyNumberFormat="1" applyAlignment="1">
      <alignment horizontal="right" vertical="center"/>
      <protection locked="0"/>
    </xf>
    <xf numFmtId="10" fontId="15" fillId="5" borderId="7" xfId="16" applyNumberFormat="1">
      <alignment vertical="top"/>
    </xf>
    <xf numFmtId="168" fontId="15" fillId="5" borderId="7" xfId="16" applyNumberFormat="1">
      <alignment vertical="top"/>
    </xf>
    <xf numFmtId="165" fontId="18" fillId="0" borderId="8" xfId="25" applyNumberFormat="1" applyAlignment="1">
      <alignment vertical="top" wrapText="1"/>
    </xf>
    <xf numFmtId="165" fontId="18" fillId="0" borderId="8" xfId="25" applyNumberFormat="1">
      <alignment vertical="top"/>
    </xf>
    <xf numFmtId="0" fontId="18" fillId="0" borderId="8" xfId="25" applyAlignment="1">
      <alignment horizontal="center" vertical="top"/>
    </xf>
    <xf numFmtId="165" fontId="15" fillId="5" borderId="7" xfId="16" applyNumberFormat="1">
      <alignment vertical="top"/>
    </xf>
    <xf numFmtId="15" fontId="18" fillId="0" borderId="8" xfId="25" applyNumberFormat="1" applyFill="1" applyAlignment="1">
      <alignment horizontal="left" vertical="top"/>
    </xf>
    <xf numFmtId="0" fontId="22" fillId="0" borderId="0" xfId="26" applyAlignment="1">
      <alignment horizontal="right" vertical="top"/>
    </xf>
    <xf numFmtId="173" fontId="0" fillId="0" borderId="0" xfId="0" applyNumberFormat="1">
      <alignment vertical="top"/>
    </xf>
    <xf numFmtId="174" fontId="0" fillId="0" borderId="0" xfId="0" applyNumberFormat="1">
      <alignment vertical="top"/>
    </xf>
    <xf numFmtId="167" fontId="26" fillId="5" borderId="7" xfId="19" applyAlignment="1">
      <alignment vertical="top" wrapText="1"/>
    </xf>
    <xf numFmtId="0" fontId="18" fillId="10" borderId="8" xfId="25" applyFill="1">
      <alignment vertical="top"/>
    </xf>
    <xf numFmtId="0" fontId="6" fillId="7" borderId="7" xfId="35" applyAlignment="1">
      <alignment horizontal="center" vertical="center"/>
    </xf>
    <xf numFmtId="10" fontId="0" fillId="0" borderId="0" xfId="0" applyNumberFormat="1">
      <alignment vertical="top"/>
    </xf>
    <xf numFmtId="9" fontId="18" fillId="0" borderId="8" xfId="25" applyNumberFormat="1">
      <alignment vertical="top"/>
    </xf>
    <xf numFmtId="0" fontId="23" fillId="8" borderId="16" xfId="24" applyBorder="1">
      <alignment horizontal="center" vertical="top"/>
    </xf>
    <xf numFmtId="0" fontId="18" fillId="0" borderId="8" xfId="25" applyFont="1">
      <alignment vertical="top"/>
    </xf>
    <xf numFmtId="0" fontId="18" fillId="0" borderId="11" xfId="25" applyFont="1" applyBorder="1">
      <alignment vertical="top"/>
    </xf>
    <xf numFmtId="9" fontId="0" fillId="0" borderId="0" xfId="0" applyNumberFormat="1">
      <alignment vertical="top"/>
    </xf>
    <xf numFmtId="168" fontId="16" fillId="6" borderId="7" xfId="15" applyNumberFormat="1" applyAlignment="1">
      <alignment horizontal="right" vertical="center"/>
    </xf>
    <xf numFmtId="164" fontId="18" fillId="0" borderId="8" xfId="25" applyNumberFormat="1" applyAlignment="1">
      <alignment vertical="top" wrapText="1"/>
    </xf>
    <xf numFmtId="165" fontId="0" fillId="0" borderId="0" xfId="0" applyNumberFormat="1">
      <alignment vertical="top"/>
    </xf>
    <xf numFmtId="175" fontId="0" fillId="0" borderId="0" xfId="0" applyNumberFormat="1">
      <alignment vertical="top"/>
    </xf>
    <xf numFmtId="0" fontId="23" fillId="2" borderId="0" xfId="9" applyFont="1" applyAlignment="1">
      <alignment horizontal="left"/>
    </xf>
    <xf numFmtId="0" fontId="8" fillId="0" borderId="0" xfId="39">
      <alignment horizontal="left" vertical="center"/>
    </xf>
    <xf numFmtId="0" fontId="18" fillId="0" borderId="8" xfId="25" applyFill="1">
      <alignment vertical="top"/>
    </xf>
    <xf numFmtId="0" fontId="23" fillId="8" borderId="7" xfId="24" applyAlignment="1">
      <alignment horizontal="center" vertical="top"/>
    </xf>
    <xf numFmtId="3" fontId="7" fillId="9" borderId="7" xfId="7" applyNumberFormat="1" applyAlignment="1">
      <alignment horizontal="right" vertical="center"/>
      <protection locked="0"/>
    </xf>
    <xf numFmtId="173" fontId="18" fillId="0" borderId="8" xfId="25" applyNumberFormat="1">
      <alignment vertical="top"/>
    </xf>
    <xf numFmtId="173" fontId="0" fillId="0" borderId="8" xfId="25" applyNumberFormat="1" applyFont="1">
      <alignment vertical="top"/>
    </xf>
    <xf numFmtId="0" fontId="0" fillId="15" borderId="0" xfId="0" applyFill="1" applyAlignment="1">
      <alignment vertical="center"/>
    </xf>
    <xf numFmtId="3" fontId="0" fillId="15" borderId="0" xfId="0" applyNumberFormat="1" applyFill="1" applyAlignment="1">
      <alignment vertical="center"/>
    </xf>
    <xf numFmtId="1" fontId="0" fillId="15" borderId="0" xfId="0" applyNumberFormat="1" applyFill="1" applyAlignment="1">
      <alignment vertical="center"/>
    </xf>
    <xf numFmtId="176" fontId="0" fillId="15" borderId="0" xfId="0" applyNumberFormat="1" applyFill="1" applyAlignment="1">
      <alignment vertical="center"/>
    </xf>
    <xf numFmtId="0" fontId="0" fillId="15" borderId="0" xfId="0" applyFill="1" applyAlignment="1">
      <alignment horizontal="center" vertical="center"/>
    </xf>
    <xf numFmtId="177" fontId="18" fillId="0" borderId="8" xfId="25" applyNumberFormat="1" applyAlignment="1">
      <alignment horizontal="center" vertical="top"/>
    </xf>
    <xf numFmtId="0" fontId="16" fillId="6" borderId="7" xfId="15" applyAlignment="1">
      <alignment horizontal="left" vertical="center"/>
    </xf>
    <xf numFmtId="165" fontId="0" fillId="0" borderId="8" xfId="25" applyNumberFormat="1" applyFont="1" applyAlignment="1">
      <alignment vertical="top" wrapText="1"/>
    </xf>
    <xf numFmtId="0" fontId="0" fillId="0" borderId="0" xfId="0" applyAlignment="1">
      <alignment horizontal="right" vertical="top"/>
    </xf>
    <xf numFmtId="0" fontId="0" fillId="0" borderId="0" xfId="0" applyAlignment="1">
      <alignment horizontal="right"/>
    </xf>
    <xf numFmtId="0" fontId="0" fillId="15" borderId="0" xfId="0" applyFill="1" applyAlignment="1">
      <alignment horizontal="right" vertical="center"/>
    </xf>
    <xf numFmtId="15" fontId="0" fillId="15" borderId="0" xfId="0" applyNumberFormat="1" applyFill="1" applyAlignment="1">
      <alignment horizontal="right" vertical="center"/>
    </xf>
    <xf numFmtId="0" fontId="0" fillId="15" borderId="0" xfId="0" applyNumberFormat="1" applyFill="1" applyAlignment="1">
      <alignment horizontal="right" vertical="center"/>
    </xf>
    <xf numFmtId="175" fontId="0" fillId="15" borderId="0" xfId="38" applyNumberFormat="1" applyFont="1" applyFill="1" applyAlignment="1">
      <alignment vertical="center"/>
    </xf>
    <xf numFmtId="175" fontId="0" fillId="15" borderId="0" xfId="0" applyNumberFormat="1" applyFill="1" applyAlignment="1">
      <alignment vertical="center"/>
    </xf>
    <xf numFmtId="178" fontId="0" fillId="0" borderId="8" xfId="25" applyNumberFormat="1" applyFont="1" applyAlignment="1">
      <alignment vertical="top" wrapText="1"/>
    </xf>
    <xf numFmtId="0" fontId="2" fillId="0" borderId="0" xfId="0" applyFont="1">
      <alignment vertical="top"/>
    </xf>
    <xf numFmtId="179" fontId="0" fillId="0" borderId="8" xfId="38" applyNumberFormat="1" applyFont="1" applyBorder="1" applyAlignment="1">
      <alignment vertical="top" wrapText="1"/>
    </xf>
    <xf numFmtId="179" fontId="0" fillId="0" borderId="8" xfId="25" applyNumberFormat="1" applyFont="1" applyAlignment="1">
      <alignment vertical="top" wrapText="1"/>
    </xf>
    <xf numFmtId="0" fontId="2" fillId="15" borderId="0" xfId="0" applyFont="1" applyFill="1" applyAlignment="1">
      <alignment vertical="center"/>
    </xf>
    <xf numFmtId="0" fontId="0" fillId="15" borderId="0" xfId="0" applyFill="1" applyAlignment="1">
      <alignment horizontal="center" vertical="center"/>
    </xf>
    <xf numFmtId="166" fontId="0" fillId="15" borderId="0" xfId="0" applyNumberFormat="1" applyFill="1" applyAlignment="1">
      <alignment vertical="center"/>
    </xf>
    <xf numFmtId="3" fontId="0" fillId="0" borderId="0" xfId="0" applyNumberFormat="1">
      <alignment vertical="top"/>
    </xf>
    <xf numFmtId="0" fontId="0" fillId="0" borderId="0" xfId="0" applyAlignment="1">
      <alignment horizontal="center" vertical="top"/>
    </xf>
    <xf numFmtId="3" fontId="0" fillId="15" borderId="0" xfId="0" applyNumberFormat="1" applyFill="1" applyAlignment="1">
      <alignment horizontal="center" vertical="center"/>
    </xf>
    <xf numFmtId="9" fontId="0" fillId="0" borderId="0" xfId="0" applyNumberFormat="1" applyAlignment="1">
      <alignment horizontal="center" vertical="top"/>
    </xf>
    <xf numFmtId="9" fontId="0" fillId="15" borderId="0" xfId="0" applyNumberFormat="1" applyFill="1" applyAlignment="1">
      <alignment horizontal="center" vertical="center"/>
    </xf>
    <xf numFmtId="166" fontId="0" fillId="0" borderId="0" xfId="0" applyNumberFormat="1">
      <alignment vertical="top"/>
    </xf>
    <xf numFmtId="0" fontId="0" fillId="15" borderId="0" xfId="0" applyFill="1" applyAlignment="1">
      <alignment horizontal="center" vertical="center"/>
    </xf>
    <xf numFmtId="2" fontId="18" fillId="0" borderId="8" xfId="25" applyNumberFormat="1" applyFill="1">
      <alignment vertical="top"/>
    </xf>
    <xf numFmtId="0" fontId="8" fillId="0" borderId="0" xfId="39" quotePrefix="1">
      <alignment horizontal="left" vertical="center"/>
    </xf>
    <xf numFmtId="165" fontId="0" fillId="0" borderId="8" xfId="25" applyNumberFormat="1" applyFont="1" applyBorder="1" applyAlignment="1">
      <alignment vertical="top" wrapText="1"/>
    </xf>
    <xf numFmtId="179" fontId="0" fillId="0" borderId="8" xfId="25" applyNumberFormat="1" applyFont="1" applyBorder="1" applyAlignment="1">
      <alignment vertical="top" wrapText="1"/>
    </xf>
    <xf numFmtId="0" fontId="23" fillId="8" borderId="17" xfId="24" applyBorder="1" applyAlignment="1">
      <alignment horizontal="right" vertical="top"/>
    </xf>
    <xf numFmtId="176" fontId="0" fillId="0" borderId="0" xfId="0" applyNumberFormat="1" applyAlignment="1">
      <alignment horizontal="center"/>
    </xf>
    <xf numFmtId="178" fontId="0" fillId="0" borderId="0" xfId="0" applyNumberFormat="1">
      <alignment vertical="top"/>
    </xf>
    <xf numFmtId="178" fontId="2" fillId="0" borderId="0" xfId="0" applyNumberFormat="1" applyFont="1">
      <alignment vertical="top"/>
    </xf>
    <xf numFmtId="0" fontId="23" fillId="8" borderId="7" xfId="24" applyNumberFormat="1" applyFont="1" applyFill="1" applyBorder="1" applyAlignment="1">
      <alignment vertical="top"/>
    </xf>
    <xf numFmtId="0" fontId="23" fillId="8" borderId="10" xfId="24" applyNumberFormat="1" applyFont="1" applyFill="1" applyBorder="1" applyAlignment="1">
      <alignment vertical="top"/>
    </xf>
    <xf numFmtId="0" fontId="23" fillId="8" borderId="10" xfId="24" applyNumberFormat="1" applyFont="1" applyFill="1" applyBorder="1" applyAlignment="1">
      <alignment horizontal="right" vertical="top"/>
    </xf>
    <xf numFmtId="164" fontId="7" fillId="0" borderId="8" xfId="33" applyNumberFormat="1" applyAlignment="1">
      <alignment vertical="top"/>
    </xf>
    <xf numFmtId="165" fontId="7" fillId="0" borderId="8" xfId="33" applyNumberFormat="1" applyAlignment="1">
      <alignment vertical="top"/>
    </xf>
    <xf numFmtId="0" fontId="6" fillId="7" borderId="7" xfId="35" applyAlignment="1">
      <alignment horizontal="center" vertical="center" wrapText="1"/>
    </xf>
    <xf numFmtId="165" fontId="7" fillId="0" borderId="8" xfId="33" applyNumberFormat="1" applyAlignment="1">
      <alignment horizontal="right" vertical="top"/>
    </xf>
    <xf numFmtId="0" fontId="0" fillId="15" borderId="0" xfId="0" applyFill="1" applyAlignment="1">
      <alignment horizontal="center" vertical="center"/>
    </xf>
    <xf numFmtId="178" fontId="0" fillId="16" borderId="8" xfId="25" applyNumberFormat="1" applyFont="1" applyFill="1" applyAlignment="1">
      <alignment vertical="top" wrapText="1"/>
    </xf>
    <xf numFmtId="0" fontId="29" fillId="15" borderId="0" xfId="0" applyFont="1" applyFill="1" applyAlignment="1">
      <alignment horizontal="center" vertical="center"/>
    </xf>
    <xf numFmtId="0" fontId="0" fillId="15" borderId="0" xfId="0" applyFill="1" applyAlignment="1">
      <alignment vertical="center" wrapText="1"/>
    </xf>
    <xf numFmtId="2" fontId="0" fillId="0" borderId="0" xfId="0" applyNumberFormat="1">
      <alignment vertical="top"/>
    </xf>
    <xf numFmtId="0" fontId="0" fillId="15" borderId="0" xfId="0" applyFill="1" applyAlignment="1">
      <alignment horizontal="center" vertical="center"/>
    </xf>
    <xf numFmtId="0" fontId="18" fillId="0" borderId="0" xfId="25" applyBorder="1">
      <alignment vertical="top"/>
    </xf>
    <xf numFmtId="0" fontId="0" fillId="0" borderId="8" xfId="25" applyFont="1" applyBorder="1">
      <alignment vertical="top"/>
    </xf>
    <xf numFmtId="0" fontId="0" fillId="0" borderId="0" xfId="25" applyFont="1" applyBorder="1">
      <alignment vertical="top"/>
    </xf>
    <xf numFmtId="0" fontId="0" fillId="0" borderId="8" xfId="25" applyFont="1" applyAlignment="1">
      <alignment horizontal="left" vertical="top" indent="1"/>
    </xf>
    <xf numFmtId="2" fontId="29" fillId="0" borderId="8" xfId="25" applyNumberFormat="1" applyFont="1">
      <alignment vertical="top"/>
    </xf>
    <xf numFmtId="0" fontId="5" fillId="0" borderId="0" xfId="32">
      <alignment horizontal="left" vertical="center"/>
    </xf>
    <xf numFmtId="164" fontId="15" fillId="5" borderId="7" xfId="16" applyNumberFormat="1">
      <alignment vertical="top"/>
    </xf>
    <xf numFmtId="0" fontId="0" fillId="15" borderId="0" xfId="0" applyFill="1" applyAlignment="1">
      <alignment horizontal="center" vertical="center"/>
    </xf>
    <xf numFmtId="169" fontId="0" fillId="0" borderId="8" xfId="25" applyNumberFormat="1" applyFont="1">
      <alignment vertical="top"/>
    </xf>
    <xf numFmtId="0" fontId="6" fillId="7" borderId="19" xfId="35" applyBorder="1" applyAlignment="1">
      <alignment horizontal="left" vertical="center"/>
    </xf>
    <xf numFmtId="0" fontId="6" fillId="7" borderId="20" xfId="35" applyBorder="1" applyAlignment="1">
      <alignment horizontal="left" vertical="center"/>
    </xf>
    <xf numFmtId="9" fontId="0" fillId="0" borderId="8" xfId="38" applyFont="1" applyBorder="1" applyAlignment="1">
      <alignment vertical="top" wrapText="1"/>
    </xf>
    <xf numFmtId="0" fontId="6" fillId="7" borderId="13" xfId="35" applyBorder="1" applyAlignment="1">
      <alignment horizontal="left" vertical="center"/>
    </xf>
    <xf numFmtId="181" fontId="0" fillId="0" borderId="8" xfId="25" applyNumberFormat="1" applyFont="1" applyBorder="1" applyAlignment="1">
      <alignment vertical="top" wrapText="1"/>
    </xf>
    <xf numFmtId="181" fontId="0" fillId="0" borderId="8" xfId="25" applyNumberFormat="1" applyFont="1" applyAlignment="1">
      <alignment vertical="top" wrapText="1"/>
    </xf>
    <xf numFmtId="168" fontId="18" fillId="0" borderId="8" xfId="25" applyNumberFormat="1" applyAlignment="1">
      <alignment horizontal="right" vertical="top"/>
    </xf>
    <xf numFmtId="10" fontId="18" fillId="0" borderId="8" xfId="25" applyNumberFormat="1" applyAlignment="1">
      <alignment horizontal="right" vertical="top"/>
    </xf>
    <xf numFmtId="0" fontId="23" fillId="8" borderId="7" xfId="24" applyNumberFormat="1" applyFont="1" applyFill="1" applyBorder="1" applyAlignment="1">
      <alignment horizontal="right" vertical="top"/>
    </xf>
    <xf numFmtId="9" fontId="7" fillId="0" borderId="8" xfId="33" applyNumberFormat="1" applyAlignment="1">
      <alignment vertical="top"/>
    </xf>
    <xf numFmtId="0" fontId="23" fillId="8" borderId="22" xfId="24" applyNumberFormat="1" applyFont="1" applyFill="1" applyBorder="1" applyAlignment="1">
      <alignment vertical="top"/>
    </xf>
    <xf numFmtId="0" fontId="23" fillId="8" borderId="22" xfId="24" applyBorder="1">
      <alignment horizontal="center" vertical="top"/>
    </xf>
    <xf numFmtId="182" fontId="15" fillId="5" borderId="7" xfId="16" applyNumberFormat="1">
      <alignment vertical="top"/>
    </xf>
    <xf numFmtId="183" fontId="15" fillId="5" borderId="7" xfId="16" applyNumberFormat="1">
      <alignment vertical="top"/>
    </xf>
    <xf numFmtId="182" fontId="0" fillId="0" borderId="8" xfId="25" applyNumberFormat="1" applyFont="1">
      <alignment vertical="top"/>
    </xf>
    <xf numFmtId="184" fontId="0" fillId="0" borderId="8" xfId="25" applyNumberFormat="1" applyFont="1">
      <alignment vertical="top"/>
    </xf>
    <xf numFmtId="164" fontId="17" fillId="0" borderId="8" xfId="33" applyNumberFormat="1" applyFont="1" applyAlignment="1">
      <alignment vertical="top"/>
    </xf>
    <xf numFmtId="164" fontId="29" fillId="0" borderId="8" xfId="25" applyNumberFormat="1" applyFont="1">
      <alignment vertical="top"/>
    </xf>
    <xf numFmtId="164" fontId="0" fillId="0" borderId="8" xfId="25" applyNumberFormat="1" applyFont="1">
      <alignment vertical="top"/>
    </xf>
    <xf numFmtId="164" fontId="7" fillId="0" borderId="8" xfId="33" applyNumberFormat="1" applyFont="1" applyAlignment="1">
      <alignment vertical="top"/>
    </xf>
    <xf numFmtId="169" fontId="18" fillId="0" borderId="8" xfId="25" applyNumberFormat="1">
      <alignment vertical="top"/>
    </xf>
    <xf numFmtId="0" fontId="16" fillId="6" borderId="24" xfId="15" applyBorder="1" applyAlignment="1">
      <alignment horizontal="left" vertical="center"/>
    </xf>
    <xf numFmtId="0" fontId="16" fillId="6" borderId="13" xfId="15" applyBorder="1" applyAlignment="1">
      <alignment horizontal="left" vertical="center"/>
    </xf>
    <xf numFmtId="0" fontId="23" fillId="8" borderId="25" xfId="24" applyBorder="1">
      <alignment horizontal="center" vertical="top"/>
    </xf>
    <xf numFmtId="0" fontId="23" fillId="8" borderId="14" xfId="24" applyBorder="1">
      <alignment horizontal="center" vertical="top"/>
    </xf>
    <xf numFmtId="0" fontId="16" fillId="6" borderId="23" xfId="15" applyBorder="1" applyAlignment="1">
      <alignment horizontal="left" vertical="center"/>
    </xf>
    <xf numFmtId="0" fontId="16" fillId="6" borderId="26" xfId="15" applyBorder="1" applyAlignment="1">
      <alignment horizontal="left" vertical="center"/>
    </xf>
    <xf numFmtId="0" fontId="0" fillId="0" borderId="0" xfId="0" applyAlignment="1">
      <alignment horizontal="left" vertical="top"/>
    </xf>
    <xf numFmtId="0" fontId="23" fillId="8" borderId="10" xfId="24" applyNumberFormat="1" applyFont="1" applyFill="1" applyBorder="1" applyAlignment="1">
      <alignment horizontal="center" vertical="top"/>
    </xf>
    <xf numFmtId="9" fontId="6" fillId="7" borderId="7" xfId="35" applyNumberFormat="1">
      <alignment horizontal="center" vertical="center"/>
    </xf>
    <xf numFmtId="9" fontId="6" fillId="7" borderId="13" xfId="35" applyNumberFormat="1" applyBorder="1">
      <alignment horizontal="center" vertical="center"/>
    </xf>
    <xf numFmtId="167" fontId="26" fillId="5" borderId="7" xfId="19" applyAlignment="1">
      <alignment vertical="top"/>
    </xf>
    <xf numFmtId="3" fontId="0" fillId="0" borderId="8" xfId="25" applyNumberFormat="1" applyFont="1">
      <alignment vertical="top"/>
    </xf>
    <xf numFmtId="1" fontId="0" fillId="0" borderId="8" xfId="25" applyNumberFormat="1" applyFont="1">
      <alignment vertical="top"/>
    </xf>
    <xf numFmtId="0" fontId="0" fillId="0" borderId="11" xfId="25" applyFont="1" applyBorder="1">
      <alignment vertical="top"/>
    </xf>
    <xf numFmtId="0" fontId="7" fillId="9" borderId="13" xfId="7" applyBorder="1">
      <alignment horizontal="center" vertical="center"/>
      <protection locked="0"/>
    </xf>
    <xf numFmtId="0" fontId="6" fillId="7" borderId="26" xfId="35" applyBorder="1" applyAlignment="1">
      <alignment horizontal="left" vertical="center"/>
    </xf>
    <xf numFmtId="3" fontId="0" fillId="0" borderId="11" xfId="25" applyNumberFormat="1" applyFont="1" applyBorder="1">
      <alignment vertical="top"/>
    </xf>
    <xf numFmtId="15" fontId="15" fillId="5" borderId="7" xfId="16" applyNumberFormat="1">
      <alignment vertical="top"/>
    </xf>
    <xf numFmtId="3" fontId="0" fillId="0" borderId="0" xfId="25" applyNumberFormat="1" applyFont="1" applyBorder="1">
      <alignment vertical="top"/>
    </xf>
    <xf numFmtId="3" fontId="0" fillId="0" borderId="8" xfId="25" applyNumberFormat="1" applyFont="1" applyBorder="1">
      <alignment vertical="top"/>
    </xf>
    <xf numFmtId="2" fontId="7" fillId="9" borderId="26" xfId="7" applyNumberFormat="1" applyBorder="1" applyAlignment="1">
      <alignment horizontal="right" vertical="center"/>
      <protection locked="0"/>
    </xf>
    <xf numFmtId="3" fontId="7" fillId="9" borderId="26" xfId="7" applyNumberFormat="1" applyBorder="1" applyAlignment="1">
      <alignment horizontal="right" vertical="center"/>
      <protection locked="0"/>
    </xf>
    <xf numFmtId="0" fontId="18" fillId="0" borderId="8" xfId="25" applyFill="1" applyBorder="1">
      <alignment vertical="top"/>
    </xf>
    <xf numFmtId="0" fontId="18" fillId="0" borderId="8" xfId="25" applyFill="1" applyBorder="1" applyAlignment="1">
      <alignment horizontal="center" vertical="top"/>
    </xf>
    <xf numFmtId="0" fontId="18" fillId="0" borderId="8" xfId="25" applyAlignment="1">
      <alignment horizontal="right" vertical="top"/>
    </xf>
    <xf numFmtId="177" fontId="11" fillId="0" borderId="0" xfId="12" applyNumberFormat="1">
      <alignment horizontal="center" vertical="center"/>
    </xf>
    <xf numFmtId="0" fontId="0" fillId="0" borderId="8" xfId="25" applyFont="1" applyFill="1">
      <alignment vertical="top"/>
    </xf>
    <xf numFmtId="0" fontId="23" fillId="8" borderId="10" xfId="24" applyBorder="1" applyAlignment="1">
      <alignment horizontal="left" vertical="top"/>
    </xf>
    <xf numFmtId="169" fontId="15" fillId="5" borderId="7" xfId="16" applyNumberFormat="1" applyAlignment="1">
      <alignment vertical="top" wrapText="1"/>
    </xf>
    <xf numFmtId="172" fontId="20" fillId="5" borderId="7" xfId="22" applyAlignment="1">
      <alignment horizontal="right" vertical="top" wrapText="1"/>
    </xf>
    <xf numFmtId="0" fontId="6" fillId="7" borderId="7" xfId="35" applyAlignment="1">
      <alignment horizontal="center" vertical="top" wrapText="1"/>
    </xf>
    <xf numFmtId="168" fontId="7" fillId="0" borderId="11" xfId="33" applyNumberFormat="1" applyBorder="1" applyAlignment="1">
      <alignment vertical="top"/>
    </xf>
    <xf numFmtId="173" fontId="16" fillId="6" borderId="7" xfId="15" applyNumberFormat="1" applyAlignment="1">
      <alignment horizontal="right" vertical="center"/>
    </xf>
    <xf numFmtId="173" fontId="7" fillId="9" borderId="7" xfId="7" applyNumberFormat="1" applyAlignment="1">
      <alignment horizontal="right" vertical="center"/>
      <protection locked="0"/>
    </xf>
    <xf numFmtId="165" fontId="16" fillId="6" borderId="7" xfId="15" applyNumberFormat="1" applyAlignment="1">
      <alignment horizontal="right" vertical="center"/>
    </xf>
    <xf numFmtId="165" fontId="16" fillId="6" borderId="13" xfId="15" applyNumberFormat="1" applyBorder="1" applyAlignment="1">
      <alignment horizontal="right" vertical="center"/>
    </xf>
    <xf numFmtId="0" fontId="23" fillId="8" borderId="7" xfId="24" applyNumberFormat="1" applyFont="1" applyFill="1" applyBorder="1" applyAlignment="1">
      <alignment horizontal="center" vertical="top"/>
    </xf>
    <xf numFmtId="0" fontId="23" fillId="8" borderId="7" xfId="24" applyNumberFormat="1" applyFont="1" applyFill="1" applyBorder="1" applyAlignment="1">
      <alignment horizontal="left" vertical="top"/>
    </xf>
    <xf numFmtId="165" fontId="18" fillId="0" borderId="8" xfId="25" applyNumberFormat="1" applyFill="1" applyAlignment="1">
      <alignment vertical="top" wrapText="1"/>
    </xf>
    <xf numFmtId="165" fontId="18" fillId="0" borderId="8" xfId="25" applyNumberFormat="1" applyFill="1">
      <alignment vertical="top"/>
    </xf>
    <xf numFmtId="165" fontId="15" fillId="5" borderId="7" xfId="16" applyNumberFormat="1" applyAlignment="1">
      <alignment horizontal="right" vertical="top"/>
    </xf>
    <xf numFmtId="165" fontId="35" fillId="5" borderId="7" xfId="16" applyNumberFormat="1" applyFont="1">
      <alignment vertical="top"/>
    </xf>
    <xf numFmtId="0" fontId="29" fillId="0" borderId="0" xfId="0" applyFont="1">
      <alignment vertical="top"/>
    </xf>
    <xf numFmtId="165" fontId="17" fillId="0" borderId="8" xfId="33" applyNumberFormat="1" applyFont="1" applyAlignment="1">
      <alignment vertical="top"/>
    </xf>
    <xf numFmtId="175" fontId="17" fillId="0" borderId="8" xfId="33" applyNumberFormat="1" applyFont="1" applyAlignment="1">
      <alignment vertical="top"/>
    </xf>
    <xf numFmtId="185" fontId="7" fillId="0" borderId="8" xfId="33" applyNumberFormat="1" applyAlignment="1">
      <alignment vertical="top"/>
    </xf>
    <xf numFmtId="167" fontId="26" fillId="5" borderId="7" xfId="19" applyAlignment="1">
      <alignment horizontal="center" vertical="top"/>
    </xf>
    <xf numFmtId="0" fontId="18" fillId="0" borderId="8" xfId="25" applyNumberFormat="1">
      <alignment vertical="top"/>
    </xf>
    <xf numFmtId="0" fontId="23" fillId="15" borderId="16" xfId="24" applyNumberFormat="1" applyFont="1" applyFill="1" applyBorder="1" applyAlignment="1">
      <alignment vertical="top"/>
    </xf>
    <xf numFmtId="0" fontId="18" fillId="0" borderId="8" xfId="25" applyBorder="1">
      <alignment vertical="top"/>
    </xf>
    <xf numFmtId="164" fontId="18" fillId="0" borderId="8" xfId="25" applyNumberFormat="1">
      <alignment vertical="top"/>
    </xf>
    <xf numFmtId="180" fontId="0" fillId="0" borderId="0" xfId="0" applyNumberFormat="1">
      <alignment vertical="top"/>
    </xf>
    <xf numFmtId="175" fontId="0" fillId="0" borderId="0" xfId="38" applyNumberFormat="1" applyFont="1" applyAlignment="1">
      <alignment vertical="top"/>
    </xf>
    <xf numFmtId="186" fontId="0" fillId="0" borderId="0" xfId="38" applyNumberFormat="1" applyFont="1" applyAlignment="1">
      <alignment vertical="top"/>
    </xf>
    <xf numFmtId="9" fontId="0" fillId="15" borderId="0" xfId="38" applyFont="1" applyFill="1" applyAlignment="1">
      <alignment vertical="center"/>
    </xf>
    <xf numFmtId="0" fontId="6" fillId="7" borderId="7" xfId="35" applyAlignment="1">
      <alignment horizontal="right" vertical="center"/>
    </xf>
    <xf numFmtId="175" fontId="29" fillId="0" borderId="8" xfId="25" applyNumberFormat="1" applyFont="1">
      <alignment vertical="top"/>
    </xf>
    <xf numFmtId="185" fontId="7" fillId="0" borderId="8" xfId="33" applyNumberFormat="1" applyAlignment="1">
      <alignment horizontal="right" vertical="top"/>
    </xf>
    <xf numFmtId="175" fontId="7" fillId="0" borderId="8" xfId="33" applyNumberFormat="1" applyAlignment="1">
      <alignment vertical="top"/>
    </xf>
    <xf numFmtId="0" fontId="23" fillId="8" borderId="22" xfId="24" applyBorder="1" applyAlignment="1">
      <alignment horizontal="right" vertical="top"/>
    </xf>
    <xf numFmtId="0" fontId="0" fillId="0" borderId="8" xfId="25" applyFont="1" applyAlignment="1">
      <alignment horizontal="center" vertical="top"/>
    </xf>
    <xf numFmtId="0" fontId="23" fillId="8" borderId="7" xfId="24" applyAlignment="1">
      <alignment vertical="top"/>
    </xf>
    <xf numFmtId="0" fontId="29" fillId="0" borderId="0" xfId="0" applyFont="1" applyAlignment="1">
      <alignment horizontal="center"/>
    </xf>
    <xf numFmtId="0" fontId="29" fillId="15" borderId="0" xfId="0" applyFont="1" applyFill="1" applyAlignment="1">
      <alignment vertical="center"/>
    </xf>
    <xf numFmtId="0" fontId="29" fillId="0" borderId="0" xfId="0" applyFont="1" applyAlignment="1">
      <alignment horizontal="right"/>
    </xf>
    <xf numFmtId="0" fontId="29" fillId="15" borderId="0" xfId="0" applyFont="1" applyFill="1" applyAlignment="1">
      <alignment horizontal="right" vertical="center"/>
    </xf>
    <xf numFmtId="0" fontId="29" fillId="0" borderId="0" xfId="0" applyFont="1" applyAlignment="1">
      <alignment horizontal="right" vertical="top"/>
    </xf>
    <xf numFmtId="0" fontId="23" fillId="8" borderId="10" xfId="24" applyBorder="1" applyAlignment="1">
      <alignment vertical="top"/>
    </xf>
    <xf numFmtId="0" fontId="23" fillId="15" borderId="16" xfId="24" applyFill="1" applyBorder="1" applyAlignment="1">
      <alignment vertical="top"/>
    </xf>
    <xf numFmtId="180" fontId="0" fillId="15" borderId="0" xfId="0" applyNumberFormat="1" applyFill="1" applyAlignment="1">
      <alignment vertical="center"/>
    </xf>
    <xf numFmtId="9" fontId="0" fillId="0" borderId="0" xfId="38" applyFont="1" applyAlignment="1">
      <alignment vertical="top"/>
    </xf>
    <xf numFmtId="0" fontId="0" fillId="0" borderId="0" xfId="0" applyFont="1">
      <alignment vertical="top"/>
    </xf>
    <xf numFmtId="9" fontId="18" fillId="0" borderId="0" xfId="38" applyFont="1" applyAlignment="1">
      <alignment vertical="top"/>
    </xf>
    <xf numFmtId="0" fontId="0" fillId="0" borderId="0" xfId="0" applyNumberFormat="1">
      <alignment vertical="top"/>
    </xf>
    <xf numFmtId="0" fontId="7" fillId="0" borderId="8" xfId="33" applyFill="1" applyAlignment="1">
      <alignment vertical="top"/>
    </xf>
    <xf numFmtId="165" fontId="18" fillId="0" borderId="11" xfId="25" applyNumberFormat="1" applyBorder="1">
      <alignment vertical="top"/>
    </xf>
    <xf numFmtId="175" fontId="7" fillId="0" borderId="28" xfId="33" applyNumberFormat="1" applyFill="1" applyBorder="1" applyAlignment="1">
      <alignment vertical="top"/>
    </xf>
    <xf numFmtId="175" fontId="7" fillId="0" borderId="0" xfId="33" applyNumberFormat="1" applyFill="1" applyBorder="1" applyAlignment="1">
      <alignment horizontal="right" vertical="top"/>
    </xf>
    <xf numFmtId="9" fontId="17" fillId="0" borderId="8" xfId="33" applyNumberFormat="1" applyFont="1" applyAlignment="1">
      <alignment vertical="top"/>
    </xf>
    <xf numFmtId="168" fontId="0" fillId="0" borderId="0" xfId="0" applyNumberFormat="1">
      <alignment vertical="top"/>
    </xf>
    <xf numFmtId="181" fontId="0" fillId="0" borderId="0" xfId="0" applyNumberFormat="1">
      <alignment vertical="top"/>
    </xf>
    <xf numFmtId="164" fontId="7" fillId="0" borderId="8" xfId="33" applyNumberFormat="1" applyAlignment="1">
      <alignment vertical="top"/>
    </xf>
    <xf numFmtId="187" fontId="0" fillId="0" borderId="0" xfId="0" applyNumberFormat="1">
      <alignment vertical="top"/>
    </xf>
    <xf numFmtId="188" fontId="0" fillId="0" borderId="0" xfId="0" applyNumberFormat="1">
      <alignment vertical="top"/>
    </xf>
    <xf numFmtId="0" fontId="29" fillId="15" borderId="0" xfId="0" applyFont="1" applyFill="1" applyAlignment="1">
      <alignment horizontal="center" vertical="center"/>
    </xf>
    <xf numFmtId="169" fontId="18" fillId="0" borderId="29" xfId="25" applyNumberFormat="1" applyBorder="1">
      <alignment vertical="top"/>
    </xf>
    <xf numFmtId="164" fontId="18" fillId="0" borderId="11" xfId="25" applyNumberFormat="1" applyBorder="1">
      <alignment vertical="top"/>
    </xf>
    <xf numFmtId="9" fontId="7" fillId="0" borderId="8" xfId="33" applyNumberFormat="1" applyFill="1" applyAlignment="1">
      <alignment vertical="top"/>
    </xf>
    <xf numFmtId="3" fontId="7" fillId="0" borderId="8" xfId="33" applyNumberFormat="1" applyFill="1" applyAlignment="1">
      <alignment vertical="top"/>
    </xf>
    <xf numFmtId="4" fontId="0" fillId="0" borderId="8" xfId="25" applyNumberFormat="1" applyFont="1">
      <alignment vertical="top"/>
    </xf>
    <xf numFmtId="164" fontId="0" fillId="0" borderId="0" xfId="0" applyNumberFormat="1">
      <alignment vertical="top"/>
    </xf>
    <xf numFmtId="164" fontId="17" fillId="0" borderId="8" xfId="33" applyNumberFormat="1" applyFont="1" applyAlignment="1">
      <alignment horizontal="right" vertical="top"/>
    </xf>
    <xf numFmtId="189" fontId="0" fillId="0" borderId="0" xfId="0" applyNumberFormat="1">
      <alignment vertical="top"/>
    </xf>
    <xf numFmtId="0" fontId="0" fillId="0" borderId="0" xfId="0" applyFill="1">
      <alignment vertical="top"/>
    </xf>
    <xf numFmtId="0" fontId="0" fillId="2" borderId="0" xfId="0" applyFill="1" applyAlignment="1">
      <alignment horizontal="left" vertical="top"/>
    </xf>
    <xf numFmtId="0" fontId="14" fillId="2" borderId="0" xfId="5" applyAlignment="1">
      <alignment horizontal="left" vertical="center"/>
    </xf>
    <xf numFmtId="0" fontId="10" fillId="2" borderId="1" xfId="11" applyAlignment="1">
      <alignment horizontal="left" vertical="center"/>
    </xf>
    <xf numFmtId="0" fontId="2" fillId="0" borderId="2" xfId="18" applyAlignment="1">
      <alignment horizontal="left" vertical="center"/>
    </xf>
    <xf numFmtId="15" fontId="0" fillId="2" borderId="0" xfId="0" applyNumberFormat="1" applyFill="1">
      <alignment vertical="top"/>
    </xf>
    <xf numFmtId="15" fontId="14" fillId="2" borderId="0" xfId="5" applyNumberFormat="1">
      <alignment horizontal="left" vertical="center"/>
    </xf>
    <xf numFmtId="15" fontId="10" fillId="2" borderId="1" xfId="11" applyNumberFormat="1">
      <alignment horizontal="left" vertical="center"/>
    </xf>
    <xf numFmtId="15" fontId="2" fillId="0" borderId="2" xfId="18" applyNumberFormat="1">
      <alignment horizontal="left" vertical="center"/>
    </xf>
    <xf numFmtId="15" fontId="18" fillId="0" borderId="8" xfId="25" applyNumberFormat="1" applyAlignment="1">
      <alignment horizontal="center" vertical="top"/>
    </xf>
    <xf numFmtId="0" fontId="0" fillId="2" borderId="0" xfId="0" applyFill="1" applyAlignment="1">
      <alignment horizontal="center" vertical="top"/>
    </xf>
    <xf numFmtId="0" fontId="2" fillId="0" borderId="2" xfId="18" applyAlignment="1">
      <alignment horizontal="center" vertical="center"/>
    </xf>
    <xf numFmtId="14" fontId="18" fillId="0" borderId="8" xfId="25" applyNumberFormat="1" applyAlignment="1">
      <alignment horizontal="center" vertical="top"/>
    </xf>
    <xf numFmtId="190" fontId="20" fillId="5" borderId="7" xfId="22" applyNumberFormat="1">
      <alignment horizontal="center" vertical="top"/>
    </xf>
    <xf numFmtId="190" fontId="20" fillId="5" borderId="7" xfId="22" applyNumberFormat="1" applyAlignment="1">
      <alignment horizontal="left"/>
    </xf>
    <xf numFmtId="191" fontId="0" fillId="0" borderId="0" xfId="0" applyNumberFormat="1">
      <alignment vertical="top"/>
    </xf>
    <xf numFmtId="164" fontId="0" fillId="0" borderId="0" xfId="0" applyNumberFormat="1" applyAlignment="1">
      <alignment horizontal="right" vertical="top"/>
    </xf>
    <xf numFmtId="192" fontId="7" fillId="9" borderId="7" xfId="7" applyNumberFormat="1" applyAlignment="1">
      <alignment horizontal="right" vertical="center"/>
      <protection locked="0"/>
    </xf>
    <xf numFmtId="168" fontId="7" fillId="9" borderId="7" xfId="7" applyNumberFormat="1" applyAlignment="1">
      <alignment vertical="center"/>
      <protection locked="0"/>
    </xf>
    <xf numFmtId="0" fontId="0" fillId="0" borderId="0" xfId="0" applyAlignment="1">
      <alignment horizontal="center" wrapText="1"/>
    </xf>
    <xf numFmtId="0" fontId="23" fillId="8" borderId="7" xfId="24" applyAlignment="1">
      <alignment horizontal="center" vertical="top" wrapText="1"/>
    </xf>
    <xf numFmtId="165" fontId="18" fillId="0" borderId="8" xfId="25" applyNumberFormat="1">
      <alignment vertical="top"/>
    </xf>
    <xf numFmtId="165" fontId="0" fillId="0" borderId="0" xfId="0" applyNumberFormat="1">
      <alignment vertical="top"/>
    </xf>
    <xf numFmtId="165" fontId="16" fillId="6" borderId="7" xfId="15" applyNumberFormat="1" applyAlignment="1">
      <alignment horizontal="right" vertical="center"/>
    </xf>
    <xf numFmtId="165" fontId="18" fillId="0" borderId="8" xfId="25" applyNumberFormat="1" applyAlignment="1">
      <alignment horizontal="right" vertical="top"/>
    </xf>
    <xf numFmtId="195" fontId="7" fillId="0" borderId="8" xfId="33" applyNumberFormat="1" applyAlignment="1">
      <alignment vertical="top"/>
    </xf>
    <xf numFmtId="3" fontId="7" fillId="9" borderId="13" xfId="7" applyNumberFormat="1" applyBorder="1" applyAlignment="1">
      <alignment horizontal="right" vertical="center"/>
      <protection locked="0"/>
    </xf>
    <xf numFmtId="0" fontId="0" fillId="0" borderId="8" xfId="25" applyFont="1" applyFill="1" applyBorder="1">
      <alignment vertical="top"/>
    </xf>
    <xf numFmtId="2" fontId="7" fillId="9" borderId="7" xfId="7" applyNumberFormat="1" applyBorder="1" applyAlignment="1">
      <alignment horizontal="right" vertical="center"/>
      <protection locked="0"/>
    </xf>
    <xf numFmtId="3" fontId="7" fillId="9" borderId="7" xfId="7" applyNumberFormat="1" applyBorder="1" applyAlignment="1">
      <alignment horizontal="right" vertical="center"/>
      <protection locked="0"/>
    </xf>
    <xf numFmtId="194" fontId="17" fillId="0" borderId="8" xfId="33" applyNumberFormat="1" applyFont="1" applyAlignment="1">
      <alignment vertical="top"/>
    </xf>
    <xf numFmtId="193" fontId="17" fillId="0" borderId="8" xfId="33" applyNumberFormat="1" applyFont="1" applyAlignment="1">
      <alignment vertical="top"/>
    </xf>
    <xf numFmtId="0" fontId="29" fillId="0" borderId="30" xfId="0" applyFont="1" applyBorder="1">
      <alignment vertical="top"/>
    </xf>
    <xf numFmtId="165" fontId="29" fillId="0" borderId="30" xfId="0" applyNumberFormat="1" applyFont="1" applyBorder="1">
      <alignment vertical="top"/>
    </xf>
    <xf numFmtId="196" fontId="17" fillId="0" borderId="8" xfId="33" applyNumberFormat="1" applyFont="1" applyAlignment="1">
      <alignment vertical="top"/>
    </xf>
    <xf numFmtId="185" fontId="17" fillId="0" borderId="8" xfId="33" applyNumberFormat="1" applyFont="1" applyAlignment="1">
      <alignment vertical="top"/>
    </xf>
    <xf numFmtId="197" fontId="7" fillId="0" borderId="8" xfId="33" applyNumberFormat="1" applyFont="1" applyAlignment="1">
      <alignment vertical="top"/>
    </xf>
    <xf numFmtId="0" fontId="18" fillId="0" borderId="8" xfId="25" applyFill="1" applyAlignment="1">
      <alignment vertical="top" wrapText="1"/>
    </xf>
    <xf numFmtId="198" fontId="7" fillId="0" borderId="8" xfId="33" applyNumberFormat="1" applyAlignment="1">
      <alignment vertical="top" wrapText="1"/>
    </xf>
    <xf numFmtId="164" fontId="0" fillId="0" borderId="0" xfId="0" applyNumberFormat="1">
      <alignment vertical="top"/>
    </xf>
    <xf numFmtId="1" fontId="18" fillId="0" borderId="8" xfId="25" applyNumberFormat="1">
      <alignment vertical="top"/>
    </xf>
    <xf numFmtId="164" fontId="7" fillId="0" borderId="8" xfId="33" applyNumberFormat="1" applyAlignment="1">
      <alignment vertical="top"/>
    </xf>
    <xf numFmtId="199" fontId="7" fillId="0" borderId="8" xfId="33" applyNumberFormat="1" applyAlignment="1">
      <alignment vertical="top"/>
    </xf>
    <xf numFmtId="0" fontId="7" fillId="9" borderId="7" xfId="7" applyBorder="1" applyAlignment="1">
      <alignment horizontal="right" vertical="center"/>
      <protection locked="0"/>
    </xf>
    <xf numFmtId="15" fontId="16" fillId="6" borderId="26" xfId="15" applyNumberFormat="1" applyBorder="1">
      <alignment horizontal="center" vertical="center"/>
    </xf>
    <xf numFmtId="0" fontId="6" fillId="7" borderId="31" xfId="35" applyBorder="1">
      <alignment horizontal="center" vertical="center"/>
    </xf>
    <xf numFmtId="15" fontId="16" fillId="6" borderId="7" xfId="15" applyNumberFormat="1" applyBorder="1">
      <alignment horizontal="center" vertical="center"/>
    </xf>
    <xf numFmtId="2" fontId="7" fillId="9" borderId="31" xfId="7" applyNumberFormat="1" applyBorder="1">
      <alignment horizontal="center" vertical="center"/>
      <protection locked="0"/>
    </xf>
    <xf numFmtId="168" fontId="7" fillId="9" borderId="7" xfId="7" applyNumberFormat="1" applyBorder="1" applyAlignment="1">
      <alignment horizontal="right" vertical="center"/>
      <protection locked="0"/>
    </xf>
    <xf numFmtId="168" fontId="7" fillId="9" borderId="13" xfId="7" applyNumberFormat="1" applyBorder="1" applyAlignment="1">
      <alignment horizontal="right" vertical="center"/>
      <protection locked="0"/>
    </xf>
    <xf numFmtId="168" fontId="7" fillId="9" borderId="14" xfId="7" applyNumberFormat="1" applyBorder="1" applyAlignment="1">
      <alignment horizontal="right" vertical="center"/>
      <protection locked="0"/>
    </xf>
    <xf numFmtId="168" fontId="7" fillId="9" borderId="26" xfId="7" applyNumberFormat="1" applyBorder="1" applyAlignment="1">
      <alignment horizontal="right" vertical="center"/>
      <protection locked="0"/>
    </xf>
    <xf numFmtId="168" fontId="7" fillId="9" borderId="31" xfId="7" applyNumberFormat="1" applyBorder="1" applyAlignment="1">
      <alignment horizontal="right" vertical="center"/>
      <protection locked="0"/>
    </xf>
    <xf numFmtId="0" fontId="16" fillId="6" borderId="31" xfId="15" applyBorder="1" applyAlignment="1">
      <alignment horizontal="left" vertical="center"/>
    </xf>
    <xf numFmtId="0" fontId="0" fillId="10" borderId="0" xfId="0" applyFill="1">
      <alignment vertical="top"/>
    </xf>
    <xf numFmtId="0" fontId="18" fillId="0" borderId="32" xfId="25" applyFill="1" applyBorder="1">
      <alignment vertical="top"/>
    </xf>
    <xf numFmtId="15" fontId="16" fillId="6" borderId="7" xfId="15" applyNumberFormat="1" applyBorder="1" applyAlignment="1">
      <alignment horizontal="right" vertical="center"/>
    </xf>
    <xf numFmtId="0" fontId="16" fillId="6" borderId="7" xfId="15" applyBorder="1" applyAlignment="1">
      <alignment horizontal="right" vertical="center"/>
    </xf>
    <xf numFmtId="168" fontId="16" fillId="6" borderId="7" xfId="15" applyNumberFormat="1" applyBorder="1" applyAlignment="1">
      <alignment horizontal="right" vertical="center"/>
    </xf>
    <xf numFmtId="15" fontId="7" fillId="9" borderId="7" xfId="7" applyNumberFormat="1" applyBorder="1" applyAlignment="1">
      <alignment horizontal="right" vertical="center"/>
      <protection locked="0"/>
    </xf>
    <xf numFmtId="173" fontId="7" fillId="9" borderId="7" xfId="7" applyNumberFormat="1" applyBorder="1" applyAlignment="1">
      <alignment horizontal="right" vertical="center"/>
      <protection locked="0"/>
    </xf>
    <xf numFmtId="0" fontId="18" fillId="0" borderId="8" xfId="25" applyNumberFormat="1" applyFill="1">
      <alignment vertical="top"/>
    </xf>
    <xf numFmtId="10" fontId="7" fillId="0" borderId="8" xfId="33" applyNumberFormat="1" applyFill="1" applyBorder="1" applyAlignment="1">
      <alignment vertical="top"/>
    </xf>
    <xf numFmtId="0" fontId="18" fillId="0" borderId="11" xfId="25" applyFill="1" applyBorder="1">
      <alignment vertical="top"/>
    </xf>
    <xf numFmtId="10" fontId="7" fillId="0" borderId="11" xfId="33" applyNumberFormat="1" applyFill="1" applyBorder="1" applyAlignment="1">
      <alignment vertical="top"/>
    </xf>
    <xf numFmtId="0" fontId="0" fillId="0" borderId="0" xfId="0" applyBorder="1">
      <alignment vertical="top"/>
    </xf>
    <xf numFmtId="0" fontId="7" fillId="9" borderId="26" xfId="7" applyBorder="1">
      <alignment horizontal="center" vertical="center"/>
      <protection locked="0"/>
    </xf>
    <xf numFmtId="2" fontId="7" fillId="9" borderId="10" xfId="7" applyNumberFormat="1" applyBorder="1" applyAlignment="1">
      <alignment horizontal="right" vertical="center"/>
      <protection locked="0"/>
    </xf>
    <xf numFmtId="0" fontId="0" fillId="17" borderId="0" xfId="0" applyFill="1">
      <alignment vertical="top"/>
    </xf>
    <xf numFmtId="0" fontId="0" fillId="0" borderId="0" xfId="0" applyFill="1" applyAlignment="1">
      <alignment horizontal="center"/>
    </xf>
    <xf numFmtId="164" fontId="7" fillId="10" borderId="8" xfId="33" applyNumberFormat="1" applyFill="1" applyAlignment="1">
      <alignment vertical="top"/>
    </xf>
    <xf numFmtId="0" fontId="0" fillId="10" borderId="8" xfId="25" applyFont="1" applyFill="1" applyAlignment="1">
      <alignment horizontal="center" vertical="top"/>
    </xf>
    <xf numFmtId="169" fontId="15" fillId="5" borderId="26" xfId="16" applyNumberFormat="1" applyBorder="1">
      <alignment vertical="top"/>
    </xf>
    <xf numFmtId="164" fontId="15" fillId="5" borderId="26" xfId="16" applyNumberFormat="1" applyBorder="1">
      <alignment vertical="top"/>
    </xf>
    <xf numFmtId="0" fontId="29" fillId="0" borderId="8" xfId="0" applyFont="1" applyFill="1" applyBorder="1">
      <alignment vertical="top"/>
    </xf>
    <xf numFmtId="0" fontId="37" fillId="2" borderId="0" xfId="39" applyFont="1" applyFill="1">
      <alignment horizontal="left" vertical="center"/>
    </xf>
    <xf numFmtId="200" fontId="16" fillId="6" borderId="7" xfId="15" applyNumberFormat="1" applyAlignment="1">
      <alignment horizontal="right" vertical="center"/>
    </xf>
    <xf numFmtId="175" fontId="18" fillId="0" borderId="8" xfId="25" applyNumberFormat="1">
      <alignment vertical="top"/>
    </xf>
    <xf numFmtId="0" fontId="6" fillId="2" borderId="0" xfId="10" applyAlignment="1">
      <alignment horizontal="left" vertical="center" wrapText="1"/>
    </xf>
    <xf numFmtId="0" fontId="24" fillId="0" borderId="0" xfId="0" applyFont="1" applyAlignment="1">
      <alignment horizontal="left" vertical="top" wrapText="1"/>
    </xf>
    <xf numFmtId="0" fontId="25" fillId="0" borderId="0" xfId="0" applyFont="1" applyAlignment="1">
      <alignment horizontal="left" vertical="top" wrapText="1"/>
    </xf>
    <xf numFmtId="0" fontId="0" fillId="15" borderId="0" xfId="0" applyFill="1" applyAlignment="1">
      <alignment horizontal="center" vertical="center"/>
    </xf>
    <xf numFmtId="0" fontId="29" fillId="15" borderId="0" xfId="0" applyFont="1" applyFill="1" applyAlignment="1">
      <alignment horizontal="center" vertical="center"/>
    </xf>
    <xf numFmtId="180" fontId="29" fillId="15" borderId="0" xfId="0" applyNumberFormat="1" applyFont="1" applyFill="1" applyAlignment="1">
      <alignment horizontal="center" vertical="center"/>
    </xf>
    <xf numFmtId="180" fontId="36" fillId="15" borderId="0" xfId="0" applyNumberFormat="1" applyFont="1" applyFill="1" applyAlignment="1">
      <alignment horizontal="center" vertical="center"/>
    </xf>
  </cellXfs>
  <cellStyles count="43">
    <cellStyle name="Auto-label" xfId="41" xr:uid="{73CCA8BC-5AD7-4E85-A6E0-32EF7EF688EF}"/>
    <cellStyle name="Auto-populated" xfId="35" xr:uid="{92CD633B-B870-4480-A542-76D077643B78}"/>
    <cellStyle name="Banner_H3" xfId="13" xr:uid="{FE5785C0-235B-4C70-900C-EF2001520144}"/>
    <cellStyle name="Body_H1" xfId="37" xr:uid="{3D3122E7-4A4D-43F7-8A2F-A315DF102D9A}"/>
    <cellStyle name="Calculation" xfId="8" builtinId="22" hidden="1" customBuiltin="1"/>
    <cellStyle name="Calculation" xfId="33" xr:uid="{02E3DF3F-3256-4406-B889-2D6690639BEB}"/>
    <cellStyle name="Check Cell" xfId="19" builtinId="23" customBuiltin="1"/>
    <cellStyle name="Check result" xfId="22" xr:uid="{7CA6913E-F58F-4741-9988-4121D79BFD7B}"/>
    <cellStyle name="Defined names" xfId="14" xr:uid="{4248BE1A-3F2D-4913-B913-A6FBE3436F34}"/>
    <cellStyle name="Explanatory Text" xfId="21" builtinId="53" customBuiltin="1"/>
    <cellStyle name="External link" xfId="17" xr:uid="{FAB4C5FD-358F-4CD6-BC6E-724C598431E5}"/>
    <cellStyle name="Formulas" xfId="42" xr:uid="{F112E758-6F5C-4D3B-8A1A-B0DFEBB4A882}"/>
    <cellStyle name="Hard-coded" xfId="15" xr:uid="{200D9EA9-3A37-415F-8834-A52A844D661D}"/>
    <cellStyle name="Heading 1" xfId="1" builtinId="16" hidden="1" customBuiltin="1"/>
    <cellStyle name="Heading 1" xfId="27" builtinId="16" customBuiltin="1"/>
    <cellStyle name="Heading 2" xfId="2" builtinId="17" hidden="1" customBuiltin="1"/>
    <cellStyle name="Heading 2" xfId="28" builtinId="17" customBuiltin="1"/>
    <cellStyle name="Heading 3" xfId="3" builtinId="18" hidden="1" customBuiltin="1"/>
    <cellStyle name="Heading 3" xfId="29" builtinId="18" customBuiltin="1"/>
    <cellStyle name="Heading 4" xfId="4" builtinId="19" hidden="1" customBuiltin="1"/>
    <cellStyle name="Heading 4" xfId="30" builtinId="19" customBuiltin="1"/>
    <cellStyle name="Heading 5" xfId="31" xr:uid="{94E6345E-6BD4-45F0-9D01-9D42661ECA31}"/>
    <cellStyle name="Heading 6" xfId="32" xr:uid="{69B6DADD-1AE3-442B-9C06-14D5E52B303F}"/>
    <cellStyle name="Heading 7" xfId="9" xr:uid="{65CE4549-62A3-4210-9F25-2F9839E1F791}"/>
    <cellStyle name="Heading 8" xfId="23" xr:uid="{9E45A076-5177-4FEE-A6E2-BC3208B3DF96}"/>
    <cellStyle name="Hyperlink" xfId="39" builtinId="8" customBuiltin="1"/>
    <cellStyle name="Input" xfId="7" builtinId="20" customBuiltin="1"/>
    <cellStyle name="Internal link/lookup" xfId="16" xr:uid="{2D1739BB-E732-4E26-A2B2-CCA56472379C}"/>
    <cellStyle name="Linked Cell" xfId="36" builtinId="24" hidden="1"/>
    <cellStyle name="Model title heading" xfId="5" xr:uid="{49720198-0457-4C71-953B-1E69023AC69A}"/>
    <cellStyle name="Normal" xfId="0" builtinId="0" customBuiltin="1"/>
    <cellStyle name="Normal 2" xfId="10" xr:uid="{F85F6E40-0042-4237-9B34-A53CE09B085A}"/>
    <cellStyle name="Note" xfId="20" builtinId="10" customBuiltin="1"/>
    <cellStyle name="Numbering" xfId="12" xr:uid="{7BCF1B39-1E88-4D0F-9909-781FF2652C1A}"/>
    <cellStyle name="Numbering 3" xfId="34" xr:uid="{513ECFB5-F1B0-4A60-8F3D-7675E1A0F618}"/>
    <cellStyle name="Other heading 1" xfId="6" xr:uid="{5A2EFDA9-BC12-42D8-8C23-4D391E77FA8E}"/>
    <cellStyle name="Percent" xfId="38" builtinId="5"/>
    <cellStyle name="Section heading" xfId="18" xr:uid="{9F4B368D-F879-44E3-8E17-29DD8542A9E8}"/>
    <cellStyle name="Sheet heading" xfId="11" xr:uid="{6DEA63FE-C2FC-4D51-AFD8-F668D7E75EDD}"/>
    <cellStyle name="Table cell" xfId="25" xr:uid="{33044786-416C-4FE4-85B1-41BEF94590D6}"/>
    <cellStyle name="Table col heading" xfId="24" xr:uid="{796CBF3A-5CFE-4864-B572-7D991870B886}"/>
    <cellStyle name="Table heading" xfId="26" xr:uid="{C6E1E3D7-B02B-4DF4-8CAA-43F258527446}"/>
    <cellStyle name="Total" xfId="40" builtinId="25" customBuiltin="1"/>
  </cellStyles>
  <dxfs count="1107">
    <dxf>
      <numFmt numFmtId="165" formatCode="&quot;$&quot;#,##0_);[Red]\(&quot;$&quot;#,##0\)"/>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numFmt numFmtId="165" formatCode="&quot;$&quot;#,##0_);[Red]\(&quot;$&quot;#,##0\)"/>
      <alignment horizontal="right" vertical="center" textRotation="0" wrapText="0" indent="0" justifyLastLine="0" shrinkToFit="0" readingOrder="0"/>
    </dxf>
    <dxf>
      <numFmt numFmtId="165" formatCode="&quot;$&quot;#,##0_);[Red]\(&quot;$&quot;#,##0\)"/>
      <alignment horizontal="right" vertical="center" textRotation="0" wrapText="0" indent="0" justifyLastLine="0" shrinkToFit="0" readingOrder="0"/>
    </dxf>
    <dxf>
      <numFmt numFmtId="165" formatCode="&quot;$&quot;#,##0_);[Red]\(&quot;$&quot;#,##0\)"/>
      <alignment horizontal="right" vertical="center" textRotation="0" wrapText="0" indent="0" justifyLastLine="0" shrinkToFit="0" readingOrder="0"/>
    </dxf>
    <dxf>
      <numFmt numFmtId="165" formatCode="&quot;$&quot;#,##0_);[Red]\(&quot;$&quot;#,##0\)"/>
      <alignment horizontal="right" vertical="center" textRotation="0" wrapText="0" indent="0" justifyLastLine="0" shrinkToFit="0" readingOrder="0"/>
    </dxf>
    <dxf>
      <numFmt numFmtId="165" formatCode="&quot;$&quot;#,##0_);[Red]\(&quot;$&quot;#,##0\)"/>
      <alignment horizontal="right" vertical="center" textRotation="0" wrapText="0" indent="0" justifyLastLine="0" shrinkToFit="0" readingOrder="0"/>
    </dxf>
    <dxf>
      <border outline="0">
        <right style="thin">
          <color theme="0"/>
        </right>
        <top style="thin">
          <color theme="0"/>
        </top>
      </border>
    </dxf>
    <dxf>
      <alignment horizontal="right" vertical="center" textRotation="0" wrapText="0" indent="0" justifyLastLine="0" shrinkToFit="0" readingOrder="0"/>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alignment horizontal="left" vertical="center" textRotation="0" wrapText="0" indent="0" justifyLastLine="0" shrinkToFit="0" readingOrder="0"/>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alignment horizontal="left" vertical="center" textRotation="0" wrapText="0" indent="0" justifyLastLine="0" shrinkToFit="0" readingOrder="0"/>
    </dxf>
    <dxf>
      <border outline="0">
        <bottom style="thin">
          <color theme="0"/>
        </bottom>
      </border>
    </dxf>
    <dxf>
      <numFmt numFmtId="169" formatCode="&quot;$&quot;#,##0.0000;[Red]\-&quot;$&quot;#,##0.0000"/>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numFmt numFmtId="169" formatCode="&quot;$&quot;#,##0.0000;[Red]\-&quot;$&quot;#,##0.0000"/>
      <alignment horizontal="right" vertical="center" textRotation="0" wrapText="0" indent="0" justifyLastLine="0" shrinkToFit="0" readingOrder="0"/>
    </dxf>
    <dxf>
      <numFmt numFmtId="169" formatCode="&quot;$&quot;#,##0.0000;[Red]\-&quot;$&quot;#,##0.0000"/>
      <alignment horizontal="right" vertical="center" textRotation="0" wrapText="0" indent="0" justifyLastLine="0" shrinkToFit="0" readingOrder="0"/>
    </dxf>
    <dxf>
      <numFmt numFmtId="169" formatCode="&quot;$&quot;#,##0.0000;[Red]\-&quot;$&quot;#,##0.0000"/>
      <alignment horizontal="right" vertical="center" textRotation="0" wrapText="0" indent="0" justifyLastLine="0" shrinkToFit="0" readingOrder="0"/>
    </dxf>
    <dxf>
      <numFmt numFmtId="169" formatCode="&quot;$&quot;#,##0.0000;[Red]\-&quot;$&quot;#,##0.0000"/>
      <alignment horizontal="right" vertical="center" textRotation="0" wrapText="0" indent="0" justifyLastLine="0" shrinkToFit="0" readingOrder="0"/>
    </dxf>
    <dxf>
      <border outline="0">
        <right style="thin">
          <color theme="0"/>
        </right>
        <top style="thin">
          <color theme="0"/>
        </top>
      </border>
    </dxf>
    <dxf>
      <alignment horizontal="right" vertical="center" textRotation="0" wrapText="0" indent="0" justifyLastLine="0" shrinkToFit="0" readingOrder="0"/>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alignment horizontal="left" vertical="center" textRotation="0" wrapText="0" indent="0" justifyLastLine="0" shrinkToFit="0" readingOrder="0"/>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alignment horizontal="left" vertical="center" textRotation="0" wrapText="0" indent="0" justifyLastLine="0" shrinkToFit="0" readingOrder="0"/>
    </dxf>
    <dxf>
      <border outline="0">
        <bottom style="thin">
          <color theme="0"/>
        </bottom>
      </border>
    </dxf>
    <dxf>
      <alignment horizontal="left" vertical="center" textRotation="0" wrapText="0" indent="0" justifyLastLine="0" shrinkToFit="0" readingOrder="0"/>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alignment horizontal="left" vertical="center" textRotation="0" wrapText="0" indent="0" justifyLastLine="0" shrinkToFit="0" readingOrder="0"/>
    </dxf>
    <dxf>
      <border outline="0">
        <bottom style="thin">
          <color theme="0"/>
        </bottom>
      </border>
    </dxf>
    <dxf>
      <alignment horizontal="left" vertical="center" textRotation="0" wrapText="0" indent="0" justifyLastLine="0" shrinkToFit="0" readingOrder="0"/>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alignment horizontal="left" vertical="center" textRotation="0" wrapText="0" indent="0" justifyLastLine="0" shrinkToFit="0" readingOrder="0"/>
    </dxf>
    <dxf>
      <border outline="0">
        <bottom style="thin">
          <color theme="0"/>
        </bottom>
      </border>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border outline="0">
        <right style="thin">
          <color theme="0" tint="-0.24994659260841701"/>
        </right>
      </border>
    </dxf>
    <dxf>
      <border outline="0">
        <bottom style="thin">
          <color rgb="FFBFBFBF"/>
        </bottom>
      </border>
    </dxf>
    <dxf>
      <border outline="0">
        <bottom style="thin">
          <color rgb="FFFFFFFF"/>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general" vertical="top" textRotation="0" wrapText="0" indent="0" justifyLastLine="0" shrinkToFit="0" readingOrder="0"/>
      <border diagonalUp="0" diagonalDown="0" outline="0">
        <left style="thin">
          <color theme="0"/>
        </left>
        <right style="thin">
          <color theme="0"/>
        </right>
        <top/>
        <bottom/>
      </border>
    </dxf>
    <dxf>
      <numFmt numFmtId="0" formatCode="General"/>
      <border>
        <left style="thin">
          <color theme="0" tint="-0.24994659260841701"/>
        </left>
        <right style="thin">
          <color theme="0" tint="-0.24994659260841701"/>
        </right>
      </border>
    </dxf>
    <dxf>
      <numFmt numFmtId="169" formatCode="&quot;$&quot;#,##0.0000;[Red]\-&quot;$&quot;#,##0.000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style="thin">
          <color theme="0" tint="-0.24994659260841701"/>
        </horizontal>
      </border>
    </dxf>
    <dxf>
      <numFmt numFmtId="169" formatCode="&quot;$&quot;#,##0.0000;[Red]\-&quot;$&quot;#,##0.0000"/>
    </dxf>
    <dxf>
      <numFmt numFmtId="169" formatCode="&quot;$&quot;#,##0.0000;[Red]\-&quot;$&quot;#,##0.000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numFmt numFmtId="169" formatCode="&quot;$&quot;#,##0.0000;[Red]\-&quot;$&quot;#,##0.0000"/>
      <border outline="0">
        <left style="thin">
          <color theme="0" tint="-0.24994659260841701"/>
        </left>
        <right style="thin">
          <color theme="0" tint="-0.24994659260841701"/>
        </right>
      </border>
    </dxf>
    <dxf>
      <numFmt numFmtId="169" formatCode="&quot;$&quot;#,##0.0000;[Red]\-&quot;$&quot;#,##0.0000"/>
      <border outline="0">
        <left style="thin">
          <color theme="0" tint="-0.24994659260841701"/>
        </left>
        <right style="thin">
          <color theme="0" tint="-0.24994659260841701"/>
        </right>
      </border>
    </dxf>
    <dxf>
      <numFmt numFmtId="169" formatCode="&quot;$&quot;#,##0.0000;[Red]\-&quot;$&quot;#,##0.0000"/>
      <border outline="0">
        <left style="thin">
          <color theme="0" tint="-0.24994659260841701"/>
        </left>
        <right style="thin">
          <color theme="0" tint="-0.24994659260841701"/>
        </right>
      </border>
    </dxf>
    <dxf>
      <numFmt numFmtId="169" formatCode="&quot;$&quot;#,##0.0000;[Red]\-&quot;$&quot;#,##0.0000"/>
      <border outline="0">
        <right style="thin">
          <color theme="0" tint="-0.24994659260841701"/>
        </right>
      </border>
    </dxf>
    <dxf>
      <fill>
        <patternFill patternType="none">
          <fgColor indexed="64"/>
          <bgColor indexed="65"/>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rgb="FFFFFFFF"/>
        </top>
      </border>
    </dxf>
    <dxf>
      <border outline="0">
        <bottom style="thin">
          <color rgb="FFFFFFFF"/>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border outline="0">
        <right style="thin">
          <color theme="0" tint="-0.24994659260841701"/>
        </right>
      </border>
    </dxf>
    <dxf>
      <border outline="0">
        <bottom style="thin">
          <color theme="0" tint="-0.24994659260841701"/>
        </bottom>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general" vertical="top" textRotation="0" wrapText="0" indent="0" justifyLastLine="0" shrinkToFit="0" readingOrder="0"/>
      <border diagonalUp="0" diagonalDown="0" outline="0">
        <left style="thin">
          <color theme="0"/>
        </left>
        <right style="thin">
          <color theme="0"/>
        </right>
        <top/>
        <bottom/>
      </border>
    </dxf>
    <dxf>
      <numFmt numFmtId="0" formatCode="General"/>
      <border>
        <left style="thin">
          <color theme="0" tint="-0.24994659260841701"/>
        </left>
        <right style="thin">
          <color theme="0" tint="-0.24994659260841701"/>
        </right>
      </border>
    </dxf>
    <dxf>
      <numFmt numFmtId="169" formatCode="&quot;$&quot;#,##0.0000;[Red]\-&quot;$&quot;#,##0.000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style="thin">
          <color theme="0" tint="-0.24994659260841701"/>
        </horizontal>
      </border>
    </dxf>
    <dxf>
      <numFmt numFmtId="169" formatCode="&quot;$&quot;#,##0.0000;[Red]\-&quot;$&quot;#,##0.0000"/>
    </dxf>
    <dxf>
      <numFmt numFmtId="169" formatCode="&quot;$&quot;#,##0.0000;[Red]\-&quot;$&quot;#,##0.000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numFmt numFmtId="169" formatCode="&quot;$&quot;#,##0.0000;[Red]\-&quot;$&quot;#,##0.0000"/>
      <border outline="0">
        <left style="thin">
          <color theme="0" tint="-0.24994659260841701"/>
        </left>
        <right style="thin">
          <color theme="0" tint="-0.24994659260841701"/>
        </right>
      </border>
    </dxf>
    <dxf>
      <numFmt numFmtId="169" formatCode="&quot;$&quot;#,##0.0000;[Red]\-&quot;$&quot;#,##0.0000"/>
      <border outline="0">
        <left style="thin">
          <color theme="0" tint="-0.24994659260841701"/>
        </left>
        <right style="thin">
          <color theme="0" tint="-0.24994659260841701"/>
        </right>
      </border>
    </dxf>
    <dxf>
      <numFmt numFmtId="169" formatCode="&quot;$&quot;#,##0.0000;[Red]\-&quot;$&quot;#,##0.0000"/>
      <border outline="0">
        <left style="thin">
          <color theme="0" tint="-0.24994659260841701"/>
        </left>
        <right style="thin">
          <color theme="0" tint="-0.24994659260841701"/>
        </right>
      </border>
    </dxf>
    <dxf>
      <numFmt numFmtId="169" formatCode="&quot;$&quot;#,##0.0000;[Red]\-&quot;$&quot;#,##0.0000"/>
      <border outline="0">
        <right style="thin">
          <color theme="0" tint="-0.24994659260841701"/>
        </right>
      </border>
    </dxf>
    <dxf>
      <fill>
        <patternFill patternType="none">
          <fgColor indexed="64"/>
          <bgColor indexed="65"/>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theme="0"/>
        </top>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65" formatCode="&quot;$&quot;#,##0_);[Red]\(&quot;$&quot;#,##0\)"/>
    </dxf>
    <dxf>
      <numFmt numFmtId="165" formatCode="&quot;$&quot;#,##0_);[Red]\(&quot;$&quot;#,##0\)"/>
      <alignment horizontal="general" vertical="top" textRotation="0" wrapText="1" indent="0" justifyLastLine="0" shrinkToFit="0" readingOrder="0"/>
    </dxf>
    <dxf>
      <numFmt numFmtId="165" formatCode="&quot;$&quot;#,##0_);[Red]\(&quot;$&quot;#,##0\)"/>
      <alignment horizontal="general" vertical="top" textRotation="0" wrapText="1" indent="0" justifyLastLine="0" shrinkToFit="0" readingOrder="0"/>
    </dxf>
    <dxf>
      <numFmt numFmtId="165" formatCode="&quot;$&quot;#,##0_);[Red]\(&quot;$&quot;#,##0\)"/>
      <alignment horizontal="general" vertical="top" textRotation="0" wrapText="1" indent="0" justifyLastLine="0" shrinkToFit="0" readingOrder="0"/>
    </dxf>
    <dxf>
      <numFmt numFmtId="165" formatCode="&quot;$&quot;#,##0_);[Red]\(&quot;$&quot;#,##0\)"/>
      <alignment horizontal="general" vertical="top" textRotation="0" wrapText="1" indent="0" justifyLastLine="0" shrinkToFit="0" readingOrder="0"/>
    </dxf>
    <dxf>
      <numFmt numFmtId="165" formatCode="&quot;$&quot;#,##0_);[Red]\(&quot;$&quot;#,##0\)"/>
      <alignment horizontal="general" vertical="top" textRotation="0" wrapText="1" indent="0" justifyLastLine="0" shrinkToFit="0" readingOrder="0"/>
    </dxf>
    <dxf>
      <border outline="0">
        <top style="thin">
          <color rgb="FFBFBFBF"/>
        </top>
      </border>
    </dxf>
    <dxf>
      <border outline="0">
        <top style="thin">
          <color rgb="FFFFFFFF"/>
        </top>
        <bottom style="thin">
          <color rgb="FFBFBFBF"/>
        </bottom>
      </border>
    </dxf>
    <dxf>
      <alignment horizontal="general" vertical="top" textRotation="0" wrapText="1" indent="0" justifyLastLine="0" shrinkToFit="0" readingOrder="0"/>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5" formatCode="&quot;$&quot;#,##0_);[Red]\(&quot;$&quot;#,##0\)"/>
      <fill>
        <patternFill patternType="none">
          <fgColor indexed="64"/>
          <bgColor indexed="65"/>
        </patternFill>
      </fill>
      <border diagonalUp="0" diagonalDown="0" outline="0">
        <left style="thin">
          <color theme="0" tint="-0.24994659260841701"/>
        </left>
        <right style="thin">
          <color theme="0" tint="-0.24994659260841701"/>
        </right>
        <top style="thin">
          <color theme="0" tint="-0.24994659260841701"/>
        </top>
        <bottom/>
      </border>
    </dxf>
    <dxf>
      <numFmt numFmtId="165" formatCode="&quot;$&quot;#,##0_);[Red]\(&quot;$&quot;#,##0\)"/>
    </dxf>
    <dxf>
      <numFmt numFmtId="165" formatCode="&quot;$&quot;#,##0_);[Red]\(&quot;$&quot;#,##0\)"/>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5" formatCode="&quot;$&quot;#,##0_);[Red]\(&quot;$&quot;#,##0\)"/>
      <alignment horizontal="general" vertical="top" textRotation="0" wrapText="1" indent="0" justifyLastLine="0" shrinkToFit="0" readingOrder="0"/>
    </dxf>
    <dxf>
      <numFmt numFmtId="165" formatCode="&quot;$&quot;#,##0_);[Red]\(&quot;$&quot;#,##0\)"/>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5" formatCode="&quot;$&quot;#,##0_);[Red]\(&quot;$&quot;#,##0\)"/>
      <alignment horizontal="general" vertical="top" textRotation="0" wrapText="1" indent="0" justifyLastLine="0" shrinkToFit="0" readingOrder="0"/>
    </dxf>
    <dxf>
      <numFmt numFmtId="165" formatCode="&quot;$&quot;#,##0_);[Red]\(&quot;$&quot;#,##0\)"/>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5" formatCode="&quot;$&quot;#,##0_);[Red]\(&quot;$&quot;#,##0\)"/>
      <alignment horizontal="general" vertical="top" textRotation="0" wrapText="1" indent="0" justifyLastLine="0" shrinkToFit="0" readingOrder="0"/>
    </dxf>
    <dxf>
      <numFmt numFmtId="165" formatCode="&quot;$&quot;#,##0_);[Red]\(&quot;$&quot;#,##0\)"/>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5" formatCode="&quot;$&quot;#,##0_);[Red]\(&quot;$&quot;#,##0\)"/>
      <alignment horizontal="general" vertical="top" textRotation="0" wrapText="1" indent="0" justifyLastLine="0" shrinkToFit="0" readingOrder="0"/>
    </dxf>
    <dxf>
      <numFmt numFmtId="165" formatCode="&quot;$&quot;#,##0_);[Red]\(&quot;$&quot;#,##0\)"/>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5" formatCode="&quot;$&quot;#,##0_);[Red]\(&quot;$&quot;#,##0\)"/>
      <alignment horizontal="general" vertical="top" textRotation="0" wrapText="1" indent="0" justifyLastLine="0" shrinkToFit="0" readingOrder="0"/>
    </dxf>
    <dxf>
      <fill>
        <patternFill patternType="none">
          <fgColor indexed="64"/>
          <bgColor indexed="65"/>
        </patternFill>
      </fill>
      <border diagonalUp="0" diagonalDown="0" outline="0">
        <left style="thin">
          <color theme="0" tint="-0.24994659260841701"/>
        </left>
        <right style="thin">
          <color theme="0" tint="-0.24994659260841701"/>
        </right>
        <top style="thin">
          <color theme="0" tint="-0.24994659260841701"/>
        </top>
        <bottom/>
      </border>
    </dxf>
    <dxf>
      <border outline="0">
        <top style="thin">
          <color rgb="FFBFBFBF"/>
        </top>
      </border>
    </dxf>
    <dxf>
      <border outline="0">
        <top style="thin">
          <color rgb="FFFFFFFF"/>
        </top>
        <bottom style="thin">
          <color rgb="FFBFBFBF"/>
        </bottom>
      </border>
    </dxf>
    <dxf>
      <alignment horizontal="general" vertical="top" textRotation="0" wrapText="1" indent="0" justifyLastLine="0" shrinkToFit="0" readingOrder="0"/>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5" formatCode="&quot;$&quot;#,##0_);[Red]\(&quot;$&quot;#,##0\)"/>
      <border>
        <left style="thin">
          <color theme="0" tint="-0.24994659260841701"/>
        </left>
        <right style="thin">
          <color theme="0" tint="-0.24994659260841701"/>
        </right>
      </border>
    </dxf>
    <dxf>
      <numFmt numFmtId="165" formatCode="&quot;$&quot;#,##0_);[Red]\(&quot;$&quot;#,##0\)"/>
      <border>
        <left style="thin">
          <color theme="0" tint="-0.24994659260841701"/>
        </left>
      </border>
    </dxf>
    <dxf>
      <numFmt numFmtId="165" formatCode="&quot;$&quot;#,##0_);[Red]\(&quot;$&quot;#,##0\)"/>
      <border>
        <left style="thin">
          <color theme="0" tint="-0.24994659260841701"/>
        </left>
        <right style="thin">
          <color theme="0" tint="-0.24994659260841701"/>
        </right>
      </border>
    </dxf>
    <dxf>
      <numFmt numFmtId="165" formatCode="&quot;$&quot;#,##0_);[Red]\(&quot;$&quot;#,##0\)"/>
      <border>
        <left style="thin">
          <color theme="0" tint="-0.24994659260841701"/>
        </left>
        <right style="thin">
          <color theme="0" tint="-0.24994659260841701"/>
        </right>
      </border>
    </dxf>
    <dxf>
      <numFmt numFmtId="165" formatCode="&quot;$&quot;#,##0_);[Red]\(&quot;$&quot;#,##0\)"/>
      <border>
        <left style="thin">
          <color theme="0" tint="-0.24994659260841701"/>
        </left>
        <right style="thin">
          <color theme="0" tint="-0.24994659260841701"/>
        </right>
      </border>
    </dxf>
    <dxf>
      <numFmt numFmtId="165" formatCode="&quot;$&quot;#,##0_);[Red]\(&quot;$&quot;#,##0\)"/>
      <border>
        <right style="thin">
          <color theme="0" tint="-0.24994659260841701"/>
        </right>
      </border>
    </dxf>
    <dxf>
      <alignment horizontal="left" vertical="center" textRotation="0" wrapText="0" indent="0" justifyLastLine="0" shrinkToFit="0" readingOrder="0"/>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5" formatCode="&quot;$&quot;#,##0_);[Red]\(&quot;$&quot;#,##0\)"/>
      <border>
        <left style="thin">
          <color theme="0" tint="-0.24994659260841701"/>
        </left>
        <right style="thin">
          <color theme="0" tint="-0.24994659260841701"/>
        </right>
      </border>
    </dxf>
    <dxf>
      <numFmt numFmtId="165" formatCode="&quot;$&quot;#,##0_);[Red]\(&quot;$&quot;#,##0\)"/>
      <border>
        <left style="thin">
          <color theme="0" tint="-0.24994659260841701"/>
        </left>
      </border>
    </dxf>
    <dxf>
      <numFmt numFmtId="165" formatCode="&quot;$&quot;#,##0_);[Red]\(&quot;$&quot;#,##0\)"/>
      <border>
        <left style="thin">
          <color theme="0" tint="-0.24994659260841701"/>
        </left>
        <right style="thin">
          <color theme="0" tint="-0.24994659260841701"/>
        </right>
      </border>
    </dxf>
    <dxf>
      <numFmt numFmtId="165" formatCode="&quot;$&quot;#,##0_);[Red]\(&quot;$&quot;#,##0\)"/>
      <border>
        <left style="thin">
          <color theme="0" tint="-0.24994659260841701"/>
        </left>
        <right style="thin">
          <color theme="0" tint="-0.24994659260841701"/>
        </right>
      </border>
    </dxf>
    <dxf>
      <numFmt numFmtId="165" formatCode="&quot;$&quot;#,##0_);[Red]\(&quot;$&quot;#,##0\)"/>
      <border>
        <left style="thin">
          <color theme="0" tint="-0.24994659260841701"/>
        </left>
        <right style="thin">
          <color theme="0" tint="-0.24994659260841701"/>
        </right>
      </border>
    </dxf>
    <dxf>
      <numFmt numFmtId="165" formatCode="&quot;$&quot;#,##0_);[Red]\(&quot;$&quot;#,##0\)"/>
      <border>
        <right style="thin">
          <color theme="0" tint="-0.24994659260841701"/>
        </right>
      </border>
    </dxf>
    <dxf>
      <alignment horizontal="left" vertical="center" textRotation="0" wrapText="0" indent="0" justifyLastLine="0" shrinkToFit="0" readingOrder="0"/>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5" formatCode="&quot;$&quot;#,##0_);[Red]\(&quot;$&quot;#,##0\)"/>
      <border>
        <left style="thin">
          <color theme="0" tint="-0.24994659260841701"/>
        </left>
        <right style="thin">
          <color theme="0" tint="-0.24994659260841701"/>
        </right>
      </border>
    </dxf>
    <dxf>
      <numFmt numFmtId="165" formatCode="&quot;$&quot;#,##0_);[Red]\(&quot;$&quot;#,##0\)"/>
      <border>
        <left style="thin">
          <color theme="0" tint="-0.24994659260841701"/>
        </left>
      </border>
    </dxf>
    <dxf>
      <numFmt numFmtId="165" formatCode="&quot;$&quot;#,##0_);[Red]\(&quot;$&quot;#,##0\)"/>
      <border>
        <left style="thin">
          <color theme="0" tint="-0.24994659260841701"/>
        </left>
        <right style="thin">
          <color theme="0" tint="-0.24994659260841701"/>
        </right>
      </border>
    </dxf>
    <dxf>
      <numFmt numFmtId="165" formatCode="&quot;$&quot;#,##0_);[Red]\(&quot;$&quot;#,##0\)"/>
      <border>
        <left style="thin">
          <color theme="0" tint="-0.24994659260841701"/>
        </left>
        <right style="thin">
          <color theme="0" tint="-0.24994659260841701"/>
        </right>
      </border>
    </dxf>
    <dxf>
      <numFmt numFmtId="165" formatCode="&quot;$&quot;#,##0_);[Red]\(&quot;$&quot;#,##0\)"/>
      <border>
        <left style="thin">
          <color theme="0" tint="-0.24994659260841701"/>
        </left>
        <right style="thin">
          <color theme="0" tint="-0.24994659260841701"/>
        </right>
      </border>
    </dxf>
    <dxf>
      <numFmt numFmtId="165" formatCode="&quot;$&quot;#,##0_);[Red]\(&quot;$&quot;#,##0\)"/>
      <border>
        <right style="thin">
          <color theme="0" tint="-0.24994659260841701"/>
        </right>
      </border>
    </dxf>
    <dxf>
      <alignment horizontal="left" vertical="center" textRotation="0" wrapText="0" indent="0" justifyLastLine="0" shrinkToFit="0" readingOrder="0"/>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5" formatCode="&quot;$&quot;#,##0_);[Red]\(&quot;$&quot;#,##0\)"/>
      <border>
        <left style="thin">
          <color theme="0" tint="-0.24994659260841701"/>
        </left>
        <right style="thin">
          <color theme="0" tint="-0.24994659260841701"/>
        </right>
      </border>
    </dxf>
    <dxf>
      <numFmt numFmtId="165" formatCode="&quot;$&quot;#,##0_);[Red]\(&quot;$&quot;#,##0\)"/>
      <border>
        <left style="thin">
          <color theme="0" tint="-0.24994659260841701"/>
        </left>
      </border>
    </dxf>
    <dxf>
      <numFmt numFmtId="165" formatCode="&quot;$&quot;#,##0_);[Red]\(&quot;$&quot;#,##0\)"/>
      <border>
        <left style="thin">
          <color theme="0" tint="-0.24994659260841701"/>
        </left>
        <right style="thin">
          <color theme="0" tint="-0.24994659260841701"/>
        </right>
      </border>
    </dxf>
    <dxf>
      <numFmt numFmtId="165" formatCode="&quot;$&quot;#,##0_);[Red]\(&quot;$&quot;#,##0\)"/>
      <border>
        <left style="thin">
          <color theme="0" tint="-0.24994659260841701"/>
        </left>
        <right style="thin">
          <color theme="0" tint="-0.24994659260841701"/>
        </right>
      </border>
    </dxf>
    <dxf>
      <numFmt numFmtId="165" formatCode="&quot;$&quot;#,##0_);[Red]\(&quot;$&quot;#,##0\)"/>
      <border>
        <left style="thin">
          <color theme="0" tint="-0.24994659260841701"/>
        </left>
        <right style="thin">
          <color theme="0" tint="-0.24994659260841701"/>
        </right>
      </border>
    </dxf>
    <dxf>
      <numFmt numFmtId="165" formatCode="&quot;$&quot;#,##0_);[Red]\(&quot;$&quot;#,##0\)"/>
      <border>
        <right style="thin">
          <color theme="0" tint="-0.24994659260841701"/>
        </right>
      </border>
    </dxf>
    <dxf>
      <alignment horizontal="left" vertical="center" textRotation="0" wrapText="0" indent="0" justifyLastLine="0" shrinkToFit="0" readingOrder="0"/>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8" formatCode="\+&quot;$&quot;0;\-&quot;$&quot;0;&quot;$&quot;0"/>
    </dxf>
    <dxf>
      <numFmt numFmtId="178" formatCode="\+&quot;$&quot;0;\-&quot;$&quot;0;&quot;$&quot;0"/>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9" formatCode="\+0%;\-0%;0%"/>
    </dxf>
    <dxf>
      <numFmt numFmtId="179" formatCode="\+0%;\-0%;0%"/>
    </dxf>
    <dxf>
      <numFmt numFmtId="179" formatCode="\+0%;\-0%;0%"/>
    </dxf>
    <dxf>
      <numFmt numFmtId="179" formatCode="\+0%;\-0%;0%"/>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9" formatCode="\+0%;\-0%;0%"/>
      <border>
        <left style="thin">
          <color theme="0" tint="-0.24994659260841701"/>
        </left>
        <right style="thin">
          <color theme="0" tint="-0.24994659260841701"/>
        </right>
      </border>
    </dxf>
    <dxf>
      <numFmt numFmtId="179" formatCode="\+0%;\-0%;0%"/>
      <border>
        <left style="thin">
          <color theme="0" tint="-0.24994659260841701"/>
        </left>
        <right style="thin">
          <color theme="0" tint="-0.24994659260841701"/>
        </right>
      </border>
    </dxf>
    <dxf>
      <numFmt numFmtId="179" formatCode="\+0%;\-0%;0%"/>
      <border>
        <left style="thin">
          <color theme="0" tint="-0.24994659260841701"/>
        </left>
        <right style="thin">
          <color theme="0" tint="-0.24994659260841701"/>
        </right>
      </border>
    </dxf>
    <dxf>
      <numFmt numFmtId="179" formatCode="\+0%;\-0%;0%"/>
      <border>
        <right style="thin">
          <color theme="0" tint="-0.24994659260841701"/>
        </right>
      </border>
    </dxf>
    <dxf>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8" formatCode="\+&quot;$&quot;0;\-&quot;$&quot;0;&quot;$&quot;0"/>
    </dxf>
    <dxf>
      <numFmt numFmtId="178" formatCode="\+&quot;$&quot;0;\-&quot;$&quot;0;&quot;$&quot;0"/>
    </dxf>
    <dxf>
      <numFmt numFmtId="178" formatCode="\+&quot;$&quot;0;\-&quot;$&quot;0;&quot;$&quot;0"/>
    </dxf>
    <dxf>
      <numFmt numFmtId="178" formatCode="\+&quot;$&quot;0;\-&quot;$&quot;0;&quot;$&quot;0"/>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5" formatCode="&quot;$&quot;#,##0_);[Red]\(&quot;$&quot;#,##0\)"/>
      <border outline="0">
        <left style="thin">
          <color theme="0" tint="-0.24994659260841701"/>
        </left>
        <right style="thin">
          <color theme="0" tint="-0.24994659260841701"/>
        </right>
      </border>
    </dxf>
    <dxf>
      <numFmt numFmtId="165" formatCode="&quot;$&quot;#,##0_);[Red]\(&quot;$&quot;#,##0\)"/>
      <border outline="0">
        <left style="thin">
          <color theme="0" tint="-0.24994659260841701"/>
        </left>
        <right style="thin">
          <color theme="0" tint="-0.24994659260841701"/>
        </right>
      </border>
    </dxf>
    <dxf>
      <numFmt numFmtId="165" formatCode="&quot;$&quot;#,##0_);[Red]\(&quot;$&quot;#,##0\)"/>
      <border outline="0">
        <left style="thin">
          <color theme="0" tint="-0.24994659260841701"/>
        </left>
        <right style="thin">
          <color theme="0" tint="-0.24994659260841701"/>
        </right>
      </border>
    </dxf>
    <dxf>
      <numFmt numFmtId="165" formatCode="&quot;$&quot;#,##0_);[Red]\(&quot;$&quot;#,##0\)"/>
      <border outline="0">
        <right style="thin">
          <color theme="0" tint="-0.24994659260841701"/>
        </right>
      </border>
    </dxf>
    <dxf>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5" formatCode="&quot;$&quot;#,##0_);[Red]\(&quot;$&quot;#,##0\)"/>
      <alignment horizontal="general" vertical="top" textRotation="0" wrapText="1" indent="0" justifyLastLine="0" shrinkToFit="0" readingOrder="0"/>
    </dxf>
    <dxf>
      <numFmt numFmtId="165" formatCode="&quot;$&quot;#,##0_);[Red]\(&quot;$&quot;#,##0\)"/>
      <alignment horizontal="general" vertical="top" textRotation="0" wrapText="1" indent="0" justifyLastLine="0" shrinkToFit="0" readingOrder="0"/>
    </dxf>
    <dxf>
      <numFmt numFmtId="165" formatCode="&quot;$&quot;#,##0_);[Red]\(&quot;$&quot;#,##0\)"/>
      <alignment horizontal="general" vertical="top" textRotation="0" wrapText="1" indent="0" justifyLastLine="0" shrinkToFit="0" readingOrder="0"/>
    </dxf>
    <dxf>
      <numFmt numFmtId="165" formatCode="&quot;$&quot;#,##0_);[Red]\(&quot;$&quot;#,##0\)"/>
      <alignment horizontal="general" vertical="top" textRotation="0" wrapText="1" indent="0" justifyLastLine="0" shrinkToFit="0" readingOrder="0"/>
    </dxf>
    <dxf>
      <alignment horizontal="left" vertical="center" textRotation="0" wrapText="0" indent="0" justifyLastLine="0" shrinkToFit="0" readingOrder="0"/>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5" formatCode="&quot;$&quot;#,##0_);[Red]\(&quot;$&quot;#,##0\)"/>
      <alignment horizontal="general" vertical="top" textRotation="0" wrapText="1" indent="0" justifyLastLine="0" shrinkToFit="0" readingOrder="0"/>
      <border>
        <left style="thin">
          <color theme="0" tint="-0.24994659260841701"/>
        </left>
        <right style="thin">
          <color theme="0" tint="-0.24994659260841701"/>
        </right>
      </border>
    </dxf>
    <dxf>
      <numFmt numFmtId="165" formatCode="&quot;$&quot;#,##0_);[Red]\(&quot;$&quot;#,##0\)"/>
      <alignment horizontal="general" vertical="top" textRotation="0" wrapText="1" indent="0" justifyLastLine="0" shrinkToFit="0" readingOrder="0"/>
      <border>
        <left style="thin">
          <color theme="0" tint="-0.24994659260841701"/>
        </left>
        <right style="thin">
          <color theme="0" tint="-0.24994659260841701"/>
        </right>
      </border>
    </dxf>
    <dxf>
      <numFmt numFmtId="165" formatCode="&quot;$&quot;#,##0_);[Red]\(&quot;$&quot;#,##0\)"/>
      <alignment horizontal="general" vertical="top" textRotation="0" wrapText="1" indent="0" justifyLastLine="0" shrinkToFit="0" readingOrder="0"/>
      <border>
        <left style="thin">
          <color theme="0" tint="-0.24994659260841701"/>
        </left>
        <right style="thin">
          <color theme="0" tint="-0.24994659260841701"/>
        </right>
      </border>
    </dxf>
    <dxf>
      <numFmt numFmtId="165" formatCode="&quot;$&quot;#,##0_);[Red]\(&quot;$&quot;#,##0\)"/>
      <alignment horizontal="general" vertical="top" textRotation="0" wrapText="1" indent="0" justifyLastLine="0" shrinkToFit="0" readingOrder="0"/>
      <border>
        <right style="thin">
          <color theme="0" tint="-0.24994659260841701"/>
        </right>
      </border>
    </dxf>
    <dxf>
      <alignment horizontal="left" vertical="center" textRotation="0" wrapText="0" indent="0" justifyLastLine="0" shrinkToFit="0" readingOrder="0"/>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9" formatCode="\+0%;\-0%;0%"/>
    </dxf>
    <dxf>
      <numFmt numFmtId="179" formatCode="\+0%;\-0%;0%"/>
    </dxf>
    <dxf>
      <numFmt numFmtId="179" formatCode="\+0%;\-0%;0%"/>
    </dxf>
    <dxf>
      <numFmt numFmtId="179" formatCode="\+0%;\-0%;0%"/>
    </dxf>
    <dxf>
      <numFmt numFmtId="179" formatCode="\+0%;\-0%;0%"/>
    </dxf>
    <dxf>
      <numFmt numFmtId="179" formatCode="\+0%;\-0%;0%"/>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9" formatCode="\+0%;\-0%;0%"/>
      <border>
        <left style="thin">
          <color theme="0" tint="-0.24994659260841701"/>
        </left>
        <right style="thin">
          <color theme="0" tint="-0.24994659260841701"/>
        </right>
      </border>
    </dxf>
    <dxf>
      <numFmt numFmtId="179" formatCode="\+0%;\-0%;0%"/>
      <border>
        <left style="thin">
          <color theme="0" tint="-0.24994659260841701"/>
        </left>
      </border>
    </dxf>
    <dxf>
      <numFmt numFmtId="179" formatCode="\+0%;\-0%;0%"/>
      <border>
        <left style="thin">
          <color theme="0" tint="-0.24994659260841701"/>
        </left>
        <right style="thin">
          <color theme="0" tint="-0.24994659260841701"/>
        </right>
      </border>
    </dxf>
    <dxf>
      <numFmt numFmtId="179" formatCode="\+0%;\-0%;0%"/>
      <border>
        <left style="thin">
          <color theme="0" tint="-0.24994659260841701"/>
        </left>
        <right style="thin">
          <color theme="0" tint="-0.24994659260841701"/>
        </right>
      </border>
    </dxf>
    <dxf>
      <numFmt numFmtId="179" formatCode="\+0%;\-0%;0%"/>
      <border>
        <left style="thin">
          <color theme="0" tint="-0.24994659260841701"/>
        </left>
        <right style="thin">
          <color theme="0" tint="-0.24994659260841701"/>
        </right>
      </border>
    </dxf>
    <dxf>
      <numFmt numFmtId="179" formatCode="\+0%;\-0%;0%"/>
      <border>
        <right style="thin">
          <color theme="0" tint="-0.24994659260841701"/>
        </right>
      </border>
    </dxf>
    <dxf>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8" formatCode="\+&quot;$&quot;0;\-&quot;$&quot;0;&quot;$&quot;0"/>
    </dxf>
    <dxf>
      <numFmt numFmtId="178" formatCode="\+&quot;$&quot;0;\-&quot;$&quot;0;&quot;$&quot;0"/>
    </dxf>
    <dxf>
      <numFmt numFmtId="178" formatCode="\+&quot;$&quot;0;\-&quot;$&quot;0;&quot;$&quot;0"/>
    </dxf>
    <dxf>
      <numFmt numFmtId="178" formatCode="\+&quot;$&quot;0;\-&quot;$&quot;0;&quot;$&quot;0"/>
    </dxf>
    <dxf>
      <numFmt numFmtId="178" formatCode="\+&quot;$&quot;0;\-&quot;$&quot;0;&quot;$&quot;0"/>
    </dxf>
    <dxf>
      <numFmt numFmtId="178" formatCode="\+&quot;$&quot;0;\-&quot;$&quot;0;&quot;$&quot;0"/>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8" formatCode="\+&quot;$&quot;0;\-&quot;$&quot;0;&quot;$&quot;0"/>
      <border>
        <left style="thin">
          <color theme="0" tint="-0.24994659260841701"/>
        </left>
        <right style="thin">
          <color theme="0" tint="-0.24994659260841701"/>
        </right>
      </border>
    </dxf>
    <dxf>
      <numFmt numFmtId="165" formatCode="&quot;$&quot;#,##0_);[Red]\(&quot;$&quot;#,##0\)"/>
      <border outline="0">
        <left style="thin">
          <color theme="0" tint="-0.24994659260841701"/>
        </left>
      </border>
    </dxf>
    <dxf>
      <numFmt numFmtId="165" formatCode="&quot;$&quot;#,##0_);[Red]\(&quot;$&quot;#,##0\)"/>
      <border outline="0">
        <left style="thin">
          <color theme="0" tint="-0.24994659260841701"/>
        </left>
        <right style="thin">
          <color theme="0" tint="-0.24994659260841701"/>
        </right>
      </border>
    </dxf>
    <dxf>
      <numFmt numFmtId="165" formatCode="&quot;$&quot;#,##0_);[Red]\(&quot;$&quot;#,##0\)"/>
      <border outline="0">
        <left style="thin">
          <color theme="0" tint="-0.24994659260841701"/>
        </left>
        <right style="thin">
          <color theme="0" tint="-0.24994659260841701"/>
        </right>
      </border>
    </dxf>
    <dxf>
      <numFmt numFmtId="165" formatCode="&quot;$&quot;#,##0_);[Red]\(&quot;$&quot;#,##0\)"/>
      <border outline="0">
        <left style="thin">
          <color theme="0" tint="-0.24994659260841701"/>
        </left>
        <right style="thin">
          <color theme="0" tint="-0.24994659260841701"/>
        </right>
      </border>
    </dxf>
    <dxf>
      <numFmt numFmtId="165" formatCode="&quot;$&quot;#,##0_);[Red]\(&quot;$&quot;#,##0\)"/>
      <border outline="0">
        <right style="thin">
          <color theme="0" tint="-0.24994659260841701"/>
        </right>
      </border>
    </dxf>
    <dxf>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5" formatCode="&quot;$&quot;#,##0_);[Red]\(&quot;$&quot;#,##0\)"/>
      <alignment horizontal="general" vertical="top" textRotation="0" wrapText="1" indent="0" justifyLastLine="0" shrinkToFit="0" readingOrder="0"/>
    </dxf>
    <dxf>
      <numFmt numFmtId="165" formatCode="&quot;$&quot;#,##0_);[Red]\(&quot;$&quot;#,##0\)"/>
      <alignment horizontal="general" vertical="top" textRotation="0" wrapText="1" indent="0" justifyLastLine="0" shrinkToFit="0" readingOrder="0"/>
      <border outline="0">
        <right style="thin">
          <color theme="0" tint="-0.24994659260841701"/>
        </right>
      </border>
    </dxf>
    <dxf>
      <numFmt numFmtId="165" formatCode="&quot;$&quot;#,##0_);[Red]\(&quot;$&quot;#,##0\)"/>
      <alignment horizontal="general" vertical="top" textRotation="0" wrapText="1" indent="0" justifyLastLine="0" shrinkToFit="0" readingOrder="0"/>
    </dxf>
    <dxf>
      <numFmt numFmtId="165" formatCode="&quot;$&quot;#,##0_);[Red]\(&quot;$&quot;#,##0\)"/>
      <alignment horizontal="general" vertical="top" textRotation="0" wrapText="1" indent="0" justifyLastLine="0" shrinkToFit="0" readingOrder="0"/>
    </dxf>
    <dxf>
      <numFmt numFmtId="165" formatCode="&quot;$&quot;#,##0_);[Red]\(&quot;$&quot;#,##0\)"/>
      <alignment horizontal="general" vertical="top" textRotation="0" wrapText="1" indent="0" justifyLastLine="0" shrinkToFit="0" readingOrder="0"/>
    </dxf>
    <dxf>
      <numFmt numFmtId="165" formatCode="&quot;$&quot;#,##0_);[Red]\(&quot;$&quot;#,##0\)"/>
      <alignment horizontal="general" vertical="top" textRotation="0" wrapText="1" indent="0" justifyLastLine="0" shrinkToFit="0" readingOrder="0"/>
    </dxf>
    <dxf>
      <alignment horizontal="left" vertical="center" textRotation="0" wrapText="0" indent="0" justifyLastLine="0" shrinkToFit="0" readingOrder="0"/>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5" formatCode="&quot;$&quot;#,##0_);[Red]\(&quot;$&quot;#,##0\)"/>
      <alignment horizontal="general" vertical="top" textRotation="0" wrapText="1" indent="0" justifyLastLine="0" shrinkToFit="0" readingOrder="0"/>
      <border outline="0">
        <left style="thin">
          <color theme="0" tint="-0.24994659260841701"/>
        </left>
        <right style="thin">
          <color theme="0" tint="-0.24994659260841701"/>
        </right>
      </border>
    </dxf>
    <dxf>
      <numFmt numFmtId="165" formatCode="&quot;$&quot;#,##0_);[Red]\(&quot;$&quot;#,##0\)"/>
      <alignment horizontal="general" vertical="top" textRotation="0" wrapText="1" indent="0" justifyLastLine="0" shrinkToFit="0" readingOrder="0"/>
      <border outline="0">
        <left style="thin">
          <color theme="0" tint="-0.24994659260841701"/>
        </left>
      </border>
    </dxf>
    <dxf>
      <numFmt numFmtId="165" formatCode="&quot;$&quot;#,##0_);[Red]\(&quot;$&quot;#,##0\)"/>
      <alignment horizontal="general" vertical="top" textRotation="0" wrapText="1" indent="0" justifyLastLine="0" shrinkToFit="0" readingOrder="0"/>
      <border outline="0">
        <left style="thin">
          <color theme="0" tint="-0.24994659260841701"/>
        </left>
        <right style="thin">
          <color theme="0" tint="-0.24994659260841701"/>
        </right>
      </border>
    </dxf>
    <dxf>
      <numFmt numFmtId="165" formatCode="&quot;$&quot;#,##0_);[Red]\(&quot;$&quot;#,##0\)"/>
      <alignment horizontal="general" vertical="top" textRotation="0" wrapText="1" indent="0" justifyLastLine="0" shrinkToFit="0" readingOrder="0"/>
      <border outline="0">
        <left style="thin">
          <color theme="0" tint="-0.24994659260841701"/>
        </left>
        <right style="thin">
          <color theme="0" tint="-0.24994659260841701"/>
        </right>
      </border>
    </dxf>
    <dxf>
      <numFmt numFmtId="165" formatCode="&quot;$&quot;#,##0_);[Red]\(&quot;$&quot;#,##0\)"/>
      <alignment horizontal="general" vertical="top" textRotation="0" wrapText="1" indent="0" justifyLastLine="0" shrinkToFit="0" readingOrder="0"/>
      <border outline="0">
        <left style="thin">
          <color theme="0" tint="-0.24994659260841701"/>
        </left>
        <right style="thin">
          <color theme="0" tint="-0.24994659260841701"/>
        </right>
      </border>
    </dxf>
    <dxf>
      <numFmt numFmtId="165" formatCode="&quot;$&quot;#,##0_);[Red]\(&quot;$&quot;#,##0\)"/>
      <alignment horizontal="general" vertical="top" textRotation="0" wrapText="1" indent="0" justifyLastLine="0" shrinkToFit="0" readingOrder="0"/>
      <border outline="0">
        <right style="thin">
          <color theme="0" tint="-0.24994659260841701"/>
        </right>
      </border>
    </dxf>
    <dxf>
      <alignment horizontal="left" vertical="center" textRotation="0" wrapText="0" indent="0" justifyLastLine="0" shrinkToFit="0" readingOrder="0"/>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9" formatCode="\+0%;\-0%;0%"/>
    </dxf>
    <dxf>
      <numFmt numFmtId="179" formatCode="\+0%;\-0%;0%"/>
    </dxf>
    <dxf>
      <numFmt numFmtId="179" formatCode="\+0%;\-0%;0%"/>
    </dxf>
    <dxf>
      <numFmt numFmtId="179" formatCode="\+0%;\-0%;0%"/>
    </dxf>
    <dxf>
      <numFmt numFmtId="179" formatCode="\+0%;\-0%;0%"/>
    </dxf>
    <dxf>
      <numFmt numFmtId="179" formatCode="\+0%;\-0%;0%"/>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9" formatCode="\+0%;\-0%;0%"/>
      <border>
        <left style="thin">
          <color theme="0" tint="-0.24994659260841701"/>
        </left>
        <right style="thin">
          <color theme="0" tint="-0.24994659260841701"/>
        </right>
      </border>
    </dxf>
    <dxf>
      <numFmt numFmtId="179" formatCode="\+0%;\-0%;0%"/>
      <border>
        <left style="thin">
          <color theme="0" tint="-0.24994659260841701"/>
        </left>
      </border>
    </dxf>
    <dxf>
      <numFmt numFmtId="179" formatCode="\+0%;\-0%;0%"/>
      <border>
        <left style="thin">
          <color theme="0" tint="-0.24994659260841701"/>
        </left>
        <right style="thin">
          <color theme="0" tint="-0.24994659260841701"/>
        </right>
      </border>
    </dxf>
    <dxf>
      <numFmt numFmtId="179" formatCode="\+0%;\-0%;0%"/>
      <border>
        <left style="thin">
          <color theme="0" tint="-0.24994659260841701"/>
        </left>
        <right style="thin">
          <color theme="0" tint="-0.24994659260841701"/>
        </right>
      </border>
    </dxf>
    <dxf>
      <numFmt numFmtId="179" formatCode="\+0%;\-0%;0%"/>
      <border>
        <left style="thin">
          <color theme="0" tint="-0.24994659260841701"/>
        </left>
        <right style="thin">
          <color theme="0" tint="-0.24994659260841701"/>
        </right>
      </border>
    </dxf>
    <dxf>
      <numFmt numFmtId="179" formatCode="\+0%;\-0%;0%"/>
      <border>
        <right style="thin">
          <color theme="0" tint="-0.24994659260841701"/>
        </right>
      </border>
    </dxf>
    <dxf>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8" formatCode="\+&quot;$&quot;0;\-&quot;$&quot;0;&quot;$&quot;0"/>
    </dxf>
    <dxf>
      <numFmt numFmtId="178" formatCode="\+&quot;$&quot;0;\-&quot;$&quot;0;&quot;$&quot;0"/>
    </dxf>
    <dxf>
      <numFmt numFmtId="178" formatCode="\+&quot;$&quot;0;\-&quot;$&quot;0;&quot;$&quot;0"/>
    </dxf>
    <dxf>
      <numFmt numFmtId="178" formatCode="\+&quot;$&quot;0;\-&quot;$&quot;0;&quot;$&quot;0"/>
    </dxf>
    <dxf>
      <numFmt numFmtId="178" formatCode="\+&quot;$&quot;0;\-&quot;$&quot;0;&quot;$&quot;0"/>
    </dxf>
    <dxf>
      <numFmt numFmtId="178" formatCode="\+&quot;$&quot;0;\-&quot;$&quot;0;&quot;$&quot;0"/>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8" formatCode="\+&quot;$&quot;0;\-&quot;$&quot;0;&quot;$&quot;0"/>
      <border>
        <left style="thin">
          <color theme="0" tint="-0.24994659260841701"/>
        </left>
        <right style="thin">
          <color theme="0" tint="-0.24994659260841701"/>
        </right>
      </border>
    </dxf>
    <dxf>
      <numFmt numFmtId="165" formatCode="&quot;$&quot;#,##0_);[Red]\(&quot;$&quot;#,##0\)"/>
      <border outline="0">
        <left style="thin">
          <color theme="0" tint="-0.24994659260841701"/>
        </left>
      </border>
    </dxf>
    <dxf>
      <numFmt numFmtId="165" formatCode="&quot;$&quot;#,##0_);[Red]\(&quot;$&quot;#,##0\)"/>
      <border outline="0">
        <left style="thin">
          <color theme="0" tint="-0.24994659260841701"/>
        </left>
        <right style="thin">
          <color theme="0" tint="-0.24994659260841701"/>
        </right>
      </border>
    </dxf>
    <dxf>
      <numFmt numFmtId="165" formatCode="&quot;$&quot;#,##0_);[Red]\(&quot;$&quot;#,##0\)"/>
      <border outline="0">
        <left style="thin">
          <color theme="0" tint="-0.24994659260841701"/>
        </left>
        <right style="thin">
          <color theme="0" tint="-0.24994659260841701"/>
        </right>
      </border>
    </dxf>
    <dxf>
      <numFmt numFmtId="165" formatCode="&quot;$&quot;#,##0_);[Red]\(&quot;$&quot;#,##0\)"/>
      <border outline="0">
        <left style="thin">
          <color theme="0" tint="-0.24994659260841701"/>
        </left>
        <right style="thin">
          <color theme="0" tint="-0.24994659260841701"/>
        </right>
      </border>
    </dxf>
    <dxf>
      <numFmt numFmtId="165" formatCode="&quot;$&quot;#,##0_);[Red]\(&quot;$&quot;#,##0\)"/>
      <border outline="0">
        <right style="thin">
          <color theme="0" tint="-0.24994659260841701"/>
        </right>
      </border>
    </dxf>
    <dxf>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5" formatCode="&quot;$&quot;#,##0_);[Red]\(&quot;$&quot;#,##0\)"/>
    </dxf>
    <dxf>
      <numFmt numFmtId="164" formatCode="&quot;$&quot;#,##0.00_);[Red]\(&quot;$&quot;#,##0.00\)"/>
      <border outline="0">
        <right style="thin">
          <color theme="0" tint="-0.24994659260841701"/>
        </right>
      </border>
    </dxf>
    <dxf>
      <numFmt numFmtId="164" formatCode="&quot;$&quot;#,##0.00_);[Red]\(&quot;$&quot;#,##0.00\)"/>
    </dxf>
    <dxf>
      <numFmt numFmtId="164" formatCode="&quot;$&quot;#,##0.00_);[Red]\(&quot;$&quot;#,##0.00\)"/>
    </dxf>
    <dxf>
      <numFmt numFmtId="164" formatCode="&quot;$&quot;#,##0.00_);[Red]\(&quot;$&quot;#,##0.00\)"/>
    </dxf>
    <dxf>
      <numFmt numFmtId="164" formatCode="&quot;$&quot;#,##0.00_);[Red]\(&quot;$&quot;#,##0.00\)"/>
    </dxf>
    <dxf>
      <alignment horizontal="left" vertical="center" textRotation="0" wrapText="0" indent="0" justifyLastLine="0" shrinkToFit="0" readingOrder="0"/>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5" formatCode="&quot;$&quot;#,##0_);[Red]\(&quot;$&quot;#,##0\)"/>
      <border>
        <left style="thin">
          <color theme="0" tint="-0.24994659260841701"/>
        </left>
        <right style="thin">
          <color theme="0" tint="-0.24994659260841701"/>
        </right>
      </border>
    </dxf>
    <dxf>
      <numFmt numFmtId="165" formatCode="&quot;$&quot;#,##0_);[Red]\(&quot;$&quot;#,##0\)"/>
      <border outline="0">
        <left style="thin">
          <color theme="0" tint="-0.24994659260841701"/>
        </left>
      </border>
    </dxf>
    <dxf>
      <numFmt numFmtId="165" formatCode="&quot;$&quot;#,##0_);[Red]\(&quot;$&quot;#,##0\)"/>
      <border outline="0">
        <left style="thin">
          <color theme="0" tint="-0.24994659260841701"/>
        </left>
        <right style="thin">
          <color theme="0" tint="-0.24994659260841701"/>
        </right>
      </border>
    </dxf>
    <dxf>
      <numFmt numFmtId="165" formatCode="&quot;$&quot;#,##0_);[Red]\(&quot;$&quot;#,##0\)"/>
      <border outline="0">
        <left style="thin">
          <color theme="0" tint="-0.24994659260841701"/>
        </left>
        <right style="thin">
          <color theme="0" tint="-0.24994659260841701"/>
        </right>
      </border>
    </dxf>
    <dxf>
      <numFmt numFmtId="165" formatCode="&quot;$&quot;#,##0_);[Red]\(&quot;$&quot;#,##0\)"/>
      <border outline="0">
        <left style="thin">
          <color theme="0" tint="-0.24994659260841701"/>
        </left>
        <right style="thin">
          <color theme="0" tint="-0.24994659260841701"/>
        </right>
      </border>
    </dxf>
    <dxf>
      <numFmt numFmtId="165" formatCode="&quot;$&quot;#,##0_);[Red]\(&quot;$&quot;#,##0\)"/>
      <border outline="0">
        <right style="thin">
          <color theme="0" tint="-0.24994659260841701"/>
        </right>
      </border>
    </dxf>
    <dxf>
      <alignment horizontal="left" vertical="center" textRotation="0" wrapText="0" indent="0" justifyLastLine="0" shrinkToFit="0" readingOrder="0"/>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9" formatCode="\+0%;\-0%;0%"/>
    </dxf>
    <dxf>
      <numFmt numFmtId="179" formatCode="\+0%;\-0%;0%"/>
    </dxf>
    <dxf>
      <numFmt numFmtId="179" formatCode="\+0%;\-0%;0%"/>
    </dxf>
    <dxf>
      <numFmt numFmtId="179" formatCode="\+0%;\-0%;0%"/>
    </dxf>
    <dxf>
      <numFmt numFmtId="179" formatCode="\+0%;\-0%;0%"/>
    </dxf>
    <dxf>
      <numFmt numFmtId="179" formatCode="\+0%;\-0%;0%"/>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9" formatCode="\+0%;\-0%;0%"/>
      <border>
        <left style="thin">
          <color theme="0" tint="-0.24994659260841701"/>
        </left>
        <right style="thin">
          <color theme="0" tint="-0.24994659260841701"/>
        </right>
      </border>
    </dxf>
    <dxf>
      <numFmt numFmtId="179" formatCode="\+0%;\-0%;0%"/>
      <border>
        <left style="thin">
          <color theme="0" tint="-0.24994659260841701"/>
        </left>
      </border>
    </dxf>
    <dxf>
      <numFmt numFmtId="179" formatCode="\+0%;\-0%;0%"/>
      <border>
        <left style="thin">
          <color theme="0" tint="-0.24994659260841701"/>
        </left>
        <right style="thin">
          <color theme="0" tint="-0.24994659260841701"/>
        </right>
      </border>
    </dxf>
    <dxf>
      <numFmt numFmtId="179" formatCode="\+0%;\-0%;0%"/>
      <border>
        <left style="thin">
          <color theme="0" tint="-0.24994659260841701"/>
        </left>
        <right style="thin">
          <color theme="0" tint="-0.24994659260841701"/>
        </right>
      </border>
    </dxf>
    <dxf>
      <numFmt numFmtId="179" formatCode="\+0%;\-0%;0%"/>
      <border>
        <left style="thin">
          <color theme="0" tint="-0.24994659260841701"/>
        </left>
        <right style="thin">
          <color theme="0" tint="-0.24994659260841701"/>
        </right>
      </border>
    </dxf>
    <dxf>
      <numFmt numFmtId="179" formatCode="\+0%;\-0%;0%"/>
      <border>
        <right style="thin">
          <color theme="0" tint="-0.24994659260841701"/>
        </right>
      </border>
    </dxf>
    <dxf>
      <border outline="0">
        <right style="thin">
          <color theme="0" tint="-0.24994659260841701"/>
        </right>
      </border>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8" formatCode="\+&quot;$&quot;0;\-&quot;$&quot;0;&quot;$&quot;0"/>
    </dxf>
    <dxf>
      <numFmt numFmtId="178" formatCode="\+&quot;$&quot;0;\-&quot;$&quot;0;&quot;$&quot;0"/>
    </dxf>
    <dxf>
      <numFmt numFmtId="178" formatCode="\+&quot;$&quot;0;\-&quot;$&quot;0;&quot;$&quot;0"/>
    </dxf>
    <dxf>
      <numFmt numFmtId="178" formatCode="\+&quot;$&quot;0;\-&quot;$&quot;0;&quot;$&quot;0"/>
    </dxf>
    <dxf>
      <numFmt numFmtId="178" formatCode="\+&quot;$&quot;0;\-&quot;$&quot;0;&quot;$&quot;0"/>
    </dxf>
    <dxf>
      <numFmt numFmtId="178" formatCode="\+&quot;$&quot;0;\-&quot;$&quot;0;&quot;$&quot;0"/>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78" formatCode="\+&quot;$&quot;0;\-&quot;$&quot;0;&quot;$&quot;0"/>
      <border>
        <left style="thin">
          <color theme="0" tint="-0.24994659260841701"/>
        </left>
        <right style="thin">
          <color theme="0" tint="-0.24994659260841701"/>
        </right>
      </border>
    </dxf>
    <dxf>
      <numFmt numFmtId="165" formatCode="&quot;$&quot;#,##0_);[Red]\(&quot;$&quot;#,##0\)"/>
      <border outline="0">
        <left style="thin">
          <color theme="0" tint="-0.24994659260841701"/>
        </left>
      </border>
    </dxf>
    <dxf>
      <numFmt numFmtId="165" formatCode="&quot;$&quot;#,##0_);[Red]\(&quot;$&quot;#,##0\)"/>
      <border outline="0">
        <left style="thin">
          <color theme="0" tint="-0.24994659260841701"/>
        </left>
        <right style="thin">
          <color theme="0" tint="-0.24994659260841701"/>
        </right>
      </border>
    </dxf>
    <dxf>
      <numFmt numFmtId="165" formatCode="&quot;$&quot;#,##0_);[Red]\(&quot;$&quot;#,##0\)"/>
      <border outline="0">
        <left style="thin">
          <color theme="0" tint="-0.24994659260841701"/>
        </left>
        <right style="thin">
          <color theme="0" tint="-0.24994659260841701"/>
        </right>
      </border>
    </dxf>
    <dxf>
      <numFmt numFmtId="165" formatCode="&quot;$&quot;#,##0_);[Red]\(&quot;$&quot;#,##0\)"/>
      <border outline="0">
        <left style="thin">
          <color theme="0" tint="-0.24994659260841701"/>
        </left>
        <right style="thin">
          <color theme="0" tint="-0.24994659260841701"/>
        </right>
      </border>
    </dxf>
    <dxf>
      <numFmt numFmtId="165" formatCode="&quot;$&quot;#,##0_);[Red]\(&quot;$&quot;#,##0\)"/>
      <border outline="0">
        <right style="thin">
          <color theme="0" tint="-0.24994659260841701"/>
        </right>
      </border>
    </dxf>
    <dxf>
      <border outline="0">
        <right style="thin">
          <color theme="0" tint="-0.24994659260841701"/>
        </right>
      </border>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5" formatCode="&quot;$&quot;#,##0_);[Red]\(&quot;$&quot;#,##0\)"/>
    </dxf>
    <dxf>
      <numFmt numFmtId="164" formatCode="&quot;$&quot;#,##0.00_);[Red]\(&quot;$&quot;#,##0.00\)"/>
      <border outline="0">
        <right style="thin">
          <color theme="0" tint="-0.24994659260841701"/>
        </right>
      </border>
    </dxf>
    <dxf>
      <numFmt numFmtId="164" formatCode="&quot;$&quot;#,##0.00_);[Red]\(&quot;$&quot;#,##0.00\)"/>
    </dxf>
    <dxf>
      <numFmt numFmtId="164" formatCode="&quot;$&quot;#,##0.00_);[Red]\(&quot;$&quot;#,##0.00\)"/>
    </dxf>
    <dxf>
      <numFmt numFmtId="164" formatCode="&quot;$&quot;#,##0.00_);[Red]\(&quot;$&quot;#,##0.00\)"/>
    </dxf>
    <dxf>
      <numFmt numFmtId="164" formatCode="&quot;$&quot;#,##0.00_);[Red]\(&quot;$&quot;#,##0.00\)"/>
    </dxf>
    <dxf>
      <alignment horizontal="left" vertical="center" textRotation="0" wrapText="0" indent="0" justifyLastLine="0" shrinkToFit="0" readingOrder="0"/>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5" formatCode="&quot;$&quot;#,##0_);[Red]\(&quot;$&quot;#,##0\)"/>
      <border>
        <left style="thin">
          <color theme="0" tint="-0.24994659260841701"/>
        </left>
        <right style="thin">
          <color theme="0" tint="-0.24994659260841701"/>
        </right>
      </border>
    </dxf>
    <dxf>
      <numFmt numFmtId="165" formatCode="&quot;$&quot;#,##0_);[Red]\(&quot;$&quot;#,##0\)"/>
      <border outline="0">
        <left style="thin">
          <color theme="0" tint="-0.24994659260841701"/>
        </left>
      </border>
    </dxf>
    <dxf>
      <numFmt numFmtId="165" formatCode="&quot;$&quot;#,##0_);[Red]\(&quot;$&quot;#,##0\)"/>
      <border outline="0">
        <left style="thin">
          <color theme="0" tint="-0.24994659260841701"/>
        </left>
        <right style="thin">
          <color theme="0" tint="-0.24994659260841701"/>
        </right>
      </border>
    </dxf>
    <dxf>
      <numFmt numFmtId="165" formatCode="&quot;$&quot;#,##0_);[Red]\(&quot;$&quot;#,##0\)"/>
      <border outline="0">
        <left style="thin">
          <color theme="0" tint="-0.24994659260841701"/>
        </left>
        <right style="thin">
          <color theme="0" tint="-0.24994659260841701"/>
        </right>
      </border>
    </dxf>
    <dxf>
      <numFmt numFmtId="165" formatCode="&quot;$&quot;#,##0_);[Red]\(&quot;$&quot;#,##0\)"/>
      <border outline="0">
        <left style="thin">
          <color theme="0" tint="-0.24994659260841701"/>
        </left>
        <right style="thin">
          <color theme="0" tint="-0.24994659260841701"/>
        </right>
      </border>
    </dxf>
    <dxf>
      <numFmt numFmtId="165" formatCode="&quot;$&quot;#,##0_);[Red]\(&quot;$&quot;#,##0\)"/>
      <border outline="0">
        <right style="thin">
          <color theme="0" tint="-0.24994659260841701"/>
        </right>
      </border>
    </dxf>
    <dxf>
      <alignment horizontal="left" vertical="center" textRotation="0" wrapText="0" indent="0" justifyLastLine="0" shrinkToFit="0" readingOrder="0"/>
      <border outline="0">
        <right style="thin">
          <color theme="0" tint="-0.24994659260841701"/>
        </right>
      </border>
    </dxf>
    <dxf>
      <border outline="0">
        <top style="thin">
          <color rgb="FFBFBFBF"/>
        </top>
      </border>
    </dxf>
    <dxf>
      <border outline="0">
        <top style="thin">
          <color rgb="FFFFFFFF"/>
        </top>
        <bottom style="thin">
          <color rgb="FFBFBFBF"/>
        </bottom>
      </border>
    </dxf>
    <dxf>
      <border outline="0">
        <bottom style="thin">
          <color rgb="FFFFFFFF"/>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border outline="0">
        <right style="thin">
          <color theme="0" tint="-0.24994659260841701"/>
        </right>
      </border>
    </dxf>
    <dxf>
      <border outline="0">
        <bottom style="thin">
          <color theme="0" tint="-0.24994659260841701"/>
        </bottom>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general" vertical="top" textRotation="0" wrapText="0" indent="0" justifyLastLine="0" shrinkToFit="0" readingOrder="0"/>
      <border diagonalUp="0" diagonalDown="0" outline="0">
        <left style="thin">
          <color theme="0"/>
        </left>
        <right style="thin">
          <color theme="0"/>
        </right>
        <top/>
        <bottom/>
      </border>
    </dxf>
    <dxf>
      <numFmt numFmtId="0" formatCode="General"/>
      <border>
        <left style="thin">
          <color theme="0" tint="-0.24994659260841701"/>
        </left>
        <right style="thin">
          <color theme="0" tint="-0.24994659260841701"/>
        </right>
      </border>
    </dxf>
    <dxf>
      <numFmt numFmtId="169" formatCode="&quot;$&quot;#,##0.0000;[Red]\-&quot;$&quot;#,##0.000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style="thin">
          <color theme="0" tint="-0.24994659260841701"/>
        </horizontal>
      </border>
    </dxf>
    <dxf>
      <numFmt numFmtId="169" formatCode="&quot;$&quot;#,##0.0000;[Red]\-&quot;$&quot;#,##0.0000"/>
    </dxf>
    <dxf>
      <numFmt numFmtId="169" formatCode="&quot;$&quot;#,##0.0000;[Red]\-&quot;$&quot;#,##0.000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numFmt numFmtId="169" formatCode="&quot;$&quot;#,##0.0000;[Red]\-&quot;$&quot;#,##0.0000"/>
      <border outline="0">
        <left style="thin">
          <color theme="0" tint="-0.24994659260841701"/>
        </left>
        <right style="thin">
          <color theme="0" tint="-0.24994659260841701"/>
        </right>
      </border>
    </dxf>
    <dxf>
      <numFmt numFmtId="169" formatCode="&quot;$&quot;#,##0.0000;[Red]\-&quot;$&quot;#,##0.0000"/>
      <border outline="0">
        <left style="thin">
          <color theme="0" tint="-0.24994659260841701"/>
        </left>
        <right style="thin">
          <color theme="0" tint="-0.24994659260841701"/>
        </right>
      </border>
    </dxf>
    <dxf>
      <numFmt numFmtId="169" formatCode="&quot;$&quot;#,##0.0000;[Red]\-&quot;$&quot;#,##0.0000"/>
      <border outline="0">
        <left style="thin">
          <color theme="0" tint="-0.24994659260841701"/>
        </left>
        <right style="thin">
          <color theme="0" tint="-0.24994659260841701"/>
        </right>
      </border>
    </dxf>
    <dxf>
      <numFmt numFmtId="169" formatCode="&quot;$&quot;#,##0.0000;[Red]\-&quot;$&quot;#,##0.0000"/>
      <border outline="0">
        <right style="thin">
          <color theme="0" tint="-0.24994659260841701"/>
        </right>
      </border>
    </dxf>
    <dxf>
      <border outline="0">
        <top style="thin">
          <color theme="0"/>
        </top>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65" formatCode="&quot;$&quot;#,##0_);[Red]\(&quot;$&quot;#,##0\)"/>
    </dxf>
    <dxf>
      <numFmt numFmtId="165" formatCode="&quot;$&quot;#,##0_);[Red]\(&quot;$&quot;#,##0\)"/>
      <alignment horizontal="general" vertical="top" textRotation="0" wrapText="1" indent="0" justifyLastLine="0" shrinkToFit="0" readingOrder="0"/>
    </dxf>
    <dxf>
      <numFmt numFmtId="165" formatCode="&quot;$&quot;#,##0_);[Red]\(&quot;$&quot;#,##0\)"/>
      <alignment horizontal="general" vertical="top" textRotation="0" wrapText="1" indent="0" justifyLastLine="0" shrinkToFit="0" readingOrder="0"/>
    </dxf>
    <dxf>
      <numFmt numFmtId="165" formatCode="&quot;$&quot;#,##0_);[Red]\(&quot;$&quot;#,##0\)"/>
      <alignment horizontal="general" vertical="top" textRotation="0" wrapText="1" indent="0" justifyLastLine="0" shrinkToFit="0" readingOrder="0"/>
    </dxf>
    <dxf>
      <numFmt numFmtId="165" formatCode="&quot;$&quot;#,##0_);[Red]\(&quot;$&quot;#,##0\)"/>
      <alignment horizontal="general" vertical="top" textRotation="0" wrapText="1" indent="0" justifyLastLine="0" shrinkToFit="0" readingOrder="0"/>
    </dxf>
    <dxf>
      <numFmt numFmtId="165" formatCode="&quot;$&quot;#,##0_);[Red]\(&quot;$&quot;#,##0\)"/>
      <alignment horizontal="general" vertical="top" textRotation="0" wrapText="1" indent="0" justifyLastLine="0" shrinkToFit="0" readingOrder="0"/>
    </dxf>
    <dxf>
      <border outline="0">
        <top style="thin">
          <color theme="0" tint="-0.24994659260841701"/>
        </top>
      </border>
    </dxf>
    <dxf>
      <border outline="0">
        <top style="thin">
          <color theme="0"/>
        </top>
        <bottom style="thin">
          <color theme="0" tint="-0.24994659260841701"/>
        </bottom>
      </border>
    </dxf>
    <dxf>
      <alignment horizontal="general" vertical="top" textRotation="0" wrapText="1" indent="0" justifyLastLine="0" shrinkToFit="0" readingOrder="0"/>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5" formatCode="&quot;$&quot;#,##0_);[Red]\(&quot;$&quot;#,##0\)"/>
      <fill>
        <patternFill patternType="none">
          <fgColor indexed="64"/>
          <bgColor indexed="65"/>
        </patternFill>
      </fill>
      <border diagonalUp="0" diagonalDown="0" outline="0">
        <left style="thin">
          <color theme="0" tint="-0.24994659260841701"/>
        </left>
        <right style="thin">
          <color theme="0" tint="-0.24994659260841701"/>
        </right>
        <top style="thin">
          <color theme="0" tint="-0.24994659260841701"/>
        </top>
        <bottom/>
      </border>
    </dxf>
    <dxf>
      <numFmt numFmtId="165" formatCode="&quot;$&quot;#,##0_);[Red]\(&quot;$&quot;#,##0\)"/>
    </dxf>
    <dxf>
      <numFmt numFmtId="165" formatCode="&quot;$&quot;#,##0_);[Red]\(&quot;$&quot;#,##0\)"/>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5" formatCode="&quot;$&quot;#,##0_);[Red]\(&quot;$&quot;#,##0\)"/>
      <alignment horizontal="general" vertical="top" textRotation="0" wrapText="1" indent="0" justifyLastLine="0" shrinkToFit="0" readingOrder="0"/>
    </dxf>
    <dxf>
      <numFmt numFmtId="165" formatCode="&quot;$&quot;#,##0_);[Red]\(&quot;$&quot;#,##0\)"/>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5" formatCode="&quot;$&quot;#,##0_);[Red]\(&quot;$&quot;#,##0\)"/>
      <alignment horizontal="general" vertical="top" textRotation="0" wrapText="1" indent="0" justifyLastLine="0" shrinkToFit="0" readingOrder="0"/>
    </dxf>
    <dxf>
      <numFmt numFmtId="165" formatCode="&quot;$&quot;#,##0_);[Red]\(&quot;$&quot;#,##0\)"/>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5" formatCode="&quot;$&quot;#,##0_);[Red]\(&quot;$&quot;#,##0\)"/>
      <alignment horizontal="general" vertical="top" textRotation="0" wrapText="1" indent="0" justifyLastLine="0" shrinkToFit="0" readingOrder="0"/>
    </dxf>
    <dxf>
      <numFmt numFmtId="165" formatCode="&quot;$&quot;#,##0_);[Red]\(&quot;$&quot;#,##0\)"/>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5" formatCode="&quot;$&quot;#,##0_);[Red]\(&quot;$&quot;#,##0\)"/>
      <alignment horizontal="general" vertical="top" textRotation="0" wrapText="1" indent="0" justifyLastLine="0" shrinkToFit="0" readingOrder="0"/>
    </dxf>
    <dxf>
      <numFmt numFmtId="165" formatCode="&quot;$&quot;#,##0_);[Red]\(&quot;$&quot;#,##0\)"/>
      <fill>
        <patternFill patternType="none">
          <fgColor indexed="64"/>
          <bgColor indexed="65"/>
        </patternFill>
      </fill>
      <alignment horizontal="general" vertical="top"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5" formatCode="&quot;$&quot;#,##0_);[Red]\(&quot;$&quot;#,##0\)"/>
      <alignment horizontal="general" vertical="top" textRotation="0" wrapText="1" indent="0" justifyLastLine="0" shrinkToFit="0" readingOrder="0"/>
    </dxf>
    <dxf>
      <fill>
        <patternFill patternType="none">
          <fgColor indexed="64"/>
          <bgColor indexed="65"/>
        </patternFill>
      </fill>
      <border diagonalUp="0" diagonalDown="0" outline="0">
        <left style="thin">
          <color theme="0" tint="-0.24994659260841701"/>
        </left>
        <right style="thin">
          <color theme="0" tint="-0.24994659260841701"/>
        </right>
        <top style="thin">
          <color theme="0" tint="-0.24994659260841701"/>
        </top>
        <bottom/>
      </border>
    </dxf>
    <dxf>
      <border outline="0">
        <top style="thin">
          <color theme="0" tint="-0.24994659260841701"/>
        </top>
      </border>
    </dxf>
    <dxf>
      <border outline="0">
        <top style="thin">
          <color theme="0"/>
        </top>
        <bottom style="thin">
          <color theme="0" tint="-0.24994659260841701"/>
        </bottom>
      </border>
    </dxf>
    <dxf>
      <alignment horizontal="general" vertical="top" textRotation="0" wrapText="1" indent="0" justifyLastLine="0" shrinkToFit="0" readingOrder="0"/>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border diagonalUp="0" diagonalDown="0">
        <left style="thin">
          <color theme="0"/>
        </left>
        <right/>
        <top style="thin">
          <color theme="0"/>
        </top>
        <bottom style="thin">
          <color theme="0"/>
        </bottom>
        <vertical/>
        <horizontal/>
      </border>
    </dxf>
    <dxf>
      <numFmt numFmtId="20" formatCode="d\-mmm\-yy"/>
    </dxf>
    <dxf>
      <border outline="0">
        <right style="thin">
          <color theme="0"/>
        </right>
        <top style="thin">
          <color theme="0"/>
        </top>
      </border>
    </dxf>
    <dxf>
      <border outline="0">
        <bottom style="thin">
          <color theme="0"/>
        </bottom>
      </border>
    </dxf>
    <dxf>
      <numFmt numFmtId="2" formatCode="0.00"/>
      <border diagonalUp="0" diagonalDown="0">
        <left style="thin">
          <color theme="0"/>
        </left>
        <right/>
        <top style="thin">
          <color theme="0"/>
        </top>
        <bottom style="thin">
          <color theme="0"/>
        </bottom>
        <vertical/>
        <horizontal/>
      </border>
    </dxf>
    <dxf>
      <numFmt numFmtId="20" formatCode="d\-mmm\-yy"/>
      <alignment horizontal="left" vertical="top" textRotation="0" wrapText="0" indent="0" justifyLastLine="0" shrinkToFit="0" readingOrder="0"/>
    </dxf>
    <dxf>
      <border outline="0">
        <right style="thin">
          <color theme="0"/>
        </right>
        <top style="thin">
          <color theme="0"/>
        </top>
      </border>
    </dxf>
    <dxf>
      <border outline="0">
        <bottom style="thin">
          <color theme="0"/>
        </bottom>
      </border>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border diagonalUp="0" diagonalDown="0">
        <left style="thin">
          <color theme="0"/>
        </left>
        <right/>
        <top style="thin">
          <color theme="0"/>
        </top>
        <bottom style="thin">
          <color theme="0"/>
        </bottom>
        <vertical/>
        <horizontal/>
      </border>
    </dxf>
    <dxf>
      <alignment horizontal="center" vertical="top" textRotation="0" wrapText="0" indent="0" justifyLastLine="0" shrinkToFit="0" readingOrder="0"/>
    </dxf>
    <dxf>
      <alignment horizontal="left" vertical="top" textRotation="0" wrapText="0" indent="0" justifyLastLine="0" shrinkToFit="0" readingOrder="0"/>
    </dxf>
    <dxf>
      <border outline="0">
        <right style="thin">
          <color theme="0"/>
        </right>
        <top style="thin">
          <color theme="0"/>
        </top>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center" vertical="top" textRotation="0" wrapText="0" indent="0" justifyLastLine="0" shrinkToFit="0" readingOrder="0"/>
      <border diagonalUp="0" diagonalDown="0" outline="0">
        <left style="thin">
          <color theme="0"/>
        </left>
        <right style="thin">
          <color theme="0"/>
        </right>
        <top/>
        <bottom/>
      </border>
    </dxf>
    <dxf>
      <numFmt numFmtId="20" formatCode="d\-mmm\-yy"/>
    </dxf>
    <dxf>
      <numFmt numFmtId="20" formatCode="d\-mmm\-yy"/>
    </dxf>
    <dxf>
      <numFmt numFmtId="20" formatCode="d\-mmm\-yy"/>
      <border diagonalUp="0" diagonalDown="0" outline="0">
        <left style="thin">
          <color theme="0"/>
        </left>
        <right/>
        <top style="thin">
          <color theme="0"/>
        </top>
        <bottom style="thin">
          <color theme="0"/>
        </bottom>
      </border>
    </dxf>
    <dxf>
      <numFmt numFmtId="20" formatCode="d\-mmm\-yy"/>
    </dxf>
    <dxf>
      <numFmt numFmtId="20" formatCode="d\-mmm\-yy"/>
    </dxf>
    <dxf>
      <numFmt numFmtId="20" formatCode="d\-mmm\-yy"/>
    </dxf>
    <dxf>
      <numFmt numFmtId="20" formatCode="d\-mmm\-yy"/>
    </dxf>
    <dxf>
      <alignment horizontal="center" vertical="top" textRotation="0" wrapText="0" indent="0" justifyLastLine="0" shrinkToFit="0" readingOrder="0"/>
    </dxf>
    <dxf>
      <border outline="0">
        <right style="thin">
          <color theme="0"/>
        </right>
        <top style="thin">
          <color theme="0"/>
        </top>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center" vertical="top" textRotation="0" wrapText="0" indent="0" justifyLastLine="0" shrinkToFit="0" readingOrder="0"/>
      <border diagonalUp="0" diagonalDown="0" outline="0">
        <left style="thin">
          <color theme="0"/>
        </left>
        <right style="thin">
          <color theme="0"/>
        </right>
        <top/>
        <bottom/>
      </border>
    </dxf>
    <dxf>
      <numFmt numFmtId="13" formatCode="0%"/>
      <border diagonalUp="0" diagonalDown="0">
        <left style="thin">
          <color theme="0"/>
        </left>
        <right/>
        <top style="thin">
          <color theme="0"/>
        </top>
        <bottom style="thin">
          <color theme="0"/>
        </bottom>
        <vertical/>
        <horizontal/>
      </border>
    </dxf>
    <dxf>
      <numFmt numFmtId="13" formatCode="0%"/>
    </dxf>
    <dxf>
      <numFmt numFmtId="13" formatCode="0%"/>
    </dxf>
    <dxf>
      <numFmt numFmtId="13" formatCode="0%"/>
    </dxf>
    <dxf>
      <numFmt numFmtId="13" formatCode="0%"/>
    </dxf>
    <dxf>
      <alignment horizontal="center" vertical="top" textRotation="0" wrapText="0" indent="0" justifyLastLine="0" shrinkToFit="0" readingOrder="0"/>
    </dxf>
    <dxf>
      <border outline="0">
        <right style="thin">
          <color theme="0"/>
        </right>
        <top style="thin">
          <color theme="0"/>
        </top>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center" vertical="top" textRotation="0" wrapText="0" indent="0" justifyLastLine="0" shrinkToFit="0" readingOrder="0"/>
      <border diagonalUp="0" diagonalDown="0" outline="0">
        <left style="thin">
          <color theme="0"/>
        </left>
        <right style="thin">
          <color theme="0"/>
        </right>
        <top/>
        <bottom/>
      </border>
    </dxf>
    <dxf>
      <numFmt numFmtId="2" formatCode="0.00"/>
      <alignment horizontal="right" vertical="center" textRotation="0" wrapText="0" indent="0" justifyLastLine="0" shrinkToFit="0" readingOrder="0"/>
    </dxf>
    <dxf>
      <numFmt numFmtId="2"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numFmt numFmtId="3" formatCode="#,##0"/>
      <alignment horizontal="right" vertical="center" textRotation="0" wrapText="0" indent="0" justifyLastLine="0" shrinkToFit="0" readingOrder="0"/>
    </dxf>
    <dxf>
      <numFmt numFmtId="2" formatCode="0.00"/>
      <alignment horizontal="right" vertical="center" textRotation="0" wrapText="0" indent="0" justifyLastLine="0" shrinkToFit="0" readingOrder="0"/>
    </dxf>
    <dxf>
      <numFmt numFmtId="2" formatCode="0.00"/>
      <alignment horizontal="right" vertical="center" textRotation="0" wrapText="0" indent="0" justifyLastLine="0" shrinkToFit="0" readingOrder="0"/>
    </dxf>
    <dxf>
      <numFmt numFmtId="2" formatCode="0.00"/>
      <alignment horizontal="right" vertical="center" textRotation="0" wrapText="0" indent="0" justifyLastLine="0" shrinkToFit="0" readingOrder="0"/>
    </dxf>
    <dxf>
      <alignment horizontal="center"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dxf>
    <dxf>
      <border outline="0">
        <right style="thin">
          <color theme="0"/>
        </right>
        <top style="thin">
          <color theme="0"/>
        </top>
      </border>
    </dxf>
    <dxf>
      <alignment horizontal="right" vertical="center" textRotation="0" wrapText="0" indent="0" justifyLastLine="0" shrinkToFit="0" readingOrder="0"/>
    </dxf>
    <dxf>
      <border outline="0">
        <bottom style="thin">
          <color theme="0"/>
        </bottom>
      </border>
    </dxf>
    <dxf>
      <border diagonalUp="0" diagonalDown="0" outline="0">
        <left style="thin">
          <color theme="0"/>
        </left>
        <right style="thin">
          <color theme="0"/>
        </right>
        <top/>
        <bottom/>
      </border>
    </dxf>
    <dxf>
      <alignment horizontal="left" vertical="center" textRotation="0" wrapText="0" indent="0" justifyLastLine="0" shrinkToFit="0" readingOrder="0"/>
      <border diagonalUp="0" diagonalDown="0">
        <left style="thin">
          <color theme="0"/>
        </left>
        <right/>
        <top style="thin">
          <color theme="0"/>
        </top>
        <bottom style="thin">
          <color theme="0"/>
        </bottom>
        <vertical/>
        <horizontal/>
      </border>
    </dxf>
    <dxf>
      <alignment horizontal="left" vertical="center" textRotation="0" wrapText="0" indent="0" justifyLastLine="0" shrinkToFit="0" readingOrder="0"/>
    </dxf>
    <dxf>
      <alignment horizontal="lef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numFmt numFmtId="168" formatCode="0.0000"/>
      <alignment horizontal="right" vertical="center" textRotation="0" wrapText="0" indent="0" justifyLastLine="0" shrinkToFit="0" readingOrder="0"/>
      <border diagonalUp="0" diagonalDown="0">
        <left style="thin">
          <color theme="0"/>
        </left>
        <right/>
        <top style="thin">
          <color theme="0"/>
        </top>
        <bottom style="thin">
          <color theme="0"/>
        </bottom>
      </border>
    </dxf>
    <dxf>
      <numFmt numFmtId="168" formatCode="0.0000"/>
      <alignment horizontal="right" vertical="center" textRotation="0" wrapText="0" indent="0" justifyLastLine="0" shrinkToFit="0" readingOrder="0"/>
      <border diagonalUp="0" diagonalDown="0">
        <left style="thin">
          <color theme="0"/>
        </left>
        <right/>
        <top style="thin">
          <color theme="0"/>
        </top>
        <bottom style="thin">
          <color theme="0"/>
        </bottom>
      </border>
    </dxf>
    <dxf>
      <numFmt numFmtId="168" formatCode="0.0000"/>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numFmt numFmtId="168" formatCode="0.0000"/>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numFmt numFmtId="168" formatCode="0.0000"/>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numFmt numFmtId="168" formatCode="0.0000"/>
      <alignment horizontal="right" vertical="center" textRotation="0" wrapText="0" indent="0" justifyLastLine="0" shrinkToFit="0" readingOrder="0"/>
    </dxf>
    <dxf>
      <numFmt numFmtId="168" formatCode="0.0000"/>
      <alignment horizontal="righ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right style="thin">
          <color theme="0"/>
        </right>
        <top style="thin">
          <color theme="0"/>
        </top>
      </border>
    </dxf>
    <dxf>
      <border outline="0">
        <bottom style="thin">
          <color theme="0"/>
        </bottom>
      </border>
    </dxf>
    <dxf>
      <border diagonalUp="0" diagonalDown="0" outline="0">
        <left style="thin">
          <color theme="0"/>
        </left>
        <right style="thin">
          <color theme="0"/>
        </right>
        <top/>
        <bottom/>
      </border>
    </dxf>
    <dxf>
      <alignment horizontal="right" vertical="center" textRotation="0" wrapText="0" indent="0" justifyLastLine="0" shrinkToFit="0" readingOrder="0"/>
      <border>
        <left style="thin">
          <color theme="0"/>
        </left>
        <right style="thin">
          <color theme="0"/>
        </right>
      </border>
    </dxf>
    <dxf>
      <alignment horizontal="right" vertical="center" textRotation="0" wrapText="0" indent="0" justifyLastLine="0" shrinkToFit="0" readingOrder="0"/>
      <border>
        <left style="thin">
          <color theme="0"/>
        </left>
        <right style="thin">
          <color theme="0"/>
        </right>
      </border>
    </dxf>
    <dxf>
      <alignment horizontal="right" vertical="center" textRotation="0" wrapText="0" indent="0" justifyLastLine="0" shrinkToFit="0" readingOrder="0"/>
      <border outline="0">
        <left style="thin">
          <color theme="0"/>
        </left>
      </border>
    </dxf>
    <dxf>
      <alignment horizontal="right" vertical="center" textRotation="0" wrapText="0" indent="0" justifyLastLine="0" shrinkToFit="0" readingOrder="0"/>
      <border outline="0">
        <left style="thin">
          <color theme="0"/>
        </left>
        <right style="thin">
          <color theme="0"/>
        </right>
      </border>
    </dxf>
    <dxf>
      <alignment horizontal="right" vertical="center" textRotation="0" wrapText="0" indent="0" justifyLastLine="0" shrinkToFit="0" readingOrder="0"/>
      <border outline="0">
        <left style="thin">
          <color theme="0"/>
        </left>
        <right style="thin">
          <color theme="0"/>
        </right>
      </border>
    </dxf>
    <dxf>
      <alignment horizontal="right" vertical="center" textRotation="0" wrapText="0" indent="0" justifyLastLine="0" shrinkToFit="0" readingOrder="0"/>
      <border outline="0">
        <left style="thin">
          <color theme="0"/>
        </left>
        <right style="thin">
          <color theme="0"/>
        </right>
      </border>
    </dxf>
    <dxf>
      <alignment horizontal="right" vertical="center" textRotation="0" wrapText="0" indent="0" justifyLastLine="0" shrinkToFit="0" readingOrder="0"/>
    </dxf>
    <dxf>
      <border outline="0">
        <right style="thin">
          <color theme="0"/>
        </right>
      </border>
    </dxf>
    <dxf>
      <border outline="0">
        <right style="thin">
          <color theme="0"/>
        </right>
      </border>
    </dxf>
    <dxf>
      <border outline="0">
        <right style="thin">
          <color theme="0"/>
        </right>
        <top style="thin">
          <color theme="0"/>
        </top>
      </border>
    </dxf>
    <dxf>
      <border outline="0">
        <bottom style="thin">
          <color theme="0"/>
        </bottom>
      </border>
    </dxf>
    <dxf>
      <border diagonalUp="0" diagonalDown="0" outline="0">
        <left style="thin">
          <color theme="0"/>
        </left>
        <right style="thin">
          <color theme="0"/>
        </right>
        <top/>
        <bottom/>
      </border>
    </dxf>
    <dxf>
      <numFmt numFmtId="173" formatCode="0.00000"/>
      <alignment horizontal="right" vertical="center" textRotation="0" wrapText="0" indent="0" justifyLastLine="0" shrinkToFit="0" readingOrder="0"/>
    </dxf>
    <dxf>
      <numFmt numFmtId="20" formatCode="d\-mmm\-yy"/>
      <alignment horizontal="right" vertical="center" textRotation="0" wrapText="0" indent="0" justifyLastLine="0" shrinkToFit="0" readingOrder="0"/>
    </dxf>
    <dxf>
      <numFmt numFmtId="173" formatCode="0.00000"/>
      <alignment horizontal="right" vertical="center" textRotation="0" wrapText="0" indent="0" justifyLastLine="0" shrinkToFit="0" readingOrder="0"/>
    </dxf>
    <dxf>
      <numFmt numFmtId="20" formatCode="d\-mmm\-yy"/>
      <alignment horizontal="right" vertical="center" textRotation="0" wrapText="0" indent="0" justifyLastLine="0" shrinkToFit="0" readingOrder="0"/>
    </dxf>
    <dxf>
      <numFmt numFmtId="173" formatCode="0.00000"/>
      <alignment horizontal="right" vertical="center" textRotation="0" wrapText="0" indent="0" justifyLastLine="0" shrinkToFit="0" readingOrder="0"/>
      <border outline="0">
        <left style="thin">
          <color theme="0"/>
        </left>
      </border>
    </dxf>
    <dxf>
      <numFmt numFmtId="20" formatCode="d\-mmm\-yy"/>
      <alignment horizontal="right" vertical="center" textRotation="0" wrapText="0" indent="0" justifyLastLine="0" shrinkToFit="0" readingOrder="0"/>
      <border outline="0">
        <left style="thin">
          <color theme="0"/>
        </left>
        <right style="thin">
          <color theme="0"/>
        </right>
      </border>
    </dxf>
    <dxf>
      <alignment horizontal="right" vertical="center" textRotation="0" wrapText="0" indent="0" justifyLastLine="0" shrinkToFit="0" readingOrder="0"/>
      <border outline="0">
        <left style="thin">
          <color theme="0"/>
        </left>
        <right style="thin">
          <color theme="0"/>
        </right>
      </border>
    </dxf>
    <dxf>
      <numFmt numFmtId="20" formatCode="d\-mmm\-yy"/>
      <alignment horizontal="right" vertical="center" textRotation="0" wrapText="0" indent="0" justifyLastLine="0" shrinkToFit="0" readingOrder="0"/>
      <border outline="0">
        <left style="thin">
          <color theme="0"/>
        </left>
        <right style="thin">
          <color theme="0"/>
        </right>
      </border>
    </dxf>
    <dxf>
      <alignment horizontal="right" vertical="center" textRotation="0" wrapText="0" indent="0" justifyLastLine="0" shrinkToFit="0" readingOrder="0"/>
      <border outline="0">
        <left style="thin">
          <color theme="0"/>
        </left>
        <right style="thin">
          <color theme="0"/>
        </right>
      </border>
    </dxf>
    <dxf>
      <numFmt numFmtId="20" formatCode="d\-mmm\-yy"/>
      <alignment horizontal="right" vertical="center" textRotation="0" wrapText="0" indent="0" justifyLastLine="0" shrinkToFit="0" readingOrder="0"/>
      <border outline="0">
        <left style="thin">
          <color theme="0"/>
        </left>
        <right style="thin">
          <color theme="0"/>
        </right>
      </border>
    </dxf>
    <dxf>
      <numFmt numFmtId="168" formatCode="0.0000"/>
      <alignment horizontal="right" vertical="center" textRotation="0" wrapText="0" indent="0" justifyLastLine="0" shrinkToFit="0" readingOrder="0"/>
      <border outline="0">
        <right style="thin">
          <color theme="0"/>
        </right>
      </border>
    </dxf>
    <dxf>
      <alignment horizontal="right" vertical="center" textRotation="0" wrapText="0" indent="0" justifyLastLine="0" shrinkToFit="0" readingOrder="0"/>
      <border outline="0">
        <right style="thin">
          <color theme="0"/>
        </right>
      </border>
    </dxf>
    <dxf>
      <alignment horizontal="right" vertical="center" textRotation="0" wrapText="0" indent="0" justifyLastLine="0" shrinkToFit="0" readingOrder="0"/>
      <border outline="0">
        <left style="thin">
          <color theme="0"/>
        </left>
        <right style="thin">
          <color theme="0"/>
        </right>
      </border>
    </dxf>
    <dxf>
      <numFmt numFmtId="20" formatCode="d\-mmm\-yy"/>
      <alignment horizontal="right" vertical="center" textRotation="0" wrapText="0" indent="0" justifyLastLine="0" shrinkToFit="0" readingOrder="0"/>
      <border outline="0">
        <right style="thin">
          <color theme="0"/>
        </right>
      </border>
    </dxf>
    <dxf>
      <border outline="0">
        <right style="thin">
          <color theme="0"/>
        </right>
      </border>
    </dxf>
    <dxf>
      <border outline="0">
        <right style="thin">
          <color theme="0"/>
        </right>
      </border>
    </dxf>
    <dxf>
      <border outline="0">
        <top style="thin">
          <color theme="0" tint="-0.24994659260841701"/>
        </top>
      </border>
    </dxf>
    <dxf>
      <border outline="0">
        <top style="thin">
          <color theme="0"/>
        </top>
        <bottom style="thin">
          <color theme="0" tint="-0.24994659260841701"/>
        </bottom>
      </border>
    </dxf>
    <dxf>
      <font>
        <b val="0"/>
        <i val="0"/>
        <strike val="0"/>
        <condense val="0"/>
        <extend val="0"/>
        <outline val="0"/>
        <shadow val="0"/>
        <u val="none"/>
        <vertAlign val="baseline"/>
        <sz val="11"/>
        <color theme="1"/>
        <name val="Calibri"/>
        <family val="2"/>
        <scheme val="minor"/>
      </font>
      <numFmt numFmtId="169" formatCode="&quot;$&quot;#,##0.0000;[Red]\-&quot;$&quot;#,##0.0000"/>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rgb="FFBFBFBF"/>
        </top>
      </border>
    </dxf>
    <dxf>
      <border outline="0">
        <top style="thin">
          <color rgb="FFFFFFFF"/>
        </top>
        <bottom style="thin">
          <color rgb="FFBFBFBF"/>
        </bottom>
      </border>
    </dxf>
    <dxf>
      <border outline="0">
        <bottom style="thin">
          <color rgb="FFFFFFFF"/>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family val="2"/>
        <scheme val="minor"/>
      </font>
      <numFmt numFmtId="169" formatCode="&quot;$&quot;#,##0.0000;[Red]\-&quot;$&quot;#,##0.0000"/>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rgb="FFBFBFBF"/>
        </top>
      </border>
    </dxf>
    <dxf>
      <border outline="0">
        <top style="thin">
          <color rgb="FFFFFFFF"/>
        </top>
        <bottom style="thin">
          <color rgb="FFBFBFBF"/>
        </bottom>
      </border>
    </dxf>
    <dxf>
      <border outline="0">
        <bottom style="thin">
          <color rgb="FFFFFFFF"/>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82" formatCode="&quot;$&quot;#,##0.000000;[Red]\-&quot;$&quot;#,##0.000000"/>
      <border outline="0">
        <left style="thin">
          <color theme="0"/>
        </left>
      </border>
    </dxf>
    <dxf>
      <numFmt numFmtId="182" formatCode="&quot;$&quot;#,##0.000000;[Red]\-&quot;$&quot;#,##0.000000"/>
      <border outline="0">
        <left style="thin">
          <color theme="0"/>
        </left>
        <right style="thin">
          <color theme="0"/>
        </right>
      </border>
    </dxf>
    <dxf>
      <numFmt numFmtId="182" formatCode="&quot;$&quot;#,##0.000000;[Red]\-&quot;$&quot;#,##0.000000"/>
      <border outline="0">
        <left style="thin">
          <color theme="0"/>
        </left>
        <right style="thin">
          <color theme="0"/>
        </right>
      </border>
    </dxf>
    <dxf>
      <numFmt numFmtId="182" formatCode="&quot;$&quot;#,##0.000000;[Red]\-&quot;$&quot;#,##0.000000"/>
      <border outline="0">
        <left style="thin">
          <color theme="0"/>
        </left>
        <right style="thin">
          <color theme="0"/>
        </right>
      </border>
    </dxf>
    <dxf>
      <numFmt numFmtId="182" formatCode="&quot;$&quot;#,##0.000000;[Red]\-&quot;$&quot;#,##0.000000"/>
      <border outline="0">
        <right style="thin">
          <color theme="0"/>
        </right>
      </border>
    </dxf>
    <dxf>
      <border outline="0">
        <right style="thin">
          <color theme="0"/>
        </right>
      </border>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rgb="FFBFBFBF"/>
        </top>
      </border>
    </dxf>
    <dxf>
      <border outline="0">
        <top style="thin">
          <color rgb="FFFFFFFF"/>
        </top>
        <bottom style="thin">
          <color rgb="FFBFBFBF"/>
        </bottom>
      </border>
    </dxf>
    <dxf>
      <border outline="0">
        <bottom style="thin">
          <color rgb="FFFFFFFF"/>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rgb="FFBFBFBF"/>
        </top>
      </border>
    </dxf>
    <dxf>
      <border outline="0">
        <top style="thin">
          <color rgb="FFFFFFFF"/>
        </top>
        <bottom style="thin">
          <color rgb="FFBFBFBF"/>
        </bottom>
      </border>
    </dxf>
    <dxf>
      <border outline="0">
        <bottom style="thin">
          <color rgb="FFFFFFFF"/>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82" formatCode="&quot;$&quot;#,##0.000000;[Red]\-&quot;$&quot;#,##0.000000"/>
      <border outline="0">
        <left style="thin">
          <color theme="0" tint="-0.24994659260841701"/>
        </left>
      </border>
    </dxf>
    <dxf>
      <numFmt numFmtId="182" formatCode="&quot;$&quot;#,##0.000000;[Red]\-&quot;$&quot;#,##0.000000"/>
      <border outline="0">
        <left style="thin">
          <color theme="0" tint="-0.24994659260841701"/>
        </left>
        <right style="thin">
          <color theme="0" tint="-0.24994659260841701"/>
        </right>
      </border>
    </dxf>
    <dxf>
      <numFmt numFmtId="182" formatCode="&quot;$&quot;#,##0.000000;[Red]\-&quot;$&quot;#,##0.000000"/>
      <border outline="0">
        <left style="thin">
          <color theme="0" tint="-0.24994659260841701"/>
        </left>
        <right style="thin">
          <color theme="0" tint="-0.24994659260841701"/>
        </right>
      </border>
    </dxf>
    <dxf>
      <numFmt numFmtId="182" formatCode="&quot;$&quot;#,##0.000000;[Red]\-&quot;$&quot;#,##0.000000"/>
      <border outline="0">
        <left style="thin">
          <color theme="0" tint="-0.24994659260841701"/>
        </left>
        <right style="thin">
          <color theme="0" tint="-0.24994659260841701"/>
        </right>
      </border>
    </dxf>
    <dxf>
      <font>
        <b val="0"/>
        <i val="0"/>
        <strike val="0"/>
        <condense val="0"/>
        <extend val="0"/>
        <outline val="0"/>
        <shadow val="0"/>
        <u val="none"/>
        <vertAlign val="baseline"/>
        <sz val="11"/>
        <color theme="1"/>
        <name val="Calibri"/>
        <family val="2"/>
        <scheme val="minor"/>
      </font>
      <numFmt numFmtId="182" formatCode="&quot;$&quot;#,##0.000000;[Red]\-&quot;$&quot;#,##0.000000"/>
      <border outline="0">
        <right style="thin">
          <color theme="0" tint="-0.24994659260841701"/>
        </right>
      </border>
    </dxf>
    <dxf>
      <border outline="0">
        <right style="thin">
          <color theme="0" tint="-0.24994659260841701"/>
        </right>
      </border>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theme="0" tint="-0.24994659260841701"/>
        </top>
      </border>
    </dxf>
    <dxf>
      <border outline="0">
        <bottom style="thin">
          <color theme="0" tint="-0.24994659260841701"/>
        </bottom>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84" formatCode="&quot;$&quot;#,##0.00000000;[Red]\-&quot;$&quot;#,##0.00000000"/>
      <border outline="0">
        <left style="thin">
          <color theme="0" tint="-0.24994659260841701"/>
        </left>
      </border>
    </dxf>
    <dxf>
      <numFmt numFmtId="184" formatCode="&quot;$&quot;#,##0.00000000;[Red]\-&quot;$&quot;#,##0.00000000"/>
      <border outline="0">
        <left style="thin">
          <color theme="0" tint="-0.24994659260841701"/>
        </left>
        <right style="thin">
          <color theme="0" tint="-0.24994659260841701"/>
        </right>
      </border>
    </dxf>
    <dxf>
      <numFmt numFmtId="184" formatCode="&quot;$&quot;#,##0.00000000;[Red]\-&quot;$&quot;#,##0.00000000"/>
      <border outline="0">
        <left style="thin">
          <color theme="0" tint="-0.24994659260841701"/>
        </left>
        <right style="thin">
          <color theme="0" tint="-0.24994659260841701"/>
        </right>
      </border>
    </dxf>
    <dxf>
      <numFmt numFmtId="184" formatCode="&quot;$&quot;#,##0.00000000;[Red]\-&quot;$&quot;#,##0.00000000"/>
      <border outline="0">
        <left style="thin">
          <color theme="0" tint="-0.24994659260841701"/>
        </left>
        <right style="thin">
          <color theme="0" tint="-0.24994659260841701"/>
        </right>
      </border>
    </dxf>
    <dxf>
      <font>
        <b val="0"/>
        <i val="0"/>
        <strike val="0"/>
        <condense val="0"/>
        <extend val="0"/>
        <outline val="0"/>
        <shadow val="0"/>
        <u val="none"/>
        <vertAlign val="baseline"/>
        <sz val="11"/>
        <color theme="1"/>
        <name val="Calibri"/>
        <family val="2"/>
        <scheme val="minor"/>
      </font>
      <numFmt numFmtId="184" formatCode="&quot;$&quot;#,##0.00000000;[Red]\-&quot;$&quot;#,##0.00000000"/>
      <border outline="0">
        <right style="thin">
          <color theme="0" tint="-0.24994659260841701"/>
        </right>
      </border>
    </dxf>
    <dxf>
      <border outline="0">
        <right style="thin">
          <color theme="0" tint="-0.24994659260841701"/>
        </right>
      </border>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theme="0" tint="-0.24994659260841701"/>
        </top>
      </border>
    </dxf>
    <dxf>
      <border outline="0">
        <bottom style="thin">
          <color theme="0" tint="-0.24994659260841701"/>
        </bottom>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family val="2"/>
        <scheme val="minor"/>
      </font>
      <numFmt numFmtId="169" formatCode="&quot;$&quot;#,##0.0000;[Red]\-&quot;$&quot;#,##0.0000"/>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rgb="FFBFBFBF"/>
        </top>
      </border>
    </dxf>
    <dxf>
      <border outline="0">
        <top style="thin">
          <color rgb="FFFFFFFF"/>
        </top>
        <bottom style="thin">
          <color rgb="FFBFBFBF"/>
        </bottom>
      </border>
    </dxf>
    <dxf>
      <border outline="0">
        <bottom style="thin">
          <color rgb="FFFFFFFF"/>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00_);[Red]\(&quot;$&quot;#,##0.00\)"/>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rgb="FFBFBFBF"/>
        </top>
      </border>
    </dxf>
    <dxf>
      <border outline="0">
        <top style="thin">
          <color rgb="FFFFFFFF"/>
        </top>
        <bottom style="thin">
          <color rgb="FFBFBFBF"/>
        </bottom>
      </border>
    </dxf>
    <dxf>
      <border outline="0">
        <bottom style="thin">
          <color rgb="FFFFFFFF"/>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rgb="FFBFBFBF"/>
        </top>
      </border>
    </dxf>
    <dxf>
      <border outline="0">
        <top style="thin">
          <color rgb="FFFFFFFF"/>
        </top>
        <bottom style="thin">
          <color rgb="FFBFBFBF"/>
        </bottom>
      </border>
    </dxf>
    <dxf>
      <border outline="0">
        <bottom style="thin">
          <color rgb="FFFFFFFF"/>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outline="0">
        <top style="thin">
          <color rgb="FFBFBFBF"/>
        </top>
      </border>
    </dxf>
    <dxf>
      <border outline="0">
        <top style="thin">
          <color rgb="FFFFFFFF"/>
        </top>
        <bottom style="thin">
          <color rgb="FFBFBFBF"/>
        </bottom>
      </border>
    </dxf>
    <dxf>
      <border outline="0">
        <bottom style="thin">
          <color rgb="FFFFFFFF"/>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family val="2"/>
        <scheme val="minor"/>
      </font>
      <numFmt numFmtId="3" formatCode="#,##0"/>
      <border diagonalUp="0" diagonalDown="0">
        <left style="thin">
          <color theme="0" tint="-0.24994659260841701"/>
        </left>
        <right style="thin">
          <color theme="0" tint="-0.24994659260841701"/>
        </right>
        <top style="thin">
          <color theme="0" tint="-0.24994659260841701"/>
        </top>
        <bottom/>
        <vertical/>
        <horizontal/>
      </border>
    </dxf>
    <dxf>
      <font>
        <b val="0"/>
        <i val="0"/>
        <strike val="0"/>
        <condense val="0"/>
        <extend val="0"/>
        <outline val="0"/>
        <shadow val="0"/>
        <u val="none"/>
        <vertAlign val="baseline"/>
        <sz val="11"/>
        <color theme="1"/>
        <name val="Calibri"/>
        <family val="2"/>
        <scheme val="minor"/>
      </font>
      <numFmt numFmtId="3" formatCode="#,##0"/>
      <border diagonalUp="0" diagonalDown="0">
        <left style="thin">
          <color theme="0" tint="-0.24994659260841701"/>
        </left>
        <right style="thin">
          <color theme="0" tint="-0.24994659260841701"/>
        </right>
        <top style="thin">
          <color theme="0" tint="-0.24994659260841701"/>
        </top>
        <bottom/>
        <vertical/>
        <horizontal/>
      </border>
    </dxf>
    <dxf>
      <font>
        <b val="0"/>
        <i val="0"/>
        <strike val="0"/>
        <condense val="0"/>
        <extend val="0"/>
        <outline val="0"/>
        <shadow val="0"/>
        <u val="none"/>
        <vertAlign val="baseline"/>
        <sz val="11"/>
        <color theme="1"/>
        <name val="Calibri"/>
        <family val="2"/>
        <scheme val="minor"/>
      </font>
      <numFmt numFmtId="3" formatCode="#,##0"/>
      <border diagonalUp="0" diagonalDown="0">
        <left style="thin">
          <color theme="0" tint="-0.24994659260841701"/>
        </left>
        <right style="thin">
          <color theme="0" tint="-0.24994659260841701"/>
        </right>
        <top style="thin">
          <color theme="0" tint="-0.24994659260841701"/>
        </top>
        <bottom/>
        <vertical/>
        <horizontal/>
      </border>
    </dxf>
    <dxf>
      <font>
        <b val="0"/>
        <i val="0"/>
        <strike val="0"/>
        <condense val="0"/>
        <extend val="0"/>
        <outline val="0"/>
        <shadow val="0"/>
        <u val="none"/>
        <vertAlign val="baseline"/>
        <sz val="11"/>
        <color theme="1"/>
        <name val="Calibri"/>
        <family val="2"/>
        <scheme val="minor"/>
      </font>
      <numFmt numFmtId="3" formatCode="#,##0"/>
      <border diagonalUp="0" diagonalDown="0">
        <left style="thin">
          <color theme="0" tint="-0.24994659260841701"/>
        </left>
        <right style="thin">
          <color theme="0" tint="-0.24994659260841701"/>
        </right>
        <top style="thin">
          <color theme="0" tint="-0.24994659260841701"/>
        </top>
        <bottom/>
        <vertical/>
        <horizontal/>
      </border>
    </dxf>
    <dxf>
      <font>
        <b val="0"/>
        <i val="0"/>
        <strike val="0"/>
        <condense val="0"/>
        <extend val="0"/>
        <outline val="0"/>
        <shadow val="0"/>
        <u val="none"/>
        <vertAlign val="baseline"/>
        <sz val="11"/>
        <color theme="1"/>
        <name val="Calibri"/>
        <family val="2"/>
        <scheme val="minor"/>
      </font>
      <numFmt numFmtId="3" formatCode="#,##0"/>
      <border diagonalUp="0" diagonalDown="0">
        <left style="thin">
          <color theme="0" tint="-0.24994659260841701"/>
        </left>
        <right style="thin">
          <color theme="0" tint="-0.24994659260841701"/>
        </right>
        <top style="thin">
          <color theme="0" tint="-0.24994659260841701"/>
        </top>
        <bottom/>
        <vertical/>
        <horizontal/>
      </border>
    </dxf>
    <dxf>
      <font>
        <b val="0"/>
        <i val="0"/>
        <strike val="0"/>
        <condense val="0"/>
        <extend val="0"/>
        <outline val="0"/>
        <shadow val="0"/>
        <u val="none"/>
        <vertAlign val="baseline"/>
        <sz val="11"/>
        <color theme="1"/>
        <name val="Calibri"/>
        <family val="2"/>
        <scheme val="minor"/>
      </font>
    </dxf>
    <dxf>
      <alignment horizontal="left"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vertical/>
        <horizontal/>
      </border>
    </dxf>
    <dxf>
      <border outline="0">
        <top style="thin">
          <color theme="0"/>
        </top>
      </border>
    </dxf>
    <dxf>
      <font>
        <b val="0"/>
        <i val="0"/>
        <strike val="0"/>
        <condense val="0"/>
        <extend val="0"/>
        <outline val="0"/>
        <shadow val="0"/>
        <u val="none"/>
        <vertAlign val="baseline"/>
        <sz val="11"/>
        <color theme="1"/>
        <name val="Calibri"/>
        <family val="2"/>
        <scheme val="minor"/>
      </font>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center" vertical="top"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family val="2"/>
        <scheme val="minor"/>
      </font>
      <numFmt numFmtId="3" formatCode="#,##0"/>
      <border diagonalUp="0" diagonalDown="0">
        <left style="thin">
          <color theme="0" tint="-0.24994659260841701"/>
        </left>
        <right style="thin">
          <color theme="0" tint="-0.24994659260841701"/>
        </right>
        <top style="thin">
          <color theme="0" tint="-0.24994659260841701"/>
        </top>
        <bottom/>
        <vertical/>
        <horizontal/>
      </border>
    </dxf>
    <dxf>
      <font>
        <b val="0"/>
        <i val="0"/>
        <strike val="0"/>
        <condense val="0"/>
        <extend val="0"/>
        <outline val="0"/>
        <shadow val="0"/>
        <u val="none"/>
        <vertAlign val="baseline"/>
        <sz val="11"/>
        <color theme="1"/>
        <name val="Calibri"/>
        <family val="2"/>
        <scheme val="minor"/>
      </font>
      <numFmt numFmtId="3" formatCode="#,##0"/>
      <border diagonalUp="0" diagonalDown="0">
        <left style="thin">
          <color theme="0" tint="-0.24994659260841701"/>
        </left>
        <right style="thin">
          <color theme="0" tint="-0.24994659260841701"/>
        </right>
        <top style="thin">
          <color theme="0" tint="-0.24994659260841701"/>
        </top>
        <bottom/>
        <vertical/>
        <horizontal/>
      </border>
    </dxf>
    <dxf>
      <font>
        <b val="0"/>
        <i val="0"/>
        <strike val="0"/>
        <condense val="0"/>
        <extend val="0"/>
        <outline val="0"/>
        <shadow val="0"/>
        <u val="none"/>
        <vertAlign val="baseline"/>
        <sz val="11"/>
        <color theme="1"/>
        <name val="Calibri"/>
        <family val="2"/>
        <scheme val="minor"/>
      </font>
      <numFmt numFmtId="3" formatCode="#,##0"/>
      <border diagonalUp="0" diagonalDown="0">
        <left style="thin">
          <color theme="0" tint="-0.24994659260841701"/>
        </left>
        <right style="thin">
          <color theme="0" tint="-0.24994659260841701"/>
        </right>
        <top style="thin">
          <color theme="0" tint="-0.24994659260841701"/>
        </top>
        <bottom/>
        <vertical/>
        <horizontal/>
      </border>
    </dxf>
    <dxf>
      <font>
        <b val="0"/>
        <i val="0"/>
        <strike val="0"/>
        <condense val="0"/>
        <extend val="0"/>
        <outline val="0"/>
        <shadow val="0"/>
        <u val="none"/>
        <vertAlign val="baseline"/>
        <sz val="11"/>
        <color theme="1"/>
        <name val="Calibri"/>
        <family val="2"/>
        <scheme val="minor"/>
      </font>
      <numFmt numFmtId="3" formatCode="#,##0"/>
      <border diagonalUp="0" diagonalDown="0">
        <left style="thin">
          <color theme="0" tint="-0.24994659260841701"/>
        </left>
        <right style="thin">
          <color theme="0" tint="-0.24994659260841701"/>
        </right>
        <top style="thin">
          <color theme="0" tint="-0.24994659260841701"/>
        </top>
        <bottom/>
        <vertical/>
        <horizontal/>
      </border>
    </dxf>
    <dxf>
      <font>
        <b val="0"/>
        <i val="0"/>
        <strike val="0"/>
        <condense val="0"/>
        <extend val="0"/>
        <outline val="0"/>
        <shadow val="0"/>
        <u val="none"/>
        <vertAlign val="baseline"/>
        <sz val="11"/>
        <color theme="1"/>
        <name val="Calibri"/>
        <family val="2"/>
        <scheme val="minor"/>
      </font>
      <numFmt numFmtId="3" formatCode="#,##0"/>
      <border diagonalUp="0" diagonalDown="0">
        <left style="thin">
          <color theme="0" tint="-0.24994659260841701"/>
        </left>
        <right style="thin">
          <color theme="0" tint="-0.24994659260841701"/>
        </right>
        <top style="thin">
          <color theme="0" tint="-0.24994659260841701"/>
        </top>
        <bottom/>
        <vertical/>
        <horizontal/>
      </border>
    </dxf>
    <dxf>
      <font>
        <b val="0"/>
        <i val="0"/>
        <strike val="0"/>
        <condense val="0"/>
        <extend val="0"/>
        <outline val="0"/>
        <shadow val="0"/>
        <u val="none"/>
        <vertAlign val="baseline"/>
        <sz val="11"/>
        <color theme="1"/>
        <name val="Calibri"/>
        <family val="2"/>
        <scheme val="minor"/>
      </font>
    </dxf>
    <dxf>
      <alignment horizontal="left" vertical="center" textRotation="0" wrapText="0"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family val="2"/>
        <scheme val="minor"/>
      </font>
      <border diagonalUp="0" diagonalDown="0">
        <left style="thin">
          <color theme="0" tint="-0.24994659260841701"/>
        </left>
        <right style="thin">
          <color theme="0" tint="-0.24994659260841701"/>
        </right>
        <top style="thin">
          <color theme="0" tint="-0.24994659260841701"/>
        </top>
        <bottom/>
        <vertical/>
        <horizontal/>
      </border>
    </dxf>
    <dxf>
      <border outline="0">
        <top style="thin">
          <color theme="0"/>
        </top>
      </border>
    </dxf>
    <dxf>
      <font>
        <b val="0"/>
        <i val="0"/>
        <strike val="0"/>
        <condense val="0"/>
        <extend val="0"/>
        <outline val="0"/>
        <shadow val="0"/>
        <u val="none"/>
        <vertAlign val="baseline"/>
        <sz val="11"/>
        <color theme="1"/>
        <name val="Calibri"/>
        <family val="2"/>
        <scheme val="minor"/>
      </font>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center" vertical="top"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family val="2"/>
        <scheme val="minor"/>
      </font>
      <numFmt numFmtId="3" formatCode="#,##0"/>
    </dxf>
    <dxf>
      <font>
        <b val="0"/>
        <i val="0"/>
        <strike val="0"/>
        <condense val="0"/>
        <extend val="0"/>
        <outline val="0"/>
        <shadow val="0"/>
        <u val="none"/>
        <vertAlign val="baseline"/>
        <sz val="11"/>
        <color theme="1"/>
        <name val="Calibri"/>
        <family val="2"/>
        <scheme val="minor"/>
      </font>
    </dxf>
    <dxf>
      <alignment horizontal="left" vertical="center" textRotation="0" wrapText="0" indent="0" justifyLastLine="0" shrinkToFit="0" readingOrder="0"/>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center" vertical="top"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family val="2"/>
        <scheme val="minor"/>
      </font>
      <numFmt numFmtId="3" formatCode="#,##0"/>
    </dxf>
    <dxf>
      <font>
        <b val="0"/>
        <i val="0"/>
        <strike val="0"/>
        <condense val="0"/>
        <extend val="0"/>
        <outline val="0"/>
        <shadow val="0"/>
        <u val="none"/>
        <vertAlign val="baseline"/>
        <sz val="11"/>
        <color theme="1"/>
        <name val="Calibri"/>
        <family val="2"/>
        <scheme val="minor"/>
      </font>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center" vertical="top" textRotation="0" wrapText="0" indent="0" justifyLastLine="0" shrinkToFit="0" readingOrder="0"/>
      <border diagonalUp="0" diagonalDown="0" outline="0">
        <left style="thin">
          <color theme="0"/>
        </left>
        <right style="thin">
          <color theme="0"/>
        </right>
        <top/>
        <bottom/>
      </border>
    </dxf>
    <dxf>
      <numFmt numFmtId="2" formatCode="0.00"/>
    </dxf>
    <dxf>
      <numFmt numFmtId="2" formatCode="0.00"/>
    </dxf>
    <dxf>
      <numFmt numFmtId="2" formatCode="0.00"/>
    </dxf>
    <dxf>
      <numFmt numFmtId="2" formatCode="0.00"/>
    </dxf>
    <dxf>
      <numFmt numFmtId="2" formatCode="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2" formatCode="0.00"/>
    </dxf>
    <dxf>
      <numFmt numFmtId="2" formatCode="0.00"/>
    </dxf>
    <dxf>
      <numFmt numFmtId="2" formatCode="0.00"/>
    </dxf>
    <dxf>
      <numFmt numFmtId="2" formatCode="0.00"/>
    </dxf>
    <dxf>
      <numFmt numFmtId="2" formatCode="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2" formatCode="0.00"/>
    </dxf>
    <dxf>
      <numFmt numFmtId="2" formatCode="0.00"/>
    </dxf>
    <dxf>
      <numFmt numFmtId="2" formatCode="0.00"/>
    </dxf>
    <dxf>
      <numFmt numFmtId="2" formatCode="0.00"/>
    </dxf>
    <dxf>
      <numFmt numFmtId="2" formatCode="0.00"/>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2" formatCode="0.00"/>
    </dxf>
    <dxf>
      <numFmt numFmtId="2" formatCode="0.00"/>
    </dxf>
    <dxf>
      <numFmt numFmtId="2" formatCode="0.00"/>
    </dxf>
    <dxf>
      <numFmt numFmtId="2" formatCode="0.00"/>
    </dxf>
    <dxf>
      <numFmt numFmtId="2" formatCode="0.00"/>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alignment horizontal="general" vertical="top" textRotation="0" wrapText="0" indent="0" justifyLastLine="0" shrinkToFit="0" readingOrder="0"/>
    </dxf>
    <dxf>
      <numFmt numFmtId="169" formatCode="&quot;$&quot;#,##0.0000;[Red]\-&quot;$&quot;#,##0.0000"/>
      <alignment horizontal="general" vertical="top" textRotation="0" wrapText="0" indent="0" justifyLastLine="0" shrinkToFit="0" readingOrder="0"/>
    </dxf>
    <dxf>
      <numFmt numFmtId="169" formatCode="&quot;$&quot;#,##0.0000;[Red]\-&quot;$&quot;#,##0.0000"/>
      <alignment horizontal="general" vertical="top" textRotation="0" wrapText="0" indent="0" justifyLastLine="0" shrinkToFit="0" readingOrder="0"/>
    </dxf>
    <dxf>
      <numFmt numFmtId="169" formatCode="&quot;$&quot;#,##0.0000;[Red]\-&quot;$&quot;#,##0.0000"/>
      <alignment horizontal="general" vertical="top" textRotation="0" wrapText="0" indent="0" justifyLastLine="0" shrinkToFit="0" readingOrder="0"/>
    </dxf>
    <dxf>
      <numFmt numFmtId="169" formatCode="&quot;$&quot;#,##0.0000;[Red]\-&quot;$&quot;#,##0.0000"/>
      <alignment horizontal="general" vertical="top" textRotation="0" wrapText="0" indent="0" justifyLastLine="0" shrinkToFit="0" readingOrder="0"/>
    </dxf>
    <dxf>
      <border outline="0">
        <top style="thin">
          <color theme="0" tint="-0.24994659260841701"/>
        </top>
      </border>
    </dxf>
    <dxf>
      <border outline="0">
        <top style="thin">
          <color theme="0"/>
        </top>
        <bottom style="thin">
          <color theme="0" tint="-0.24994659260841701"/>
        </bottom>
      </border>
    </dxf>
    <dxf>
      <alignment horizontal="general" vertical="top" textRotation="0" wrapText="0" indent="0" justifyLastLine="0" shrinkToFit="0" readingOrder="0"/>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00_);[Red]\(&quot;$&quot;#,##0.00\)"/>
      <alignment horizontal="general" vertical="top" textRotation="0" wrapText="1" indent="0" justifyLastLine="0" shrinkToFit="0" readingOrder="0"/>
    </dxf>
    <dxf>
      <numFmt numFmtId="164" formatCode="&quot;$&quot;#,##0.00_);[Red]\(&quot;$&quot;#,##0.00\)"/>
      <alignment horizontal="general" vertical="top" textRotation="0" wrapText="1" indent="0" justifyLastLine="0" shrinkToFit="0" readingOrder="0"/>
    </dxf>
    <dxf>
      <numFmt numFmtId="164" formatCode="&quot;$&quot;#,##0.00_);[Red]\(&quot;$&quot;#,##0.00\)"/>
      <alignment horizontal="general" vertical="top" textRotation="0" wrapText="1" indent="0" justifyLastLine="0" shrinkToFit="0" readingOrder="0"/>
    </dxf>
    <dxf>
      <numFmt numFmtId="164" formatCode="&quot;$&quot;#,##0.00_);[Red]\(&quot;$&quot;#,##0.00\)"/>
      <alignment horizontal="general" vertical="top" textRotation="0" wrapText="1" indent="0" justifyLastLine="0" shrinkToFit="0" readingOrder="0"/>
    </dxf>
    <dxf>
      <numFmt numFmtId="164" formatCode="&quot;$&quot;#,##0.00_);[Red]\(&quot;$&quot;#,##0.00\)"/>
      <alignment horizontal="general" vertical="top" textRotation="0" wrapText="1" indent="0" justifyLastLine="0" shrinkToFit="0" readingOrder="0"/>
    </dxf>
    <dxf>
      <border outline="0">
        <top style="thin">
          <color theme="0" tint="-0.24994659260841701"/>
        </top>
      </border>
    </dxf>
    <dxf>
      <border outline="0">
        <top style="thin">
          <color theme="0"/>
        </top>
        <bottom style="thin">
          <color theme="0" tint="-0.24994659260841701"/>
        </bottom>
      </border>
    </dxf>
    <dxf>
      <alignment horizontal="general" vertical="top" textRotation="0" wrapText="1" indent="0" justifyLastLine="0" shrinkToFit="0" readingOrder="0"/>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alignment horizontal="general"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9" formatCode="&quot;$&quot;#,##0.0000;[Red]\-&quot;$&quot;#,##0.0000"/>
      <alignment horizontal="general"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9" formatCode="&quot;$&quot;#,##0.0000;[Red]\-&quot;$&quot;#,##0.0000"/>
      <alignment horizontal="general"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9" formatCode="&quot;$&quot;#,##0.0000;[Red]\-&quot;$&quot;#,##0.0000"/>
      <alignment horizontal="general"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9" formatCode="&quot;$&quot;#,##0.0000;[Red]\-&quot;$&quot;#,##0.0000"/>
      <alignment horizontal="general"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border outline="0">
        <right style="thin">
          <color theme="0" tint="-0.24994659260841701"/>
        </right>
      </border>
    </dxf>
    <dxf>
      <border diagonalUp="0" diagonalDown="0">
        <left style="thin">
          <color theme="0" tint="-0.24994659260841701"/>
        </left>
        <right style="thin">
          <color theme="0" tint="-0.24994659260841701"/>
        </right>
        <top style="thin">
          <color theme="0" tint="-0.24994659260841701"/>
        </top>
        <bottom/>
        <vertical/>
        <horizontal/>
      </border>
    </dxf>
    <dxf>
      <border diagonalUp="0" diagonalDown="0">
        <left style="thin">
          <color theme="0" tint="-0.24994659260841701"/>
        </left>
        <right style="thin">
          <color theme="0" tint="-0.24994659260841701"/>
        </right>
        <top style="thin">
          <color theme="0" tint="-0.24994659260841701"/>
        </top>
        <bottom/>
        <vertical/>
        <horizontal/>
      </border>
    </dxf>
    <dxf>
      <border diagonalUp="0" diagonalDown="0">
        <left style="thin">
          <color theme="0" tint="-0.24994659260841701"/>
        </left>
        <right style="thin">
          <color theme="0" tint="-0.24994659260841701"/>
        </right>
        <top style="thin">
          <color theme="0" tint="-0.24994659260841701"/>
        </top>
        <bottom/>
        <vertical/>
        <horizontal/>
      </border>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border diagonalUp="0" diagonalDown="0" outline="0">
        <left style="thin">
          <color theme="0"/>
        </left>
        <right style="thin">
          <color theme="0"/>
        </right>
        <top/>
        <bottom/>
      </border>
    </dxf>
    <dxf>
      <numFmt numFmtId="169" formatCode="&quot;$&quot;#,##0.0000;[Red]\-&quot;$&quot;#,##0.0000"/>
    </dxf>
    <dxf>
      <numFmt numFmtId="169" formatCode="&quot;$&quot;#,##0.0000;[Red]\-&quot;$&quot;#,##0.0000"/>
    </dxf>
    <dxf>
      <numFmt numFmtId="169" formatCode="&quot;$&quot;#,##0.0000;[Red]\-&quot;$&quot;#,##0.0000"/>
    </dxf>
    <dxf>
      <numFmt numFmtId="169" formatCode="&quot;$&quot;#,##0.0000;[Red]\-&quot;$&quot;#,##0.0000"/>
    </dxf>
    <dxf>
      <numFmt numFmtId="169" formatCode="&quot;$&quot;#,##0.0000;[Red]\-&quot;$&quot;#,##0.0000"/>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dxf>
    <dxf>
      <numFmt numFmtId="169" formatCode="&quot;$&quot;#,##0.0000;[Red]\-&quot;$&quot;#,##0.0000"/>
    </dxf>
    <dxf>
      <numFmt numFmtId="169" formatCode="&quot;$&quot;#,##0.0000;[Red]\-&quot;$&quot;#,##0.0000"/>
    </dxf>
    <dxf>
      <numFmt numFmtId="169" formatCode="&quot;$&quot;#,##0.0000;[Red]\-&quot;$&quot;#,##0.0000"/>
    </dxf>
    <dxf>
      <numFmt numFmtId="169" formatCode="&quot;$&quot;#,##0.0000;[Red]\-&quot;$&quot;#,##0.0000"/>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00_);[Red]\(&quot;$&quot;#,##0.00\)"/>
      <border diagonalUp="0" diagonalDown="0" outline="0">
        <left style="thin">
          <color theme="0"/>
        </left>
        <right style="thin">
          <color theme="0"/>
        </right>
        <top style="thin">
          <color theme="0"/>
        </top>
        <bottom/>
      </border>
    </dxf>
    <dxf>
      <numFmt numFmtId="169" formatCode="&quot;$&quot;#,##0.0000;[Red]\-&quot;$&quot;#,##0.0000"/>
    </dxf>
    <dxf>
      <numFmt numFmtId="169" formatCode="&quot;$&quot;#,##0.0000;[Red]\-&quot;$&quot;#,##0.0000"/>
      <border diagonalUp="0" diagonalDown="0" outline="0">
        <left style="thin">
          <color theme="0"/>
        </left>
        <right style="thin">
          <color theme="0"/>
        </right>
        <top style="thin">
          <color theme="0"/>
        </top>
        <bottom/>
      </border>
    </dxf>
    <dxf>
      <numFmt numFmtId="169" formatCode="&quot;$&quot;#,##0.0000;[Red]\-&quot;$&quot;#,##0.0000"/>
    </dxf>
    <dxf>
      <numFmt numFmtId="169" formatCode="&quot;$&quot;#,##0.0000;[Red]\-&quot;$&quot;#,##0.0000"/>
      <border diagonalUp="0" diagonalDown="0" outline="0">
        <left style="thin">
          <color theme="0"/>
        </left>
        <right style="thin">
          <color theme="0"/>
        </right>
        <top style="thin">
          <color theme="0"/>
        </top>
        <bottom/>
      </border>
    </dxf>
    <dxf>
      <numFmt numFmtId="169" formatCode="&quot;$&quot;#,##0.0000;[Red]\-&quot;$&quot;#,##0.0000"/>
    </dxf>
    <dxf>
      <numFmt numFmtId="169" formatCode="&quot;$&quot;#,##0.0000;[Red]\-&quot;$&quot;#,##0.0000"/>
      <border diagonalUp="0" diagonalDown="0" outline="0">
        <left style="thin">
          <color theme="0"/>
        </left>
        <right style="thin">
          <color theme="0"/>
        </right>
        <top style="thin">
          <color theme="0"/>
        </top>
        <bottom/>
      </border>
    </dxf>
    <dxf>
      <numFmt numFmtId="169" formatCode="&quot;$&quot;#,##0.0000;[Red]\-&quot;$&quot;#,##0.0000"/>
    </dxf>
    <dxf>
      <numFmt numFmtId="169" formatCode="&quot;$&quot;#,##0.0000;[Red]\-&quot;$&quot;#,##0.0000"/>
      <border diagonalUp="0" diagonalDown="0" outline="0">
        <left style="thin">
          <color theme="0"/>
        </left>
        <right style="thin">
          <color theme="0"/>
        </right>
        <top style="thin">
          <color theme="0"/>
        </top>
        <bottom/>
      </border>
    </dxf>
    <dxf>
      <numFmt numFmtId="169" formatCode="&quot;$&quot;#,##0.0000;[Red]\-&quot;$&quot;#,##0.0000"/>
    </dxf>
    <dxf>
      <fill>
        <patternFill patternType="none">
          <fgColor indexed="64"/>
          <bgColor indexed="65"/>
        </patternFill>
      </fill>
      <border diagonalUp="0" diagonalDown="0" outline="0">
        <left style="thin">
          <color theme="0" tint="-0.24994659260841701"/>
        </left>
        <right style="thin">
          <color theme="0" tint="-0.24994659260841701"/>
        </right>
        <top style="thin">
          <color theme="0" tint="-0.24994659260841701"/>
        </top>
        <bottom/>
      </border>
    </dxf>
    <dxf>
      <fill>
        <patternFill patternType="none">
          <fgColor indexed="64"/>
          <bgColor indexed="65"/>
        </patternFill>
      </fill>
      <border diagonalUp="0" diagonalDown="0" outline="0">
        <left style="thin">
          <color theme="0" tint="-0.24994659260841701"/>
        </left>
        <right style="thin">
          <color theme="0" tint="-0.24994659260841701"/>
        </right>
        <top style="thin">
          <color theme="0" tint="-0.24994659260841701"/>
        </top>
        <bottom/>
      </border>
    </dxf>
    <dxf>
      <fill>
        <patternFill patternType="none">
          <fgColor indexed="64"/>
          <bgColor indexed="65"/>
        </patternFill>
      </fill>
      <border diagonalUp="0" diagonalDown="0" outline="0">
        <left style="thin">
          <color theme="0" tint="-0.24994659260841701"/>
        </left>
        <right style="thin">
          <color theme="0" tint="-0.24994659260841701"/>
        </right>
        <top style="thin">
          <color theme="0" tint="-0.24994659260841701"/>
        </top>
        <bottom/>
      </border>
    </dxf>
    <dxf>
      <fill>
        <patternFill patternType="none">
          <fgColor indexed="64"/>
          <bgColor indexed="65"/>
        </patternFill>
      </fill>
      <border diagonalUp="0" diagonalDown="0" outline="0">
        <left style="thin">
          <color theme="0" tint="-0.24994659260841701"/>
        </left>
        <right style="thin">
          <color theme="0" tint="-0.24994659260841701"/>
        </right>
        <top style="thin">
          <color theme="0" tint="-0.24994659260841701"/>
        </top>
        <bottom/>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alignment horizontal="general" vertical="top" textRotation="0" wrapText="0" indent="0" justifyLastLine="0" shrinkToFit="0" readingOrder="0"/>
      <border outline="0">
        <left style="thin">
          <color theme="0" tint="-0.24994659260841701"/>
        </left>
      </border>
    </dxf>
    <dxf>
      <numFmt numFmtId="169"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69"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69"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69" formatCode="&quot;$&quot;#,##0.0000;[Red]\-&quot;$&quot;#,##0.0000"/>
      <alignment horizontal="general" vertical="top" textRotation="0" wrapText="0" indent="0" justifyLastLine="0" shrinkToFit="0" readingOrder="0"/>
      <border outline="0">
        <right style="thin">
          <color theme="0" tint="-0.24994659260841701"/>
        </right>
      </border>
    </dxf>
    <dxf>
      <border outline="0">
        <right style="thin">
          <color theme="0" tint="-0.24994659260841701"/>
        </right>
      </border>
    </dxf>
    <dxf>
      <border outline="0">
        <top style="thin">
          <color theme="0" tint="-0.24994659260841701"/>
        </top>
      </border>
    </dxf>
    <dxf>
      <border outline="0">
        <top style="thin">
          <color theme="0"/>
        </top>
        <bottom style="thin">
          <color theme="0" tint="-0.24994659260841701"/>
        </bottom>
      </border>
    </dxf>
    <dxf>
      <alignment horizontal="general" vertical="top" textRotation="0" wrapText="0" indent="0" justifyLastLine="0" shrinkToFit="0" readingOrder="0"/>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border outline="0">
        <left style="thin">
          <color theme="0" tint="-0.24994659260841701"/>
        </left>
      </border>
    </dxf>
    <dxf>
      <numFmt numFmtId="169" formatCode="&quot;$&quot;#,##0.0000;[Red]\-&quot;$&quot;#,##0.0000"/>
      <border outline="0">
        <left style="thin">
          <color theme="0" tint="-0.24994659260841701"/>
        </left>
        <right style="thin">
          <color theme="0" tint="-0.24994659260841701"/>
        </right>
      </border>
    </dxf>
    <dxf>
      <numFmt numFmtId="169" formatCode="&quot;$&quot;#,##0.0000;[Red]\-&quot;$&quot;#,##0.0000"/>
      <border outline="0">
        <left style="thin">
          <color theme="0" tint="-0.24994659260841701"/>
        </left>
        <right style="thin">
          <color theme="0" tint="-0.24994659260841701"/>
        </right>
      </border>
    </dxf>
    <dxf>
      <numFmt numFmtId="169" formatCode="&quot;$&quot;#,##0.0000;[Red]\-&quot;$&quot;#,##0.0000"/>
      <border outline="0">
        <left style="thin">
          <color theme="0" tint="-0.24994659260841701"/>
        </left>
        <right style="thin">
          <color theme="0" tint="-0.24994659260841701"/>
        </right>
      </border>
    </dxf>
    <dxf>
      <numFmt numFmtId="169" formatCode="&quot;$&quot;#,##0.0000;[Red]\-&quot;$&quot;#,##0.0000"/>
      <alignment horizontal="general" vertical="top" textRotation="0" wrapText="0" indent="0" justifyLastLine="0" shrinkToFit="0" readingOrder="0"/>
      <border outline="0">
        <right style="thin">
          <color theme="0" tint="-0.24994659260841701"/>
        </right>
      </border>
    </dxf>
    <dxf>
      <border outline="0">
        <right style="thin">
          <color theme="0" tint="-0.24994659260841701"/>
        </right>
      </border>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alignment horizontal="general" vertical="top" textRotation="0" wrapText="0" indent="0" justifyLastLine="0" shrinkToFit="0" readingOrder="0"/>
      <border outline="0">
        <left style="thin">
          <color theme="0" tint="-0.24994659260841701"/>
        </left>
      </border>
    </dxf>
    <dxf>
      <numFmt numFmtId="169"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69"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69"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69" formatCode="&quot;$&quot;#,##0.0000;[Red]\-&quot;$&quot;#,##0.0000"/>
      <alignment horizontal="general" vertical="top" textRotation="0" wrapText="0" indent="0" justifyLastLine="0" shrinkToFit="0" readingOrder="0"/>
      <border outline="0">
        <right style="thin">
          <color theme="0" tint="-0.24994659260841701"/>
        </right>
      </border>
    </dxf>
    <dxf>
      <border outline="0">
        <right style="thin">
          <color theme="0" tint="-0.24994659260841701"/>
        </right>
      </border>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border diagonalUp="0" diagonalDown="0" outline="0">
        <left style="thin">
          <color theme="0"/>
        </left>
        <right style="thin">
          <color theme="0"/>
        </right>
        <top/>
        <bottom/>
      </border>
    </dxf>
    <dxf>
      <numFmt numFmtId="169" formatCode="&quot;$&quot;#,##0.0000;[Red]\-&quot;$&quot;#,##0.0000"/>
      <alignment horizontal="general" vertical="top" textRotation="0" wrapText="0" indent="0" justifyLastLine="0" shrinkToFit="0" readingOrder="0"/>
      <border outline="0">
        <left style="thin">
          <color theme="0" tint="-0.24994659260841701"/>
        </left>
      </border>
    </dxf>
    <dxf>
      <numFmt numFmtId="169"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69"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69"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69" formatCode="&quot;$&quot;#,##0.0000;[Red]\-&quot;$&quot;#,##0.0000"/>
      <alignment horizontal="general" vertical="top" textRotation="0" wrapText="0" indent="0" justifyLastLine="0" shrinkToFit="0" readingOrder="0"/>
      <border outline="0">
        <right style="thin">
          <color theme="0" tint="-0.24994659260841701"/>
        </right>
      </border>
    </dxf>
    <dxf>
      <border outline="0">
        <right style="thin">
          <color theme="0" tint="-0.24994659260841701"/>
        </right>
      </border>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border diagonalUp="0" diagonalDown="0" outline="0">
        <left style="thin">
          <color theme="0"/>
        </left>
        <right style="thin">
          <color theme="0"/>
        </right>
        <top/>
        <bottom/>
      </border>
    </dxf>
    <dxf>
      <numFmt numFmtId="14" formatCode="0.00%"/>
      <border diagonalUp="0" diagonalDown="0">
        <left style="thin">
          <color theme="0"/>
        </left>
        <right/>
        <top style="thin">
          <color theme="0"/>
        </top>
        <bottom style="thin">
          <color theme="0"/>
        </bottom>
        <vertical/>
        <horizontal/>
      </border>
    </dxf>
    <dxf>
      <numFmt numFmtId="14" formatCode="0.00%"/>
      <border diagonalUp="0" diagonalDown="0">
        <left style="thin">
          <color theme="0"/>
        </left>
        <right/>
        <top style="thin">
          <color theme="0"/>
        </top>
        <bottom style="thin">
          <color theme="0"/>
        </bottom>
        <vertical/>
        <horizontal/>
      </border>
    </dxf>
    <dxf>
      <numFmt numFmtId="14" formatCode="0.00%"/>
      <border diagonalUp="0" diagonalDown="0">
        <left style="thin">
          <color theme="0"/>
        </left>
        <right/>
        <top style="thin">
          <color theme="0"/>
        </top>
        <bottom style="thin">
          <color theme="0"/>
        </bottom>
        <vertical/>
        <horizontal/>
      </border>
    </dxf>
    <dxf>
      <numFmt numFmtId="14" formatCode="0.00%"/>
      <border diagonalUp="0" diagonalDown="0">
        <left style="thin">
          <color theme="0"/>
        </left>
        <right/>
        <top style="thin">
          <color theme="0"/>
        </top>
        <bottom style="thin">
          <color theme="0"/>
        </bottom>
        <vertical/>
        <horizontal/>
      </border>
    </dxf>
    <dxf>
      <numFmt numFmtId="168" formatCode="0.0000"/>
      <alignment horizontal="general" vertical="top" textRotation="0" wrapText="0" indent="0" justifyLastLine="0" shrinkToFit="0" readingOrder="0"/>
      <border diagonalUp="0" diagonalDown="0" outline="0">
        <left style="thin">
          <color theme="0"/>
        </left>
        <right/>
        <top style="thin">
          <color theme="0"/>
        </top>
        <bottom style="thin">
          <color theme="0"/>
        </bottom>
      </border>
    </dxf>
    <dxf>
      <border outline="0">
        <right style="thin">
          <color theme="0"/>
        </right>
        <top style="thin">
          <color theme="0"/>
        </top>
      </border>
    </dxf>
    <dxf>
      <border outline="0">
        <bottom style="thin">
          <color theme="0"/>
        </bottom>
      </border>
    </dxf>
    <dxf>
      <border diagonalUp="0" diagonalDown="0" outline="0">
        <left style="thin">
          <color theme="0"/>
        </left>
        <right style="thin">
          <color theme="0"/>
        </right>
        <top/>
        <bottom/>
      </border>
    </dxf>
    <dxf>
      <numFmt numFmtId="168" formatCode="0.0000"/>
    </dxf>
    <dxf>
      <numFmt numFmtId="168" formatCode="0.0000"/>
    </dxf>
    <dxf>
      <numFmt numFmtId="168" formatCode="0.0000"/>
    </dxf>
    <dxf>
      <numFmt numFmtId="168" formatCode="0.0000"/>
    </dxf>
    <dxf>
      <numFmt numFmtId="168" formatCode="0.0000"/>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alignment horizontal="general" vertical="top" textRotation="0" wrapText="0" indent="0" justifyLastLine="0" shrinkToFit="0" readingOrder="0"/>
      <border outline="0">
        <left style="thin">
          <color theme="0" tint="-0.24994659260841701"/>
        </left>
      </border>
    </dxf>
    <dxf>
      <numFmt numFmtId="14" formatCode="0.00%"/>
      <border outline="0">
        <right style="thin">
          <color theme="0" tint="-0.24994659260841701"/>
        </right>
      </border>
    </dxf>
    <dxf>
      <border outline="0">
        <right style="thin">
          <color theme="0" tint="-0.24994659260841701"/>
        </right>
      </border>
    </dxf>
    <dxf>
      <border outline="0">
        <top style="thin">
          <color theme="0"/>
        </top>
        <bottom style="thin">
          <color theme="0" tint="-0.24994659260841701"/>
        </bottom>
      </border>
    </dxf>
    <dxf>
      <border outline="0">
        <bottom style="thin">
          <color theme="0"/>
        </bottom>
      </border>
    </dxf>
    <dxf>
      <border diagonalUp="0" diagonalDown="0" outline="0">
        <left style="thin">
          <color theme="0"/>
        </left>
        <right style="thin">
          <color theme="0"/>
        </right>
        <top/>
        <bottom/>
      </border>
    </dxf>
    <dxf>
      <numFmt numFmtId="169" formatCode="&quot;$&quot;#,##0.0000;[Red]\-&quot;$&quot;#,##0.0000"/>
      <alignment horizontal="general" vertical="top" textRotation="0" wrapText="0" indent="0" justifyLastLine="0" shrinkToFit="0" readingOrder="0"/>
    </dxf>
    <dxf>
      <numFmt numFmtId="169" formatCode="&quot;$&quot;#,##0.0000;[Red]\-&quot;$&quot;#,##0.0000"/>
      <alignment horizontal="general" vertical="top" textRotation="0" wrapText="0" indent="0" justifyLastLine="0" shrinkToFit="0" readingOrder="0"/>
    </dxf>
    <dxf>
      <numFmt numFmtId="169" formatCode="&quot;$&quot;#,##0.0000;[Red]\-&quot;$&quot;#,##0.0000"/>
      <alignment horizontal="general" vertical="top" textRotation="0" wrapText="0" indent="0" justifyLastLine="0" shrinkToFit="0" readingOrder="0"/>
    </dxf>
    <dxf>
      <numFmt numFmtId="169" formatCode="&quot;$&quot;#,##0.0000;[Red]\-&quot;$&quot;#,##0.0000"/>
      <alignment horizontal="general" vertical="top" textRotation="0" wrapText="0" indent="0" justifyLastLine="0" shrinkToFit="0" readingOrder="0"/>
    </dxf>
    <dxf>
      <numFmt numFmtId="169" formatCode="&quot;$&quot;#,##0.0000;[Red]\-&quot;$&quot;#,##0.0000"/>
      <alignment horizontal="general" vertical="top" textRotation="0" wrapText="0" indent="0" justifyLastLine="0" shrinkToFit="0" readingOrder="0"/>
    </dxf>
    <dxf>
      <border outline="0">
        <top style="thin">
          <color theme="0" tint="-0.24994659260841701"/>
        </top>
      </border>
    </dxf>
    <dxf>
      <border outline="0">
        <top style="thin">
          <color theme="0"/>
        </top>
        <bottom style="thin">
          <color theme="0" tint="-0.24994659260841701"/>
        </bottom>
      </border>
    </dxf>
    <dxf>
      <alignment horizontal="general" vertical="top" textRotation="0" wrapText="0" indent="0" justifyLastLine="0" shrinkToFit="0" readingOrder="0"/>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00_);[Red]\(&quot;$&quot;#,##0.00\)"/>
      <alignment horizontal="general" vertical="top" textRotation="0" wrapText="1" indent="0" justifyLastLine="0" shrinkToFit="0" readingOrder="0"/>
    </dxf>
    <dxf>
      <numFmt numFmtId="164" formatCode="&quot;$&quot;#,##0.00_);[Red]\(&quot;$&quot;#,##0.00\)"/>
      <alignment horizontal="general" vertical="top" textRotation="0" wrapText="1" indent="0" justifyLastLine="0" shrinkToFit="0" readingOrder="0"/>
    </dxf>
    <dxf>
      <numFmt numFmtId="164" formatCode="&quot;$&quot;#,##0.00_);[Red]\(&quot;$&quot;#,##0.00\)"/>
      <alignment horizontal="general" vertical="top" textRotation="0" wrapText="1" indent="0" justifyLastLine="0" shrinkToFit="0" readingOrder="0"/>
    </dxf>
    <dxf>
      <numFmt numFmtId="164" formatCode="&quot;$&quot;#,##0.00_);[Red]\(&quot;$&quot;#,##0.00\)"/>
      <alignment horizontal="general" vertical="top" textRotation="0" wrapText="1" indent="0" justifyLastLine="0" shrinkToFit="0" readingOrder="0"/>
    </dxf>
    <dxf>
      <numFmt numFmtId="164" formatCode="&quot;$&quot;#,##0.00_);[Red]\(&quot;$&quot;#,##0.00\)"/>
      <alignment horizontal="general" vertical="top" textRotation="0" wrapText="1" indent="0" justifyLastLine="0" shrinkToFit="0" readingOrder="0"/>
    </dxf>
    <dxf>
      <border outline="0">
        <top style="thin">
          <color theme="0" tint="-0.24994659260841701"/>
        </top>
      </border>
    </dxf>
    <dxf>
      <border outline="0">
        <top style="thin">
          <color theme="0"/>
        </top>
        <bottom style="thin">
          <color theme="0" tint="-0.24994659260841701"/>
        </bottom>
      </border>
    </dxf>
    <dxf>
      <alignment horizontal="general" vertical="top" textRotation="0" wrapText="1" indent="0" justifyLastLine="0" shrinkToFit="0" readingOrder="0"/>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alignment horizontal="general"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9" formatCode="&quot;$&quot;#,##0.0000;[Red]\-&quot;$&quot;#,##0.0000"/>
      <alignment horizontal="general"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9" formatCode="&quot;$&quot;#,##0.0000;[Red]\-&quot;$&quot;#,##0.0000"/>
      <alignment horizontal="general"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9" formatCode="&quot;$&quot;#,##0.0000;[Red]\-&quot;$&quot;#,##0.0000"/>
      <alignment horizontal="general"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numFmt numFmtId="169" formatCode="&quot;$&quot;#,##0.0000;[Red]\-&quot;$&quot;#,##0.0000"/>
      <alignment horizontal="general" vertical="top"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dxf>
    <dxf>
      <border outline="0">
        <right style="thin">
          <color theme="0" tint="-0.24994659260841701"/>
        </right>
      </border>
    </dxf>
    <dxf>
      <border diagonalUp="0" diagonalDown="0">
        <left style="thin">
          <color theme="0" tint="-0.24994659260841701"/>
        </left>
        <right style="thin">
          <color theme="0" tint="-0.24994659260841701"/>
        </right>
        <top style="thin">
          <color theme="0" tint="-0.24994659260841701"/>
        </top>
        <bottom/>
        <vertical/>
        <horizontal/>
      </border>
    </dxf>
    <dxf>
      <border diagonalUp="0" diagonalDown="0">
        <left style="thin">
          <color theme="0" tint="-0.24994659260841701"/>
        </left>
        <right style="thin">
          <color theme="0" tint="-0.24994659260841701"/>
        </right>
        <top style="thin">
          <color theme="0" tint="-0.24994659260841701"/>
        </top>
        <bottom/>
        <vertical/>
        <horizontal/>
      </border>
    </dxf>
    <dxf>
      <border diagonalUp="0" diagonalDown="0">
        <left style="thin">
          <color theme="0" tint="-0.24994659260841701"/>
        </left>
        <right style="thin">
          <color theme="0" tint="-0.24994659260841701"/>
        </right>
        <top style="thin">
          <color theme="0" tint="-0.24994659260841701"/>
        </top>
        <bottom/>
        <vertical/>
        <horizontal/>
      </border>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border diagonalUp="0" diagonalDown="0" outline="0">
        <left style="thin">
          <color theme="0"/>
        </left>
        <right style="thin">
          <color theme="0"/>
        </right>
        <top/>
        <bottom/>
      </border>
    </dxf>
    <dxf>
      <numFmt numFmtId="169" formatCode="&quot;$&quot;#,##0.0000;[Red]\-&quot;$&quot;#,##0.0000"/>
    </dxf>
    <dxf>
      <numFmt numFmtId="169" formatCode="&quot;$&quot;#,##0.0000;[Red]\-&quot;$&quot;#,##0.0000"/>
    </dxf>
    <dxf>
      <numFmt numFmtId="169" formatCode="&quot;$&quot;#,##0.0000;[Red]\-&quot;$&quot;#,##0.0000"/>
    </dxf>
    <dxf>
      <numFmt numFmtId="169" formatCode="&quot;$&quot;#,##0.0000;[Red]\-&quot;$&quot;#,##0.0000"/>
    </dxf>
    <dxf>
      <numFmt numFmtId="169" formatCode="&quot;$&quot;#,##0.0000;[Red]\-&quot;$&quot;#,##0.0000"/>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dxf>
    <dxf>
      <numFmt numFmtId="169" formatCode="&quot;$&quot;#,##0.0000;[Red]\-&quot;$&quot;#,##0.0000"/>
    </dxf>
    <dxf>
      <numFmt numFmtId="169" formatCode="&quot;$&quot;#,##0.0000;[Red]\-&quot;$&quot;#,##0.0000"/>
    </dxf>
    <dxf>
      <numFmt numFmtId="169" formatCode="&quot;$&quot;#,##0.0000;[Red]\-&quot;$&quot;#,##0.0000"/>
    </dxf>
    <dxf>
      <numFmt numFmtId="169" formatCode="&quot;$&quot;#,##0.0000;[Red]\-&quot;$&quot;#,##0.0000"/>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dxf>
    <dxf>
      <numFmt numFmtId="169" formatCode="&quot;$&quot;#,##0.0000;[Red]\-&quot;$&quot;#,##0.0000"/>
    </dxf>
    <dxf>
      <numFmt numFmtId="169" formatCode="&quot;$&quot;#,##0.0000;[Red]\-&quot;$&quot;#,##0.0000"/>
    </dxf>
    <dxf>
      <numFmt numFmtId="169" formatCode="&quot;$&quot;#,##0.0000;[Red]\-&quot;$&quot;#,##0.0000"/>
    </dxf>
    <dxf>
      <numFmt numFmtId="169" formatCode="&quot;$&quot;#,##0.0000;[Red]\-&quot;$&quot;#,##0.0000"/>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alignment horizontal="general" vertical="top" textRotation="0" wrapText="0" indent="0" justifyLastLine="0" shrinkToFit="0" readingOrder="0"/>
      <border outline="0">
        <left style="thin">
          <color theme="0" tint="-0.24994659260841701"/>
        </left>
      </border>
    </dxf>
    <dxf>
      <numFmt numFmtId="169"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69"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69"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69" formatCode="&quot;$&quot;#,##0.0000;[Red]\-&quot;$&quot;#,##0.0000"/>
      <alignment horizontal="general" vertical="top" textRotation="0" wrapText="0" indent="0" justifyLastLine="0" shrinkToFit="0" readingOrder="0"/>
      <border outline="0">
        <right style="thin">
          <color theme="0" tint="-0.24994659260841701"/>
        </right>
      </border>
    </dxf>
    <dxf>
      <border outline="0">
        <right style="thin">
          <color theme="0" tint="-0.24994659260841701"/>
        </right>
      </border>
    </dxf>
    <dxf>
      <border outline="0">
        <top style="thin">
          <color theme="0" tint="-0.24994659260841701"/>
        </top>
      </border>
    </dxf>
    <dxf>
      <border outline="0">
        <top style="thin">
          <color theme="0"/>
        </top>
        <bottom style="thin">
          <color theme="0" tint="-0.24994659260841701"/>
        </bottom>
      </border>
    </dxf>
    <dxf>
      <alignment horizontal="general" vertical="top" textRotation="0" wrapText="0" indent="0" justifyLastLine="0" shrinkToFit="0" readingOrder="0"/>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border outline="0">
        <left style="thin">
          <color theme="0" tint="-0.24994659260841701"/>
        </left>
      </border>
    </dxf>
    <dxf>
      <numFmt numFmtId="169" formatCode="&quot;$&quot;#,##0.0000;[Red]\-&quot;$&quot;#,##0.0000"/>
      <border outline="0">
        <left style="thin">
          <color theme="0" tint="-0.24994659260841701"/>
        </left>
        <right style="thin">
          <color theme="0" tint="-0.24994659260841701"/>
        </right>
      </border>
    </dxf>
    <dxf>
      <numFmt numFmtId="169" formatCode="&quot;$&quot;#,##0.0000;[Red]\-&quot;$&quot;#,##0.0000"/>
      <border outline="0">
        <left style="thin">
          <color theme="0" tint="-0.24994659260841701"/>
        </left>
        <right style="thin">
          <color theme="0" tint="-0.24994659260841701"/>
        </right>
      </border>
    </dxf>
    <dxf>
      <numFmt numFmtId="169" formatCode="&quot;$&quot;#,##0.0000;[Red]\-&quot;$&quot;#,##0.0000"/>
      <border outline="0">
        <left style="thin">
          <color theme="0" tint="-0.24994659260841701"/>
        </left>
        <right style="thin">
          <color theme="0" tint="-0.24994659260841701"/>
        </right>
      </border>
    </dxf>
    <dxf>
      <numFmt numFmtId="169" formatCode="&quot;$&quot;#,##0.0000;[Red]\-&quot;$&quot;#,##0.0000"/>
      <border outline="0">
        <right style="thin">
          <color theme="0" tint="-0.24994659260841701"/>
        </right>
      </border>
    </dxf>
    <dxf>
      <border outline="0">
        <right style="thin">
          <color theme="0" tint="-0.24994659260841701"/>
        </right>
      </border>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alignment horizontal="general" vertical="top" textRotation="0" wrapText="0" indent="0" justifyLastLine="0" shrinkToFit="0" readingOrder="0"/>
      <border outline="0">
        <left style="thin">
          <color theme="0" tint="-0.24994659260841701"/>
        </left>
      </border>
    </dxf>
    <dxf>
      <numFmt numFmtId="169"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69"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69"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69" formatCode="&quot;$&quot;#,##0.0000;[Red]\-&quot;$&quot;#,##0.0000"/>
      <alignment horizontal="general" vertical="top" textRotation="0" wrapText="0" indent="0" justifyLastLine="0" shrinkToFit="0" readingOrder="0"/>
      <border outline="0">
        <right style="thin">
          <color theme="0" tint="-0.24994659260841701"/>
        </right>
      </border>
    </dxf>
    <dxf>
      <border outline="0">
        <right style="thin">
          <color theme="0" tint="-0.24994659260841701"/>
        </right>
      </border>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border diagonalUp="0" diagonalDown="0" outline="0">
        <left style="thin">
          <color theme="0"/>
        </left>
        <right style="thin">
          <color theme="0"/>
        </right>
        <top/>
        <bottom/>
      </border>
    </dxf>
    <dxf>
      <numFmt numFmtId="169" formatCode="&quot;$&quot;#,##0.0000;[Red]\-&quot;$&quot;#,##0.0000"/>
      <alignment horizontal="general" vertical="top" textRotation="0" wrapText="0" indent="0" justifyLastLine="0" shrinkToFit="0" readingOrder="0"/>
      <border outline="0">
        <left style="thin">
          <color theme="0" tint="-0.24994659260841701"/>
        </left>
      </border>
    </dxf>
    <dxf>
      <numFmt numFmtId="169"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69"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69" formatCode="&quot;$&quot;#,##0.0000;[Red]\-&quot;$&quot;#,##0.0000"/>
      <alignment horizontal="general" vertical="top" textRotation="0" wrapText="0" indent="0" justifyLastLine="0" shrinkToFit="0" readingOrder="0"/>
      <border outline="0">
        <left style="thin">
          <color theme="0" tint="-0.24994659260841701"/>
        </left>
        <right style="thin">
          <color theme="0" tint="-0.24994659260841701"/>
        </right>
      </border>
    </dxf>
    <dxf>
      <numFmt numFmtId="169" formatCode="&quot;$&quot;#,##0.0000;[Red]\-&quot;$&quot;#,##0.0000"/>
      <border outline="0">
        <right style="thin">
          <color theme="0" tint="-0.24994659260841701"/>
        </right>
      </border>
    </dxf>
    <dxf>
      <border outline="0">
        <right style="thin">
          <color theme="0" tint="-0.24994659260841701"/>
        </right>
      </border>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border diagonalUp="0" diagonalDown="0" outline="0">
        <left style="thin">
          <color theme="0"/>
        </left>
        <right style="thin">
          <color theme="0"/>
        </right>
        <top/>
        <bottom/>
      </border>
    </dxf>
    <dxf>
      <numFmt numFmtId="14" formatCode="0.00%"/>
      <border diagonalUp="0" diagonalDown="0">
        <left style="thin">
          <color theme="0"/>
        </left>
        <right/>
        <top style="thin">
          <color theme="0"/>
        </top>
        <bottom style="thin">
          <color theme="0"/>
        </bottom>
        <vertical/>
        <horizontal/>
      </border>
    </dxf>
    <dxf>
      <numFmt numFmtId="14" formatCode="0.00%"/>
      <border diagonalUp="0" diagonalDown="0">
        <left style="thin">
          <color theme="0"/>
        </left>
        <right/>
        <top style="thin">
          <color theme="0"/>
        </top>
        <bottom style="thin">
          <color theme="0"/>
        </bottom>
        <vertical/>
        <horizontal/>
      </border>
    </dxf>
    <dxf>
      <numFmt numFmtId="14" formatCode="0.00%"/>
      <border diagonalUp="0" diagonalDown="0">
        <left style="thin">
          <color theme="0"/>
        </left>
        <right/>
        <top style="thin">
          <color theme="0"/>
        </top>
        <bottom style="thin">
          <color theme="0"/>
        </bottom>
        <vertical/>
        <horizontal/>
      </border>
    </dxf>
    <dxf>
      <numFmt numFmtId="14" formatCode="0.00%"/>
      <border diagonalUp="0" diagonalDown="0">
        <left style="thin">
          <color theme="0"/>
        </left>
        <right/>
        <top style="thin">
          <color theme="0"/>
        </top>
        <bottom style="thin">
          <color theme="0"/>
        </bottom>
        <vertical/>
        <horizontal/>
      </border>
    </dxf>
    <dxf>
      <numFmt numFmtId="168" formatCode="0.0000"/>
      <alignment horizontal="general" vertical="top" textRotation="0" wrapText="0" indent="0" justifyLastLine="0" shrinkToFit="0" readingOrder="0"/>
      <border diagonalUp="0" diagonalDown="0" outline="0">
        <left style="thin">
          <color theme="0"/>
        </left>
        <right/>
        <top style="thin">
          <color theme="0"/>
        </top>
        <bottom style="thin">
          <color theme="0"/>
        </bottom>
      </border>
    </dxf>
    <dxf>
      <border outline="0">
        <right style="thin">
          <color theme="0"/>
        </right>
        <top style="thin">
          <color theme="0"/>
        </top>
      </border>
    </dxf>
    <dxf>
      <border outline="0">
        <bottom style="thin">
          <color theme="0"/>
        </bottom>
      </border>
    </dxf>
    <dxf>
      <border diagonalUp="0" diagonalDown="0" outline="0">
        <left style="thin">
          <color theme="0"/>
        </left>
        <right style="thin">
          <color theme="0"/>
        </right>
        <top/>
        <bottom/>
      </border>
    </dxf>
    <dxf>
      <numFmt numFmtId="168" formatCode="0.0000"/>
      <border outline="0">
        <left style="thin">
          <color theme="0" tint="-0.24994659260841701"/>
        </left>
      </border>
    </dxf>
    <dxf>
      <numFmt numFmtId="168" formatCode="0.0000"/>
      <border outline="0">
        <left style="thin">
          <color theme="0" tint="-0.24994659260841701"/>
        </left>
        <right style="thin">
          <color theme="0" tint="-0.24994659260841701"/>
        </right>
      </border>
    </dxf>
    <dxf>
      <numFmt numFmtId="168" formatCode="0.0000"/>
      <border outline="0">
        <left style="thin">
          <color theme="0" tint="-0.24994659260841701"/>
        </left>
        <right style="thin">
          <color theme="0" tint="-0.24994659260841701"/>
        </right>
      </border>
    </dxf>
    <dxf>
      <numFmt numFmtId="168" formatCode="0.0000"/>
      <border outline="0">
        <left style="thin">
          <color theme="0" tint="-0.24994659260841701"/>
        </left>
        <right style="thin">
          <color theme="0" tint="-0.24994659260841701"/>
        </right>
      </border>
    </dxf>
    <dxf>
      <numFmt numFmtId="168" formatCode="0.0000"/>
      <border outline="0">
        <right style="thin">
          <color theme="0" tint="-0.24994659260841701"/>
        </right>
      </border>
    </dxf>
    <dxf>
      <border outline="0">
        <right style="thin">
          <color theme="0" tint="-0.24994659260841701"/>
        </right>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00_);[Red]\(&quot;$&quot;#,##0.00\)"/>
      <border outline="0">
        <left style="thin">
          <color theme="0" tint="-0.24994659260841701"/>
        </left>
      </border>
    </dxf>
    <dxf>
      <numFmt numFmtId="14" formatCode="0.00%"/>
      <alignment horizontal="general" vertical="top" textRotation="0" wrapText="0" indent="0" justifyLastLine="0" shrinkToFit="0" readingOrder="0"/>
      <border>
        <right style="thin">
          <color theme="0" tint="-0.24994659260841701"/>
        </right>
      </border>
    </dxf>
    <dxf>
      <numFmt numFmtId="0" formatCode="General"/>
    </dxf>
    <dxf>
      <border outline="0">
        <right style="thin">
          <color theme="0" tint="-0.24994659260841701"/>
        </right>
      </border>
    </dxf>
    <dxf>
      <border outline="0">
        <top style="thin">
          <color theme="0"/>
        </top>
        <bottom style="thin">
          <color theme="0" tint="-0.24994659260841701"/>
        </bottom>
      </border>
    </dxf>
    <dxf>
      <border outline="0">
        <bottom style="thin">
          <color theme="0"/>
        </bottom>
      </border>
    </dxf>
    <dxf>
      <border diagonalUp="0" diagonalDown="0" outline="0">
        <left style="thin">
          <color theme="0"/>
        </left>
        <right style="thin">
          <color theme="0"/>
        </right>
        <top/>
        <bottom/>
      </border>
    </dxf>
    <dxf>
      <numFmt numFmtId="164" formatCode="&quot;$&quot;#,##0.00_);[Red]\(&quot;$&quot;#,##0.00\)"/>
      <alignment horizontal="general" vertical="top" textRotation="0" wrapText="1" indent="0" justifyLastLine="0" shrinkToFit="0" readingOrder="0"/>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00_);[Red]\(&quot;$&quot;#,##0.00\)"/>
      <alignment horizontal="general" vertical="top" textRotation="0" wrapText="1" indent="0" justifyLastLine="0" shrinkToFit="0" readingOrder="0"/>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4" formatCode="&quot;$&quot;#,##0.00_);[Red]\(&quot;$&quot;#,##0.00\)"/>
      <alignment horizontal="general" vertical="top" textRotation="0" wrapText="1" indent="0" justifyLastLine="0" shrinkToFit="0" readingOrder="0"/>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border diagonalUp="0" diagonalDown="0">
        <left style="thin">
          <color theme="0"/>
        </left>
        <right/>
        <top style="thin">
          <color theme="0"/>
        </top>
        <bottom style="thin">
          <color theme="0"/>
        </bottom>
        <vertical/>
        <horizontal/>
      </border>
    </dxf>
    <dxf>
      <numFmt numFmtId="169" formatCode="&quot;$&quot;#,##0.0000;[Red]\-&quot;$&quot;#,##0.0000"/>
    </dxf>
    <dxf>
      <numFmt numFmtId="169" formatCode="&quot;$&quot;#,##0.0000;[Red]\-&quot;$&quot;#,##0.0000"/>
    </dxf>
    <dxf>
      <numFmt numFmtId="169" formatCode="&quot;$&quot;#,##0.0000;[Red]\-&quot;$&quot;#,##0.0000"/>
    </dxf>
    <dxf>
      <numFmt numFmtId="169" formatCode="&quot;$&quot;#,##0.0000;[Red]\-&quot;$&quot;#,##0.0000"/>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right style="thin">
          <color theme="0"/>
        </right>
        <top style="thin">
          <color theme="0"/>
        </top>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border diagonalUp="0" diagonalDown="0">
        <left style="thin">
          <color theme="0"/>
        </left>
        <right/>
        <top style="thin">
          <color theme="0"/>
        </top>
        <bottom style="thin">
          <color theme="0"/>
        </bottom>
        <vertical/>
        <horizontal/>
      </border>
    </dxf>
    <dxf>
      <numFmt numFmtId="169" formatCode="&quot;$&quot;#,##0.0000;[Red]\-&quot;$&quot;#,##0.0000"/>
    </dxf>
    <dxf>
      <numFmt numFmtId="169" formatCode="&quot;$&quot;#,##0.0000;[Red]\-&quot;$&quot;#,##0.0000"/>
    </dxf>
    <dxf>
      <numFmt numFmtId="169" formatCode="&quot;$&quot;#,##0.0000;[Red]\-&quot;$&quot;#,##0.0000"/>
    </dxf>
    <dxf>
      <numFmt numFmtId="169" formatCode="&quot;$&quot;#,##0.0000;[Red]\-&quot;$&quot;#,##0.0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right style="thin">
          <color theme="0"/>
        </right>
        <top style="thin">
          <color theme="0"/>
        </top>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dxf>
    <dxf>
      <numFmt numFmtId="169" formatCode="&quot;$&quot;#,##0.0000;[Red]\-&quot;$&quot;#,##0.0000"/>
    </dxf>
    <dxf>
      <numFmt numFmtId="169" formatCode="&quot;$&quot;#,##0.0000;[Red]\-&quot;$&quot;#,##0.0000"/>
    </dxf>
    <dxf>
      <numFmt numFmtId="169" formatCode="&quot;$&quot;#,##0.0000;[Red]\-&quot;$&quot;#,##0.0000"/>
    </dxf>
    <dxf>
      <numFmt numFmtId="169" formatCode="&quot;$&quot;#,##0.0000;[Red]\-&quot;$&quot;#,##0.0000"/>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border outline="0">
        <left style="thin">
          <color theme="0" tint="-0.24994659260841701"/>
        </left>
      </border>
    </dxf>
    <dxf>
      <numFmt numFmtId="169" formatCode="&quot;$&quot;#,##0.0000;[Red]\-&quot;$&quot;#,##0.0000"/>
      <border outline="0">
        <left style="thin">
          <color theme="0" tint="-0.24994659260841701"/>
        </left>
        <right style="thin">
          <color theme="0" tint="-0.24994659260841701"/>
        </right>
      </border>
    </dxf>
    <dxf>
      <numFmt numFmtId="169" formatCode="&quot;$&quot;#,##0.0000;[Red]\-&quot;$&quot;#,##0.0000"/>
      <border outline="0">
        <left style="thin">
          <color theme="0" tint="-0.24994659260841701"/>
        </left>
        <right style="thin">
          <color theme="0" tint="-0.24994659260841701"/>
        </right>
      </border>
    </dxf>
    <dxf>
      <numFmt numFmtId="169" formatCode="&quot;$&quot;#,##0.0000;[Red]\-&quot;$&quot;#,##0.0000"/>
      <border outline="0">
        <left style="thin">
          <color theme="0" tint="-0.24994659260841701"/>
        </left>
        <right style="thin">
          <color theme="0" tint="-0.24994659260841701"/>
        </right>
      </border>
    </dxf>
    <dxf>
      <numFmt numFmtId="169" formatCode="&quot;$&quot;#,##0.0000;[Red]\-&quot;$&quot;#,##0.0000"/>
      <border outline="0">
        <right style="thin">
          <color theme="0" tint="-0.24994659260841701"/>
        </right>
      </border>
    </dxf>
    <dxf>
      <border outline="0">
        <right style="thin">
          <color theme="0" tint="-0.24994659260841701"/>
        </right>
      </border>
    </dxf>
    <dxf>
      <border outline="0">
        <top style="thin">
          <color theme="0"/>
        </top>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dxf>
    <dxf>
      <numFmt numFmtId="169" formatCode="&quot;$&quot;#,##0.0000;[Red]\-&quot;$&quot;#,##0.0000"/>
    </dxf>
    <dxf>
      <numFmt numFmtId="169" formatCode="&quot;$&quot;#,##0.0000;[Red]\-&quot;$&quot;#,##0.0000"/>
    </dxf>
    <dxf>
      <numFmt numFmtId="169" formatCode="&quot;$&quot;#,##0.0000;[Red]\-&quot;$&quot;#,##0.0000"/>
    </dxf>
    <dxf>
      <numFmt numFmtId="169" formatCode="&quot;$&quot;#,##0.0000;[Red]\-&quot;$&quot;#,##0.0000"/>
    </dxf>
    <dxf>
      <border outline="0">
        <top style="thin">
          <color theme="0" tint="-0.24994659260841701"/>
        </top>
      </border>
    </dxf>
    <dxf>
      <border outline="0">
        <top style="thin">
          <color theme="0"/>
        </top>
        <bottom style="thin">
          <color theme="0" tint="-0.24994659260841701"/>
        </bottom>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border outline="0">
        <left style="thin">
          <color theme="0" tint="-0.24994659260841701"/>
        </left>
      </border>
    </dxf>
    <dxf>
      <numFmt numFmtId="169" formatCode="&quot;$&quot;#,##0.0000;[Red]\-&quot;$&quot;#,##0.0000"/>
      <border outline="0">
        <left style="thin">
          <color theme="0" tint="-0.24994659260841701"/>
        </left>
        <right style="thin">
          <color theme="0" tint="-0.24994659260841701"/>
        </right>
      </border>
    </dxf>
    <dxf>
      <numFmt numFmtId="169" formatCode="&quot;$&quot;#,##0.0000;[Red]\-&quot;$&quot;#,##0.0000"/>
      <border outline="0">
        <left style="thin">
          <color theme="0" tint="-0.24994659260841701"/>
        </left>
        <right style="thin">
          <color theme="0" tint="-0.24994659260841701"/>
        </right>
      </border>
    </dxf>
    <dxf>
      <numFmt numFmtId="169" formatCode="&quot;$&quot;#,##0.0000;[Red]\-&quot;$&quot;#,##0.0000"/>
      <border outline="0">
        <left style="thin">
          <color theme="0" tint="-0.24994659260841701"/>
        </left>
        <right style="thin">
          <color theme="0" tint="-0.24994659260841701"/>
        </right>
      </border>
    </dxf>
    <dxf>
      <numFmt numFmtId="169" formatCode="&quot;$&quot;#,##0.0000;[Red]\-&quot;$&quot;#,##0.0000"/>
      <border outline="0">
        <right style="thin">
          <color theme="0" tint="-0.24994659260841701"/>
        </right>
      </border>
    </dxf>
    <dxf>
      <border outline="0">
        <right style="thin">
          <color theme="0" tint="-0.24994659260841701"/>
        </right>
      </border>
    </dxf>
    <dxf>
      <border outline="0">
        <top style="thin">
          <color theme="0"/>
        </top>
      </border>
    </dxf>
    <dxf>
      <border outline="0">
        <bottom style="thin">
          <color theme="0"/>
        </bottom>
      </border>
    </dxf>
    <dxf>
      <font>
        <b val="0"/>
        <i val="0"/>
        <strike val="0"/>
        <condense val="0"/>
        <extend val="0"/>
        <outline val="0"/>
        <shadow val="0"/>
        <u val="none"/>
        <vertAlign val="baseline"/>
        <sz val="12"/>
        <color theme="0"/>
        <name val="Calibri"/>
        <family val="2"/>
        <scheme val="minor"/>
      </font>
      <numFmt numFmtId="0" formatCode="General"/>
      <fill>
        <patternFill patternType="solid">
          <fgColor indexed="64"/>
          <bgColor rgb="FF4986A0"/>
        </patternFill>
      </fill>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border diagonalUp="0" diagonalDown="0">
        <left style="thin">
          <color theme="0"/>
        </left>
        <right/>
        <top style="thin">
          <color theme="0"/>
        </top>
        <bottom style="thin">
          <color theme="0"/>
        </bottom>
        <vertical/>
        <horizontal/>
      </border>
    </dxf>
    <dxf>
      <numFmt numFmtId="169" formatCode="&quot;$&quot;#,##0.0000;[Red]\-&quot;$&quot;#,##0.0000"/>
    </dxf>
    <dxf>
      <numFmt numFmtId="169" formatCode="&quot;$&quot;#,##0.0000;[Red]\-&quot;$&quot;#,##0.0000"/>
    </dxf>
    <dxf>
      <numFmt numFmtId="169" formatCode="&quot;$&quot;#,##0.0000;[Red]\-&quot;$&quot;#,##0.0000"/>
    </dxf>
    <dxf>
      <numFmt numFmtId="169" formatCode="&quot;$&quot;#,##0.0000;[Red]\-&quot;$&quot;#,##0.0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right style="thin">
          <color theme="0"/>
        </right>
        <top style="thin">
          <color theme="0"/>
        </top>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border diagonalUp="0" diagonalDown="0">
        <left style="thin">
          <color theme="0"/>
        </left>
        <right/>
        <top style="thin">
          <color theme="0"/>
        </top>
        <bottom style="thin">
          <color theme="0"/>
        </bottom>
        <vertical/>
        <horizontal/>
      </border>
    </dxf>
    <dxf>
      <numFmt numFmtId="169" formatCode="&quot;$&quot;#,##0.0000;[Red]\-&quot;$&quot;#,##0.0000"/>
    </dxf>
    <dxf>
      <numFmt numFmtId="169" formatCode="&quot;$&quot;#,##0.0000;[Red]\-&quot;$&quot;#,##0.0000"/>
    </dxf>
    <dxf>
      <numFmt numFmtId="169" formatCode="&quot;$&quot;#,##0.0000;[Red]\-&quot;$&quot;#,##0.0000"/>
    </dxf>
    <dxf>
      <numFmt numFmtId="169" formatCode="&quot;$&quot;#,##0.0000;[Red]\-&quot;$&quot;#,##0.0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right style="thin">
          <color theme="0"/>
        </right>
        <top style="thin">
          <color theme="0"/>
        </top>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border diagonalUp="0" diagonalDown="0" outline="0">
        <left style="thin">
          <color theme="0"/>
        </left>
        <right/>
        <top style="thin">
          <color theme="0"/>
        </top>
        <bottom style="thin">
          <color theme="0"/>
        </bottom>
      </border>
    </dxf>
    <dxf>
      <numFmt numFmtId="169" formatCode="&quot;$&quot;#,##0.0000;[Red]\-&quot;$&quot;#,##0.0000"/>
    </dxf>
    <dxf>
      <numFmt numFmtId="169" formatCode="&quot;$&quot;#,##0.0000;[Red]\-&quot;$&quot;#,##0.0000"/>
    </dxf>
    <dxf>
      <numFmt numFmtId="169" formatCode="&quot;$&quot;#,##0.0000;[Red]\-&quot;$&quot;#,##0.0000"/>
    </dxf>
    <dxf>
      <numFmt numFmtId="169" formatCode="&quot;$&quot;#,##0.0000;[Red]\-&quot;$&quot;#,##0.0000"/>
    </dxf>
    <dxf>
      <border outline="0">
        <right style="thin">
          <color theme="0"/>
        </right>
        <top style="thin">
          <color theme="0"/>
        </top>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border diagonalUp="0" diagonalDown="0" outline="0">
        <left style="thin">
          <color theme="0"/>
        </left>
        <right/>
        <top style="thin">
          <color theme="0"/>
        </top>
        <bottom style="thin">
          <color theme="0"/>
        </bottom>
      </border>
    </dxf>
    <dxf>
      <numFmt numFmtId="169" formatCode="&quot;$&quot;#,##0.0000;[Red]\-&quot;$&quot;#,##0.0000"/>
    </dxf>
    <dxf>
      <numFmt numFmtId="169" formatCode="&quot;$&quot;#,##0.0000;[Red]\-&quot;$&quot;#,##0.0000"/>
    </dxf>
    <dxf>
      <numFmt numFmtId="169" formatCode="&quot;$&quot;#,##0.0000;[Red]\-&quot;$&quot;#,##0.0000"/>
    </dxf>
    <dxf>
      <numFmt numFmtId="169" formatCode="&quot;$&quot;#,##0.0000;[Red]\-&quot;$&quot;#,##0.0000"/>
    </dxf>
    <dxf>
      <border outline="0">
        <right style="thin">
          <color theme="0"/>
        </right>
        <top style="thin">
          <color theme="0"/>
        </top>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border diagonalUp="0" diagonalDown="0" outline="0">
        <left style="thin">
          <color theme="0"/>
        </left>
        <right/>
        <top style="thin">
          <color theme="0"/>
        </top>
        <bottom style="thin">
          <color theme="0"/>
        </bottom>
      </border>
    </dxf>
    <dxf>
      <numFmt numFmtId="169" formatCode="&quot;$&quot;#,##0.0000;[Red]\-&quot;$&quot;#,##0.0000"/>
    </dxf>
    <dxf>
      <numFmt numFmtId="169" formatCode="&quot;$&quot;#,##0.0000;[Red]\-&quot;$&quot;#,##0.0000"/>
    </dxf>
    <dxf>
      <numFmt numFmtId="169" formatCode="&quot;$&quot;#,##0.0000;[Red]\-&quot;$&quot;#,##0.0000"/>
    </dxf>
    <dxf>
      <numFmt numFmtId="169" formatCode="&quot;$&quot;#,##0.0000;[Red]\-&quot;$&quot;#,##0.0000"/>
    </dxf>
    <dxf>
      <border outline="0">
        <right style="thin">
          <color theme="0"/>
        </right>
        <top style="thin">
          <color theme="0"/>
        </top>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numFmt numFmtId="169" formatCode="&quot;$&quot;#,##0.0000;[Red]\-&quot;$&quot;#,##0.0000"/>
      <border diagonalUp="0" diagonalDown="0">
        <left style="thin">
          <color theme="0"/>
        </left>
        <right/>
        <top style="thin">
          <color theme="0"/>
        </top>
        <bottom style="thin">
          <color theme="0"/>
        </bottom>
        <vertical/>
        <horizontal/>
      </border>
    </dxf>
    <dxf>
      <numFmt numFmtId="169" formatCode="&quot;$&quot;#,##0.0000;[Red]\-&quot;$&quot;#,##0.0000"/>
    </dxf>
    <dxf>
      <numFmt numFmtId="169" formatCode="&quot;$&quot;#,##0.0000;[Red]\-&quot;$&quot;#,##0.0000"/>
    </dxf>
    <dxf>
      <numFmt numFmtId="169" formatCode="&quot;$&quot;#,##0.0000;[Red]\-&quot;$&quot;#,##0.0000"/>
    </dxf>
    <dxf>
      <numFmt numFmtId="169" formatCode="&quot;$&quot;#,##0.0000;[Red]\-&quot;$&quot;#,##0.0000"/>
    </dxf>
    <dxf>
      <border outline="0">
        <right style="thin">
          <color theme="0"/>
        </right>
        <top style="thin">
          <color theme="0"/>
        </top>
      </border>
    </dxf>
    <dxf>
      <border outline="0">
        <bottom style="thin">
          <color theme="0"/>
        </bottom>
      </border>
    </dxf>
    <dxf>
      <alignment horizontal="right" vertical="top" textRotation="0" wrapText="0" indent="0" justifyLastLine="0" shrinkToFit="0" readingOrder="0"/>
      <border diagonalUp="0" diagonalDown="0" outline="0">
        <left style="thin">
          <color theme="0"/>
        </left>
        <right style="thin">
          <color theme="0"/>
        </right>
        <top/>
        <bottom/>
      </border>
    </dxf>
    <dxf>
      <font>
        <b/>
        <i val="0"/>
        <color rgb="FFFF0000"/>
      </font>
      <fill>
        <patternFill>
          <bgColor theme="0"/>
        </patternFill>
      </fill>
      <border>
        <left style="thin">
          <color rgb="FFFF0000"/>
        </left>
        <right style="thin">
          <color rgb="FFFF0000"/>
        </right>
        <top style="thin">
          <color rgb="FFFF0000"/>
        </top>
        <bottom style="thin">
          <color rgb="FFFF0000"/>
        </bottom>
        <vertical/>
        <horizontal/>
      </border>
    </dxf>
    <dxf>
      <fill>
        <patternFill>
          <bgColor theme="8" tint="0.79998168889431442"/>
        </patternFill>
      </fill>
    </dxf>
    <dxf>
      <fill>
        <patternFill>
          <bgColor rgb="FFFFFF00"/>
        </patternFill>
      </fill>
    </dxf>
    <dxf>
      <fill>
        <patternFill>
          <bgColor theme="8" tint="0.79998168889431442"/>
        </patternFill>
      </fill>
    </dxf>
    <dxf>
      <fill>
        <patternFill>
          <bgColor rgb="FFFFFF00"/>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val="0"/>
        <i val="0"/>
        <color theme="0"/>
      </font>
      <fill>
        <patternFill>
          <bgColor rgb="FF4986A0"/>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1" defaultTableStyle="Default table" defaultPivotStyle="PivotStyleLight16">
    <tableStyle name="Default table" pivot="0" count="1" xr9:uid="{D7A9B941-B66A-4156-9972-EE896AA49F6E}">
      <tableStyleElement type="headerRow" dxfId="1106"/>
    </tableStyle>
  </tableStyles>
  <colors>
    <mruColors>
      <color rgb="FF236192"/>
      <color rgb="FF7F7F7F"/>
      <color rgb="FF4986A0"/>
      <color rgb="FFFFB13F"/>
      <color rgb="FFFF5050"/>
      <color rgb="FF99FFCC"/>
      <color rgb="FFED8B00"/>
      <color rgb="FFD50032"/>
      <color rgb="FFCE0058"/>
      <color rgb="FF67A0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2311325067606E-2"/>
          <c:y val="3.2194571795381696E-2"/>
          <c:w val="0.75992958908925912"/>
          <c:h val="0.89384366803590409"/>
        </c:manualLayout>
      </c:layout>
      <c:barChart>
        <c:barDir val="col"/>
        <c:grouping val="stacked"/>
        <c:varyColors val="0"/>
        <c:ser>
          <c:idx val="0"/>
          <c:order val="0"/>
          <c:tx>
            <c:strRef>
              <c:f>CH_CostStack_RES!$D$33</c:f>
              <c:strCache>
                <c:ptCount val="1"/>
                <c:pt idx="0">
                  <c:v>Wholesale</c:v>
                </c:pt>
              </c:strCache>
            </c:strRef>
          </c:tx>
          <c:spPr>
            <a:solidFill>
              <a:srgbClr val="23619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CH_CostStack_RES!$C$34:$C$35</c:f>
              <c:strCache>
                <c:ptCount val="2"/>
                <c:pt idx="0">
                  <c:v>VDO 2022 - Final</c:v>
                </c:pt>
                <c:pt idx="1">
                  <c:v>VDO 2022-23 - Draft</c:v>
                </c:pt>
              </c:strCache>
            </c:strRef>
          </c:cat>
          <c:val>
            <c:numRef>
              <c:f>CH_CostStack_RES!$D$34:$D$35</c:f>
              <c:numCache>
                <c:formatCode>"$"#,##0_);[Red]\("$"#,##0\)</c:formatCode>
                <c:ptCount val="2"/>
                <c:pt idx="0">
                  <c:v>303.14242733766685</c:v>
                </c:pt>
                <c:pt idx="1">
                  <c:v>320.29563936154312</c:v>
                </c:pt>
              </c:numCache>
            </c:numRef>
          </c:val>
          <c:extLst>
            <c:ext xmlns:c16="http://schemas.microsoft.com/office/drawing/2014/chart" uri="{C3380CC4-5D6E-409C-BE32-E72D297353CC}">
              <c16:uniqueId val="{00000000-D111-4E1B-ABB0-8C923C6416AE}"/>
            </c:ext>
          </c:extLst>
        </c:ser>
        <c:ser>
          <c:idx val="1"/>
          <c:order val="1"/>
          <c:tx>
            <c:strRef>
              <c:f>CH_CostStack_RES!$E$33</c:f>
              <c:strCache>
                <c:ptCount val="1"/>
                <c:pt idx="0">
                  <c:v>Network</c:v>
                </c:pt>
              </c:strCache>
            </c:strRef>
          </c:tx>
          <c:spPr>
            <a:solidFill>
              <a:srgbClr val="236192">
                <a:alpha val="50000"/>
              </a:srgb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CH_CostStack_RES!$E$34:$E$35</c:f>
              <c:numCache>
                <c:formatCode>"$"#,##0_);[Red]\("$"#,##0\)</c:formatCode>
                <c:ptCount val="2"/>
                <c:pt idx="0">
                  <c:v>523.31517955598554</c:v>
                </c:pt>
                <c:pt idx="1">
                  <c:v>514.02990616527063</c:v>
                </c:pt>
              </c:numCache>
            </c:numRef>
          </c:val>
          <c:extLst>
            <c:ext xmlns:c16="http://schemas.microsoft.com/office/drawing/2014/chart" uri="{C3380CC4-5D6E-409C-BE32-E72D297353CC}">
              <c16:uniqueId val="{00000002-D111-4E1B-ABB0-8C923C6416AE}"/>
            </c:ext>
          </c:extLst>
        </c:ser>
        <c:ser>
          <c:idx val="2"/>
          <c:order val="2"/>
          <c:tx>
            <c:strRef>
              <c:f>CH_CostStack_RES!$F$33</c:f>
              <c:strCache>
                <c:ptCount val="1"/>
                <c:pt idx="0">
                  <c:v>Retail</c:v>
                </c:pt>
              </c:strCache>
            </c:strRef>
          </c:tx>
          <c:spPr>
            <a:solidFill>
              <a:srgbClr val="D5003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CH_CostStack_RES!$F$34:$F$35</c:f>
              <c:numCache>
                <c:formatCode>"$"#,##0_);[Red]\("$"#,##0\)</c:formatCode>
                <c:ptCount val="2"/>
                <c:pt idx="0">
                  <c:v>181.37562065040649</c:v>
                </c:pt>
                <c:pt idx="1">
                  <c:v>183.65511994063746</c:v>
                </c:pt>
              </c:numCache>
            </c:numRef>
          </c:val>
          <c:extLst>
            <c:ext xmlns:c16="http://schemas.microsoft.com/office/drawing/2014/chart" uri="{C3380CC4-5D6E-409C-BE32-E72D297353CC}">
              <c16:uniqueId val="{00000003-D111-4E1B-ABB0-8C923C6416AE}"/>
            </c:ext>
          </c:extLst>
        </c:ser>
        <c:ser>
          <c:idx val="3"/>
          <c:order val="3"/>
          <c:tx>
            <c:strRef>
              <c:f>CH_CostStack_RES!$G$33</c:f>
              <c:strCache>
                <c:ptCount val="1"/>
                <c:pt idx="0">
                  <c:v>Environmental</c:v>
                </c:pt>
              </c:strCache>
            </c:strRef>
          </c:tx>
          <c:spPr>
            <a:solidFill>
              <a:srgbClr val="4986A0"/>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CH_CostStack_RES!$G$34:$G$35</c:f>
              <c:numCache>
                <c:formatCode>"$"#,##0_);[Red]\("$"#,##0\)</c:formatCode>
                <c:ptCount val="2"/>
                <c:pt idx="0">
                  <c:v>138.33283035239262</c:v>
                </c:pt>
                <c:pt idx="1">
                  <c:v>141.07003381698956</c:v>
                </c:pt>
              </c:numCache>
            </c:numRef>
          </c:val>
          <c:extLst>
            <c:ext xmlns:c16="http://schemas.microsoft.com/office/drawing/2014/chart" uri="{C3380CC4-5D6E-409C-BE32-E72D297353CC}">
              <c16:uniqueId val="{00000004-D111-4E1B-ABB0-8C923C6416AE}"/>
            </c:ext>
          </c:extLst>
        </c:ser>
        <c:ser>
          <c:idx val="5"/>
          <c:order val="4"/>
          <c:tx>
            <c:strRef>
              <c:f>CH_CostStack_RES!$I$33</c:f>
              <c:strCache>
                <c:ptCount val="1"/>
                <c:pt idx="0">
                  <c:v>Retail margin</c:v>
                </c:pt>
              </c:strCache>
            </c:strRef>
          </c:tx>
          <c:spPr>
            <a:solidFill>
              <a:srgbClr val="ED8B00">
                <a:alpha val="74902"/>
              </a:srgb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CH_CostStack_RES!$I$34:$I$35</c:f>
              <c:numCache>
                <c:formatCode>"$"#,##0_);[Red]\("$"#,##0\)</c:formatCode>
                <c:ptCount val="2"/>
                <c:pt idx="0">
                  <c:v>68.154132580602891</c:v>
                </c:pt>
                <c:pt idx="1">
                  <c:v>70.28357590345523</c:v>
                </c:pt>
              </c:numCache>
            </c:numRef>
          </c:val>
          <c:extLst>
            <c:ext xmlns:c16="http://schemas.microsoft.com/office/drawing/2014/chart" uri="{C3380CC4-5D6E-409C-BE32-E72D297353CC}">
              <c16:uniqueId val="{00000006-D111-4E1B-ABB0-8C923C6416AE}"/>
            </c:ext>
          </c:extLst>
        </c:ser>
        <c:ser>
          <c:idx val="6"/>
          <c:order val="5"/>
          <c:tx>
            <c:strRef>
              <c:f>CH_CostStack_RES!$J$33</c:f>
              <c:strCache>
                <c:ptCount val="1"/>
                <c:pt idx="0">
                  <c:v>GST</c:v>
                </c:pt>
              </c:strCache>
            </c:strRef>
          </c:tx>
          <c:spPr>
            <a:solidFill>
              <a:srgbClr val="7F7F7F">
                <a:alpha val="25000"/>
              </a:srgb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CH_CostStack_RES!$J$34:$J$35</c:f>
              <c:numCache>
                <c:formatCode>"$"#,##0_);[Red]\("$"#,##0\)</c:formatCode>
                <c:ptCount val="2"/>
                <c:pt idx="0">
                  <c:v>119.65338110674058</c:v>
                </c:pt>
                <c:pt idx="1">
                  <c:v>123.39189385434425</c:v>
                </c:pt>
              </c:numCache>
            </c:numRef>
          </c:val>
          <c:extLst>
            <c:ext xmlns:c16="http://schemas.microsoft.com/office/drawing/2014/chart" uri="{C3380CC4-5D6E-409C-BE32-E72D297353CC}">
              <c16:uniqueId val="{00000007-D111-4E1B-ABB0-8C923C6416AE}"/>
            </c:ext>
          </c:extLst>
        </c:ser>
        <c:ser>
          <c:idx val="4"/>
          <c:order val="6"/>
          <c:tx>
            <c:strRef>
              <c:f>CH_CostStack_RES!$H$33</c:f>
              <c:strCache>
                <c:ptCount val="1"/>
                <c:pt idx="0">
                  <c:v>Other</c:v>
                </c:pt>
              </c:strCache>
            </c:strRef>
          </c:tx>
          <c:spPr>
            <a:solidFill>
              <a:srgbClr val="7F7F7F"/>
            </a:solidFill>
            <a:ln>
              <a:solidFill>
                <a:schemeClr val="bg1"/>
              </a:solidFill>
            </a:ln>
            <a:effectLst/>
          </c:spPr>
          <c:invertIfNegative val="0"/>
          <c:dLbls>
            <c:dLbl>
              <c:idx val="0"/>
              <c:layout>
                <c:manualLayout>
                  <c:x val="0.1130236777960833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111-4E1B-ABB0-8C923C6416AE}"/>
                </c:ext>
              </c:extLst>
            </c:dLbl>
            <c:dLbl>
              <c:idx val="1"/>
              <c:layout>
                <c:manualLayout>
                  <c:x val="0.1223132951491861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111-4E1B-ABB0-8C923C6416A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CH_CostStack_RES!$H$34:$H$35</c:f>
              <c:numCache>
                <c:formatCode>"$"#,##0_);[Red]\("$"#,##0\)</c:formatCode>
                <c:ptCount val="2"/>
                <c:pt idx="0">
                  <c:v>7.8241710885950742</c:v>
                </c:pt>
                <c:pt idx="1">
                  <c:v>8.031762355574493</c:v>
                </c:pt>
              </c:numCache>
            </c:numRef>
          </c:val>
          <c:extLst>
            <c:ext xmlns:c16="http://schemas.microsoft.com/office/drawing/2014/chart" uri="{C3380CC4-5D6E-409C-BE32-E72D297353CC}">
              <c16:uniqueId val="{00000005-D111-4E1B-ABB0-8C923C6416AE}"/>
            </c:ext>
          </c:extLst>
        </c:ser>
        <c:dLbls>
          <c:showLegendKey val="0"/>
          <c:showVal val="0"/>
          <c:showCatName val="0"/>
          <c:showSerName val="0"/>
          <c:showPercent val="0"/>
          <c:showBubbleSize val="0"/>
        </c:dLbls>
        <c:gapWidth val="150"/>
        <c:overlap val="100"/>
        <c:axId val="492956920"/>
        <c:axId val="492948064"/>
      </c:barChart>
      <c:lineChart>
        <c:grouping val="standard"/>
        <c:varyColors val="0"/>
        <c:ser>
          <c:idx val="7"/>
          <c:order val="7"/>
          <c:tx>
            <c:strRef>
              <c:f>CH_CostStack_RES!$K$33</c:f>
              <c:strCache>
                <c:ptCount val="1"/>
                <c:pt idx="0">
                  <c:v>Total</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23619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CH_CostStack_RES!$K$34:$K$35</c:f>
              <c:numCache>
                <c:formatCode>"$"#,##0_);[Red]\("$"#,##0\)</c:formatCode>
                <c:ptCount val="2"/>
                <c:pt idx="0">
                  <c:v>1342</c:v>
                </c:pt>
                <c:pt idx="1">
                  <c:v>1361</c:v>
                </c:pt>
              </c:numCache>
            </c:numRef>
          </c:val>
          <c:smooth val="0"/>
          <c:extLst>
            <c:ext xmlns:c16="http://schemas.microsoft.com/office/drawing/2014/chart" uri="{C3380CC4-5D6E-409C-BE32-E72D297353CC}">
              <c16:uniqueId val="{00000008-D111-4E1B-ABB0-8C923C6416AE}"/>
            </c:ext>
          </c:extLst>
        </c:ser>
        <c:dLbls>
          <c:showLegendKey val="0"/>
          <c:showVal val="0"/>
          <c:showCatName val="0"/>
          <c:showSerName val="0"/>
          <c:showPercent val="0"/>
          <c:showBubbleSize val="0"/>
        </c:dLbls>
        <c:marker val="1"/>
        <c:smooth val="0"/>
        <c:axId val="492956920"/>
        <c:axId val="492948064"/>
      </c:lineChart>
      <c:catAx>
        <c:axId val="49295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92948064"/>
        <c:crosses val="autoZero"/>
        <c:auto val="1"/>
        <c:lblAlgn val="ctr"/>
        <c:lblOffset val="100"/>
        <c:noMultiLvlLbl val="0"/>
      </c:catAx>
      <c:valAx>
        <c:axId val="49294806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92956920"/>
        <c:crosses val="autoZero"/>
        <c:crossBetween val="between"/>
      </c:valAx>
      <c:spPr>
        <a:noFill/>
        <a:ln>
          <a:noFill/>
        </a:ln>
        <a:effectLst/>
      </c:spPr>
    </c:plotArea>
    <c:legend>
      <c:legendPos val="r"/>
      <c:legendEntry>
        <c:idx val="7"/>
        <c:delete val="1"/>
      </c:legendEntry>
      <c:layout>
        <c:manualLayout>
          <c:xMode val="edge"/>
          <c:yMode val="edge"/>
          <c:x val="0.83165616322223412"/>
          <c:y val="0.16844628586674726"/>
          <c:w val="0.1528611411892612"/>
          <c:h val="0.753796058128144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'CH_Revised proposal impact'!$C$72</c:f>
          <c:strCache>
            <c:ptCount val="1"/>
            <c:pt idx="0">
              <c:v>INITIAL PROPOSALS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'CH_Revised proposal impact'!$C$72</c:f>
              <c:strCache>
                <c:ptCount val="1"/>
                <c:pt idx="0">
                  <c:v>INITIAL PROPOSALS</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929-4DBC-A7BC-071A7C714AFD}"/>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3-7003-4337-83C0-77CBB477943E}"/>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'CH_Revised proposal impact'!$D$70:$J$71</c:f>
              <c:multiLvlStrCache>
                <c:ptCount val="4"/>
                <c:lvl>
                  <c:pt idx="0">
                    <c:v>2021 VDO</c:v>
                  </c:pt>
                  <c:pt idx="1">
                    <c:v>Amended 2021 VDO</c:v>
                  </c:pt>
                  <c:pt idx="2">
                    <c:v>2021 VDO</c:v>
                  </c:pt>
                  <c:pt idx="3">
                    <c:v>Amended 2021 VDO</c:v>
                  </c:pt>
                </c:lvl>
                <c:lvl>
                  <c:pt idx="0">
                    <c:v>CITIPOWER</c:v>
                  </c:pt>
                  <c:pt idx="2">
                    <c:v>POWERCOR</c:v>
                  </c:pt>
                </c:lvl>
              </c:multiLvlStrCache>
            </c:multiLvlStrRef>
          </c:cat>
          <c:val>
            <c:numRef>
              <c:f>'CH_Revised proposal impact'!$D$72:$G$72</c:f>
              <c:numCache>
                <c:formatCode>#,##0</c:formatCode>
                <c:ptCount val="4"/>
                <c:pt idx="0">
                  <c:v>0</c:v>
                </c:pt>
                <c:pt idx="1">
                  <c:v>458.33333333333331</c:v>
                </c:pt>
                <c:pt idx="2">
                  <c:v>0</c:v>
                </c:pt>
                <c:pt idx="3">
                  <c:v>456.16666666666669</c:v>
                </c:pt>
              </c:numCache>
            </c:numRef>
          </c:val>
          <c:extLst>
            <c:ext xmlns:c16="http://schemas.microsoft.com/office/drawing/2014/chart" uri="{C3380CC4-5D6E-409C-BE32-E72D297353CC}">
              <c16:uniqueId val="{0000000C-0929-4DBC-A7BC-071A7C714AFD}"/>
            </c:ext>
          </c:extLst>
        </c:ser>
        <c:ser>
          <c:idx val="1"/>
          <c:order val="1"/>
          <c:tx>
            <c:strRef>
              <c:f>'CH_Revised proposal impact'!$C$73</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929-4DBC-A7BC-071A7C714AFD}"/>
                </c:ext>
              </c:extLst>
            </c:dLbl>
            <c:dLbl>
              <c:idx val="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E-0929-4DBC-A7BC-071A7C714AFD}"/>
                </c:ext>
              </c:extLst>
            </c:dLbl>
            <c:dLbl>
              <c:idx val="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929-4DBC-A7BC-071A7C714AFD}"/>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0-0929-4DBC-A7BC-071A7C714AFD}"/>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lumMod val="7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'CH_Revised proposal impact'!$D$70:$J$71</c:f>
              <c:multiLvlStrCache>
                <c:ptCount val="4"/>
                <c:lvl>
                  <c:pt idx="0">
                    <c:v>2021 VDO</c:v>
                  </c:pt>
                  <c:pt idx="1">
                    <c:v>Amended 2021 VDO</c:v>
                  </c:pt>
                  <c:pt idx="2">
                    <c:v>2021 VDO</c:v>
                  </c:pt>
                  <c:pt idx="3">
                    <c:v>Amended 2021 VDO</c:v>
                  </c:pt>
                </c:lvl>
                <c:lvl>
                  <c:pt idx="0">
                    <c:v>CITIPOWER</c:v>
                  </c:pt>
                  <c:pt idx="2">
                    <c:v>POWERCOR</c:v>
                  </c:pt>
                </c:lvl>
              </c:multiLvlStrCache>
            </c:multiLvlStrRef>
          </c:cat>
          <c:val>
            <c:numRef>
              <c:f>'CH_Revised proposal impact'!$D$73:$G$73</c:f>
              <c:numCache>
                <c:formatCode>0</c:formatCode>
                <c:ptCount val="4"/>
                <c:pt idx="1">
                  <c:v>0</c:v>
                </c:pt>
                <c:pt idx="3">
                  <c:v>0</c:v>
                </c:pt>
              </c:numCache>
            </c:numRef>
          </c:val>
          <c:extLst>
            <c:ext xmlns:c15="http://schemas.microsoft.com/office/drawing/2012/chart" uri="{02D57815-91ED-43cb-92C2-25804820EDAC}">
              <c15:datalabelsRange>
                <c15:f>'CH_Revised proposal impact'!$D$74:$G$74</c15:f>
                <c15:dlblRangeCache>
                  <c:ptCount val="4"/>
                  <c:pt idx="1">
                    <c:v>#REF!</c:v>
                  </c:pt>
                  <c:pt idx="3">
                    <c:v>#REF!</c:v>
                  </c:pt>
                </c15:dlblRangeCache>
              </c15:datalabelsRange>
            </c:ext>
            <c:ext xmlns:c16="http://schemas.microsoft.com/office/drawing/2014/chart" uri="{C3380CC4-5D6E-409C-BE32-E72D297353CC}">
              <c16:uniqueId val="{00000024-0929-4DBC-A7BC-071A7C714AFD}"/>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max val="500"/>
          <c:min val="300"/>
        </c:scaling>
        <c:delete val="1"/>
        <c:axPos val="l"/>
        <c:numFmt formatCode="#,##0" sourceLinked="1"/>
        <c:majorTickMark val="out"/>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'CH_Revised proposal impact'!$C$75</c:f>
          <c:strCache>
            <c:ptCount val="1"/>
            <c:pt idx="0">
              <c:v>REVISED PROPOSALS</c:v>
            </c:pt>
          </c:strCache>
        </c:strRef>
      </c:tx>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'CH_Revised proposal impact'!$C$75</c:f>
              <c:strCache>
                <c:ptCount val="1"/>
                <c:pt idx="0">
                  <c:v>REVISED PROPOSALS</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0AB-44FB-8C96-6419CE105EAF}"/>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3-08F6-45F9-83F1-448130D74714}"/>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'CH_Revised proposal impact'!$D$70:$J$71</c:f>
              <c:multiLvlStrCache>
                <c:ptCount val="4"/>
                <c:lvl>
                  <c:pt idx="0">
                    <c:v>2021 VDO</c:v>
                  </c:pt>
                  <c:pt idx="1">
                    <c:v>Amended 2021 VDO</c:v>
                  </c:pt>
                  <c:pt idx="2">
                    <c:v>2021 VDO</c:v>
                  </c:pt>
                  <c:pt idx="3">
                    <c:v>Amended 2021 VDO</c:v>
                  </c:pt>
                </c:lvl>
                <c:lvl>
                  <c:pt idx="0">
                    <c:v>CITIPOWER</c:v>
                  </c:pt>
                  <c:pt idx="2">
                    <c:v>POWERCOR</c:v>
                  </c:pt>
                </c:lvl>
              </c:multiLvlStrCache>
            </c:multiLvlStrRef>
          </c:cat>
          <c:val>
            <c:numRef>
              <c:f>'CH_Revised proposal impact'!$D$75:$G$75</c:f>
              <c:numCache>
                <c:formatCode>#,##0</c:formatCode>
                <c:ptCount val="4"/>
                <c:pt idx="0">
                  <c:v>0</c:v>
                </c:pt>
                <c:pt idx="1">
                  <c:v>0</c:v>
                </c:pt>
                <c:pt idx="2">
                  <c:v>0</c:v>
                </c:pt>
                <c:pt idx="3">
                  <c:v>0</c:v>
                </c:pt>
              </c:numCache>
            </c:numRef>
          </c:val>
          <c:extLst>
            <c:ext xmlns:c16="http://schemas.microsoft.com/office/drawing/2014/chart" uri="{C3380CC4-5D6E-409C-BE32-E72D297353CC}">
              <c16:uniqueId val="{0000000C-90AB-44FB-8C96-6419CE105EAF}"/>
            </c:ext>
          </c:extLst>
        </c:ser>
        <c:ser>
          <c:idx val="1"/>
          <c:order val="1"/>
          <c:tx>
            <c:strRef>
              <c:f>'CH_Revised proposal impact'!$C$76</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0AB-44FB-8C96-6419CE105EAF}"/>
                </c:ext>
              </c:extLst>
            </c:dLbl>
            <c:dLbl>
              <c:idx val="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E-90AB-44FB-8C96-6419CE105EAF}"/>
                </c:ext>
              </c:extLst>
            </c:dLbl>
            <c:dLbl>
              <c:idx val="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0AB-44FB-8C96-6419CE105EAF}"/>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0-90AB-44FB-8C96-6419CE105EA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lumMod val="7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'CH_Revised proposal impact'!$D$70:$J$71</c:f>
              <c:multiLvlStrCache>
                <c:ptCount val="4"/>
                <c:lvl>
                  <c:pt idx="0">
                    <c:v>2021 VDO</c:v>
                  </c:pt>
                  <c:pt idx="1">
                    <c:v>Amended 2021 VDO</c:v>
                  </c:pt>
                  <c:pt idx="2">
                    <c:v>2021 VDO</c:v>
                  </c:pt>
                  <c:pt idx="3">
                    <c:v>Amended 2021 VDO</c:v>
                  </c:pt>
                </c:lvl>
                <c:lvl>
                  <c:pt idx="0">
                    <c:v>CITIPOWER</c:v>
                  </c:pt>
                  <c:pt idx="2">
                    <c:v>POWERCOR</c:v>
                  </c:pt>
                </c:lvl>
              </c:multiLvlStrCache>
            </c:multiLvlStrRef>
          </c:cat>
          <c:val>
            <c:numRef>
              <c:f>'CH_Revised proposal impact'!$D$76:$G$76</c:f>
              <c:numCache>
                <c:formatCode>0</c:formatCode>
                <c:ptCount val="4"/>
                <c:pt idx="1">
                  <c:v>0</c:v>
                </c:pt>
                <c:pt idx="3">
                  <c:v>0</c:v>
                </c:pt>
              </c:numCache>
            </c:numRef>
          </c:val>
          <c:extLst>
            <c:ext xmlns:c15="http://schemas.microsoft.com/office/drawing/2012/chart" uri="{02D57815-91ED-43cb-92C2-25804820EDAC}">
              <c15:datalabelsRange>
                <c15:f>'CH_Revised proposal impact'!$D$77:$G$77</c15:f>
                <c15:dlblRangeCache>
                  <c:ptCount val="4"/>
                  <c:pt idx="1">
                    <c:v>#REF!</c:v>
                  </c:pt>
                  <c:pt idx="3">
                    <c:v>#REF!</c:v>
                  </c:pt>
                </c15:dlblRangeCache>
              </c15:datalabelsRange>
            </c:ext>
            <c:ext xmlns:c16="http://schemas.microsoft.com/office/drawing/2014/chart" uri="{C3380CC4-5D6E-409C-BE32-E72D297353CC}">
              <c16:uniqueId val="{00000024-90AB-44FB-8C96-6419CE105EAF}"/>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max val="500"/>
          <c:min val="300"/>
        </c:scaling>
        <c:delete val="1"/>
        <c:axPos val="l"/>
        <c:numFmt formatCode="#,##0" sourceLinked="1"/>
        <c:majorTickMark val="out"/>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'CH_CY bills 2020 vs 2021'!$C$156</c:f>
          <c:strCache>
            <c:ptCount val="1"/>
            <c:pt idx="0">
              <c:v>Residential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'CH_CY bills 2020 vs 2021'!$D$156</c:f>
              <c:strCache>
                <c:ptCount val="1"/>
                <c:pt idx="0">
                  <c:v>Annual VDO</c:v>
                </c:pt>
              </c:strCache>
            </c:strRef>
          </c:tx>
          <c:spPr>
            <a:solidFill>
              <a:schemeClr val="accent1"/>
            </a:solidFill>
            <a:ln>
              <a:noFill/>
            </a:ln>
            <a:effectLst/>
          </c:spPr>
          <c:invertIfNegative val="0"/>
          <c:dLbls>
            <c:delete val="1"/>
          </c:dLbls>
          <c:cat>
            <c:multiLvlStrRef>
              <c:f>'CH_CY bills 2020 vs 2021'!$E$154:$AA$155</c:f>
              <c:multiLvlStrCache>
                <c:ptCount val="23"/>
                <c:lvl>
                  <c:pt idx="0">
                    <c:v>VDO 2020</c:v>
                  </c:pt>
                  <c:pt idx="1">
                    <c:v>VDO 2021</c:v>
                  </c:pt>
                  <c:pt idx="2">
                    <c:v>Blended VDO 2021</c:v>
                  </c:pt>
                  <c:pt idx="4">
                    <c:v>VDO 2020</c:v>
                  </c:pt>
                  <c:pt idx="5">
                    <c:v>VDO 2021</c:v>
                  </c:pt>
                  <c:pt idx="6">
                    <c:v>Blended VDO 2021</c:v>
                  </c:pt>
                  <c:pt idx="8">
                    <c:v>VDO 2020</c:v>
                  </c:pt>
                  <c:pt idx="9">
                    <c:v>VDO 2021</c:v>
                  </c:pt>
                  <c:pt idx="10">
                    <c:v>Blended VDO 2021</c:v>
                  </c:pt>
                  <c:pt idx="12">
                    <c:v>VDO 2020</c:v>
                  </c:pt>
                  <c:pt idx="13">
                    <c:v>VDO 2021</c:v>
                  </c:pt>
                  <c:pt idx="14">
                    <c:v>Blended VDO 2021</c:v>
                  </c:pt>
                  <c:pt idx="16">
                    <c:v>VDO 2020</c:v>
                  </c:pt>
                  <c:pt idx="17">
                    <c:v>VDO 2021</c:v>
                  </c:pt>
                  <c:pt idx="18">
                    <c:v>Blended VDO 2021</c:v>
                  </c:pt>
                  <c:pt idx="20">
                    <c:v>VDO 2020</c:v>
                  </c:pt>
                  <c:pt idx="21">
                    <c:v>VDO 2021</c:v>
                  </c:pt>
                  <c:pt idx="22">
                    <c:v>Blended VDO 2021</c:v>
                  </c:pt>
                </c:lvl>
                <c:lvl>
                  <c:pt idx="0">
                    <c:v>AusNet</c:v>
                  </c:pt>
                  <c:pt idx="4">
                    <c:v>Citipower</c:v>
                  </c:pt>
                  <c:pt idx="8">
                    <c:v>Jemena</c:v>
                  </c:pt>
                  <c:pt idx="12">
                    <c:v>Powercor</c:v>
                  </c:pt>
                  <c:pt idx="16">
                    <c:v>United</c:v>
                  </c:pt>
                  <c:pt idx="20">
                    <c:v>Victoria</c:v>
                  </c:pt>
                </c:lvl>
              </c:multiLvlStrCache>
            </c:multiLvlStrRef>
          </c:cat>
          <c:val>
            <c:numRef>
              <c:f>'CH_CY bills 2020 vs 2021'!$E$156:$AA$156</c:f>
              <c:numCache>
                <c:formatCode>#,##0</c:formatCode>
                <c:ptCount val="23"/>
                <c:pt idx="0">
                  <c:v>1646</c:v>
                </c:pt>
                <c:pt idx="1">
                  <c:v>0</c:v>
                </c:pt>
                <c:pt idx="4">
                  <c:v>1420</c:v>
                </c:pt>
                <c:pt idx="5">
                  <c:v>0</c:v>
                </c:pt>
                <c:pt idx="8">
                  <c:v>1496</c:v>
                </c:pt>
                <c:pt idx="9">
                  <c:v>0</c:v>
                </c:pt>
                <c:pt idx="12">
                  <c:v>1517</c:v>
                </c:pt>
                <c:pt idx="13">
                  <c:v>0</c:v>
                </c:pt>
                <c:pt idx="16">
                  <c:v>1508</c:v>
                </c:pt>
                <c:pt idx="17">
                  <c:v>0</c:v>
                </c:pt>
                <c:pt idx="20">
                  <c:v>1517.4</c:v>
                </c:pt>
                <c:pt idx="21">
                  <c:v>0</c:v>
                </c:pt>
              </c:numCache>
            </c:numRef>
          </c:val>
          <c:extLst>
            <c:ext xmlns:c16="http://schemas.microsoft.com/office/drawing/2014/chart" uri="{C3380CC4-5D6E-409C-BE32-E72D297353CC}">
              <c16:uniqueId val="{00000000-D909-4735-A946-B5069657FABC}"/>
            </c:ext>
          </c:extLst>
        </c:ser>
        <c:ser>
          <c:idx val="1"/>
          <c:order val="1"/>
          <c:tx>
            <c:strRef>
              <c:f>'CH_CY bills 2020 vs 2021'!$D$157</c:f>
              <c:strCache>
                <c:ptCount val="1"/>
                <c:pt idx="0">
                  <c:v>8 month VDO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'CH_CY bills 2020 vs 2021'!$E$154:$AA$155</c:f>
              <c:multiLvlStrCache>
                <c:ptCount val="23"/>
                <c:lvl>
                  <c:pt idx="0">
                    <c:v>VDO 2020</c:v>
                  </c:pt>
                  <c:pt idx="1">
                    <c:v>VDO 2021</c:v>
                  </c:pt>
                  <c:pt idx="2">
                    <c:v>Blended VDO 2021</c:v>
                  </c:pt>
                  <c:pt idx="4">
                    <c:v>VDO 2020</c:v>
                  </c:pt>
                  <c:pt idx="5">
                    <c:v>VDO 2021</c:v>
                  </c:pt>
                  <c:pt idx="6">
                    <c:v>Blended VDO 2021</c:v>
                  </c:pt>
                  <c:pt idx="8">
                    <c:v>VDO 2020</c:v>
                  </c:pt>
                  <c:pt idx="9">
                    <c:v>VDO 2021</c:v>
                  </c:pt>
                  <c:pt idx="10">
                    <c:v>Blended VDO 2021</c:v>
                  </c:pt>
                  <c:pt idx="12">
                    <c:v>VDO 2020</c:v>
                  </c:pt>
                  <c:pt idx="13">
                    <c:v>VDO 2021</c:v>
                  </c:pt>
                  <c:pt idx="14">
                    <c:v>Blended VDO 2021</c:v>
                  </c:pt>
                  <c:pt idx="16">
                    <c:v>VDO 2020</c:v>
                  </c:pt>
                  <c:pt idx="17">
                    <c:v>VDO 2021</c:v>
                  </c:pt>
                  <c:pt idx="18">
                    <c:v>Blended VDO 2021</c:v>
                  </c:pt>
                  <c:pt idx="20">
                    <c:v>VDO 2020</c:v>
                  </c:pt>
                  <c:pt idx="21">
                    <c:v>VDO 2021</c:v>
                  </c:pt>
                  <c:pt idx="22">
                    <c:v>Blended VDO 2021</c:v>
                  </c:pt>
                </c:lvl>
                <c:lvl>
                  <c:pt idx="0">
                    <c:v>AusNet</c:v>
                  </c:pt>
                  <c:pt idx="4">
                    <c:v>Citipower</c:v>
                  </c:pt>
                  <c:pt idx="8">
                    <c:v>Jemena</c:v>
                  </c:pt>
                  <c:pt idx="12">
                    <c:v>Powercor</c:v>
                  </c:pt>
                  <c:pt idx="16">
                    <c:v>United</c:v>
                  </c:pt>
                  <c:pt idx="20">
                    <c:v>Victoria</c:v>
                  </c:pt>
                </c:lvl>
              </c:multiLvlStrCache>
            </c:multiLvlStrRef>
          </c:cat>
          <c:val>
            <c:numRef>
              <c:f>'CH_CY bills 2020 vs 2021'!$E$157:$AA$157</c:f>
              <c:numCache>
                <c:formatCode>#,##0</c:formatCode>
                <c:ptCount val="23"/>
                <c:pt idx="2">
                  <c:v>0</c:v>
                </c:pt>
                <c:pt idx="6">
                  <c:v>0</c:v>
                </c:pt>
                <c:pt idx="10">
                  <c:v>0</c:v>
                </c:pt>
                <c:pt idx="14">
                  <c:v>0</c:v>
                </c:pt>
                <c:pt idx="18">
                  <c:v>0</c:v>
                </c:pt>
                <c:pt idx="22">
                  <c:v>0</c:v>
                </c:pt>
              </c:numCache>
            </c:numRef>
          </c:val>
          <c:extLst>
            <c:ext xmlns:c16="http://schemas.microsoft.com/office/drawing/2014/chart" uri="{C3380CC4-5D6E-409C-BE32-E72D297353CC}">
              <c16:uniqueId val="{00000001-D909-4735-A946-B5069657FABC}"/>
            </c:ext>
          </c:extLst>
        </c:ser>
        <c:ser>
          <c:idx val="2"/>
          <c:order val="2"/>
          <c:tx>
            <c:strRef>
              <c:f>'CH_CY bills 2020 vs 2021'!$D$158</c:f>
              <c:strCache>
                <c:ptCount val="1"/>
                <c:pt idx="0">
                  <c:v>4 month VDO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'CH_CY bills 2020 vs 2021'!$E$154:$AA$155</c:f>
              <c:multiLvlStrCache>
                <c:ptCount val="23"/>
                <c:lvl>
                  <c:pt idx="0">
                    <c:v>VDO 2020</c:v>
                  </c:pt>
                  <c:pt idx="1">
                    <c:v>VDO 2021</c:v>
                  </c:pt>
                  <c:pt idx="2">
                    <c:v>Blended VDO 2021</c:v>
                  </c:pt>
                  <c:pt idx="4">
                    <c:v>VDO 2020</c:v>
                  </c:pt>
                  <c:pt idx="5">
                    <c:v>VDO 2021</c:v>
                  </c:pt>
                  <c:pt idx="6">
                    <c:v>Blended VDO 2021</c:v>
                  </c:pt>
                  <c:pt idx="8">
                    <c:v>VDO 2020</c:v>
                  </c:pt>
                  <c:pt idx="9">
                    <c:v>VDO 2021</c:v>
                  </c:pt>
                  <c:pt idx="10">
                    <c:v>Blended VDO 2021</c:v>
                  </c:pt>
                  <c:pt idx="12">
                    <c:v>VDO 2020</c:v>
                  </c:pt>
                  <c:pt idx="13">
                    <c:v>VDO 2021</c:v>
                  </c:pt>
                  <c:pt idx="14">
                    <c:v>Blended VDO 2021</c:v>
                  </c:pt>
                  <c:pt idx="16">
                    <c:v>VDO 2020</c:v>
                  </c:pt>
                  <c:pt idx="17">
                    <c:v>VDO 2021</c:v>
                  </c:pt>
                  <c:pt idx="18">
                    <c:v>Blended VDO 2021</c:v>
                  </c:pt>
                  <c:pt idx="20">
                    <c:v>VDO 2020</c:v>
                  </c:pt>
                  <c:pt idx="21">
                    <c:v>VDO 2021</c:v>
                  </c:pt>
                  <c:pt idx="22">
                    <c:v>Blended VDO 2021</c:v>
                  </c:pt>
                </c:lvl>
                <c:lvl>
                  <c:pt idx="0">
                    <c:v>AusNet</c:v>
                  </c:pt>
                  <c:pt idx="4">
                    <c:v>Citipower</c:v>
                  </c:pt>
                  <c:pt idx="8">
                    <c:v>Jemena</c:v>
                  </c:pt>
                  <c:pt idx="12">
                    <c:v>Powercor</c:v>
                  </c:pt>
                  <c:pt idx="16">
                    <c:v>United</c:v>
                  </c:pt>
                  <c:pt idx="20">
                    <c:v>Victoria</c:v>
                  </c:pt>
                </c:lvl>
              </c:multiLvlStrCache>
            </c:multiLvlStrRef>
          </c:cat>
          <c:val>
            <c:numRef>
              <c:f>'CH_CY bills 2020 vs 2021'!$E$158:$AA$158</c:f>
              <c:numCache>
                <c:formatCode>#,##0</c:formatCode>
                <c:ptCount val="23"/>
                <c:pt idx="2">
                  <c:v>0</c:v>
                </c:pt>
                <c:pt idx="6">
                  <c:v>0</c:v>
                </c:pt>
                <c:pt idx="10">
                  <c:v>0</c:v>
                </c:pt>
                <c:pt idx="14">
                  <c:v>0</c:v>
                </c:pt>
                <c:pt idx="18">
                  <c:v>0</c:v>
                </c:pt>
                <c:pt idx="22">
                  <c:v>0</c:v>
                </c:pt>
              </c:numCache>
            </c:numRef>
          </c:val>
          <c:extLst>
            <c:ext xmlns:c16="http://schemas.microsoft.com/office/drawing/2014/chart" uri="{C3380CC4-5D6E-409C-BE32-E72D297353CC}">
              <c16:uniqueId val="{00000002-D909-4735-A946-B5069657FABC}"/>
            </c:ext>
          </c:extLst>
        </c:ser>
        <c:ser>
          <c:idx val="3"/>
          <c:order val="3"/>
          <c:tx>
            <c:strRef>
              <c:f>'CH_CY bills 2020 vs 2021'!$D$159</c:f>
              <c:strCache>
                <c:ptCount val="1"/>
                <c:pt idx="0">
                  <c:v>True up</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'CH_CY bills 2020 vs 2021'!$E$154:$AA$155</c:f>
              <c:multiLvlStrCache>
                <c:ptCount val="23"/>
                <c:lvl>
                  <c:pt idx="0">
                    <c:v>VDO 2020</c:v>
                  </c:pt>
                  <c:pt idx="1">
                    <c:v>VDO 2021</c:v>
                  </c:pt>
                  <c:pt idx="2">
                    <c:v>Blended VDO 2021</c:v>
                  </c:pt>
                  <c:pt idx="4">
                    <c:v>VDO 2020</c:v>
                  </c:pt>
                  <c:pt idx="5">
                    <c:v>VDO 2021</c:v>
                  </c:pt>
                  <c:pt idx="6">
                    <c:v>Blended VDO 2021</c:v>
                  </c:pt>
                  <c:pt idx="8">
                    <c:v>VDO 2020</c:v>
                  </c:pt>
                  <c:pt idx="9">
                    <c:v>VDO 2021</c:v>
                  </c:pt>
                  <c:pt idx="10">
                    <c:v>Blended VDO 2021</c:v>
                  </c:pt>
                  <c:pt idx="12">
                    <c:v>VDO 2020</c:v>
                  </c:pt>
                  <c:pt idx="13">
                    <c:v>VDO 2021</c:v>
                  </c:pt>
                  <c:pt idx="14">
                    <c:v>Blended VDO 2021</c:v>
                  </c:pt>
                  <c:pt idx="16">
                    <c:v>VDO 2020</c:v>
                  </c:pt>
                  <c:pt idx="17">
                    <c:v>VDO 2021</c:v>
                  </c:pt>
                  <c:pt idx="18">
                    <c:v>Blended VDO 2021</c:v>
                  </c:pt>
                  <c:pt idx="20">
                    <c:v>VDO 2020</c:v>
                  </c:pt>
                  <c:pt idx="21">
                    <c:v>VDO 2021</c:v>
                  </c:pt>
                  <c:pt idx="22">
                    <c:v>Blended VDO 2021</c:v>
                  </c:pt>
                </c:lvl>
                <c:lvl>
                  <c:pt idx="0">
                    <c:v>AusNet</c:v>
                  </c:pt>
                  <c:pt idx="4">
                    <c:v>Citipower</c:v>
                  </c:pt>
                  <c:pt idx="8">
                    <c:v>Jemena</c:v>
                  </c:pt>
                  <c:pt idx="12">
                    <c:v>Powercor</c:v>
                  </c:pt>
                  <c:pt idx="16">
                    <c:v>United</c:v>
                  </c:pt>
                  <c:pt idx="20">
                    <c:v>Victoria</c:v>
                  </c:pt>
                </c:lvl>
              </c:multiLvlStrCache>
            </c:multiLvlStrRef>
          </c:cat>
          <c:val>
            <c:numRef>
              <c:f>'CH_CY bills 2020 vs 2021'!$E$159:$AA$159</c:f>
              <c:numCache>
                <c:formatCode>#,##0</c:formatCode>
                <c:ptCount val="23"/>
                <c:pt idx="2">
                  <c:v>0</c:v>
                </c:pt>
                <c:pt idx="6">
                  <c:v>0</c:v>
                </c:pt>
                <c:pt idx="10">
                  <c:v>0</c:v>
                </c:pt>
                <c:pt idx="14">
                  <c:v>0</c:v>
                </c:pt>
                <c:pt idx="18">
                  <c:v>0</c:v>
                </c:pt>
                <c:pt idx="22">
                  <c:v>0</c:v>
                </c:pt>
              </c:numCache>
            </c:numRef>
          </c:val>
          <c:extLst>
            <c:ext xmlns:c16="http://schemas.microsoft.com/office/drawing/2014/chart" uri="{C3380CC4-5D6E-409C-BE32-E72D297353CC}">
              <c16:uniqueId val="{00000001-A716-4AD1-A810-10B358B83E84}"/>
            </c:ext>
          </c:extLst>
        </c:ser>
        <c:ser>
          <c:idx val="4"/>
          <c:order val="4"/>
          <c:tx>
            <c:strRef>
              <c:f>'CH_CY bills 2020 vs 2021'!$D$160</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'CH_CY bills 2020 vs 2021'!$E$154:$AA$155</c:f>
              <c:multiLvlStrCache>
                <c:ptCount val="23"/>
                <c:lvl>
                  <c:pt idx="0">
                    <c:v>VDO 2020</c:v>
                  </c:pt>
                  <c:pt idx="1">
                    <c:v>VDO 2021</c:v>
                  </c:pt>
                  <c:pt idx="2">
                    <c:v>Blended VDO 2021</c:v>
                  </c:pt>
                  <c:pt idx="4">
                    <c:v>VDO 2020</c:v>
                  </c:pt>
                  <c:pt idx="5">
                    <c:v>VDO 2021</c:v>
                  </c:pt>
                  <c:pt idx="6">
                    <c:v>Blended VDO 2021</c:v>
                  </c:pt>
                  <c:pt idx="8">
                    <c:v>VDO 2020</c:v>
                  </c:pt>
                  <c:pt idx="9">
                    <c:v>VDO 2021</c:v>
                  </c:pt>
                  <c:pt idx="10">
                    <c:v>Blended VDO 2021</c:v>
                  </c:pt>
                  <c:pt idx="12">
                    <c:v>VDO 2020</c:v>
                  </c:pt>
                  <c:pt idx="13">
                    <c:v>VDO 2021</c:v>
                  </c:pt>
                  <c:pt idx="14">
                    <c:v>Blended VDO 2021</c:v>
                  </c:pt>
                  <c:pt idx="16">
                    <c:v>VDO 2020</c:v>
                  </c:pt>
                  <c:pt idx="17">
                    <c:v>VDO 2021</c:v>
                  </c:pt>
                  <c:pt idx="18">
                    <c:v>Blended VDO 2021</c:v>
                  </c:pt>
                  <c:pt idx="20">
                    <c:v>VDO 2020</c:v>
                  </c:pt>
                  <c:pt idx="21">
                    <c:v>VDO 2021</c:v>
                  </c:pt>
                  <c:pt idx="22">
                    <c:v>Blended VDO 2021</c:v>
                  </c:pt>
                </c:lvl>
                <c:lvl>
                  <c:pt idx="0">
                    <c:v>AusNet</c:v>
                  </c:pt>
                  <c:pt idx="4">
                    <c:v>Citipower</c:v>
                  </c:pt>
                  <c:pt idx="8">
                    <c:v>Jemena</c:v>
                  </c:pt>
                  <c:pt idx="12">
                    <c:v>Powercor</c:v>
                  </c:pt>
                  <c:pt idx="16">
                    <c:v>United</c:v>
                  </c:pt>
                  <c:pt idx="20">
                    <c:v>Victoria</c:v>
                  </c:pt>
                </c:lvl>
              </c:multiLvlStrCache>
            </c:multiLvlStrRef>
          </c:cat>
          <c:val>
            <c:numRef>
              <c:f>'CH_CY bills 2020 vs 2021'!$E$160:$AA$160</c:f>
              <c:numCache>
                <c:formatCode>#,##0</c:formatCode>
                <c:ptCount val="23"/>
                <c:pt idx="0">
                  <c:v>1646</c:v>
                </c:pt>
                <c:pt idx="1">
                  <c:v>0</c:v>
                </c:pt>
                <c:pt idx="2">
                  <c:v>0</c:v>
                </c:pt>
                <c:pt idx="4">
                  <c:v>1420</c:v>
                </c:pt>
                <c:pt idx="5">
                  <c:v>0</c:v>
                </c:pt>
                <c:pt idx="6">
                  <c:v>0</c:v>
                </c:pt>
                <c:pt idx="8">
                  <c:v>1496</c:v>
                </c:pt>
                <c:pt idx="9">
                  <c:v>0</c:v>
                </c:pt>
                <c:pt idx="10">
                  <c:v>0</c:v>
                </c:pt>
                <c:pt idx="12">
                  <c:v>1517</c:v>
                </c:pt>
                <c:pt idx="13">
                  <c:v>0</c:v>
                </c:pt>
                <c:pt idx="14">
                  <c:v>0</c:v>
                </c:pt>
                <c:pt idx="16">
                  <c:v>1508</c:v>
                </c:pt>
                <c:pt idx="17">
                  <c:v>0</c:v>
                </c:pt>
                <c:pt idx="18">
                  <c:v>0</c:v>
                </c:pt>
                <c:pt idx="20">
                  <c:v>1517.4</c:v>
                </c:pt>
                <c:pt idx="21">
                  <c:v>0</c:v>
                </c:pt>
                <c:pt idx="22">
                  <c:v>0</c:v>
                </c:pt>
              </c:numCache>
            </c:numRef>
          </c:val>
          <c:extLst>
            <c:ext xmlns:c16="http://schemas.microsoft.com/office/drawing/2014/chart" uri="{C3380CC4-5D6E-409C-BE32-E72D297353CC}">
              <c16:uniqueId val="{00000002-A716-4AD1-A810-10B358B83E84}"/>
            </c:ext>
          </c:extLst>
        </c:ser>
        <c:dLbls>
          <c:dLblPos val="ctr"/>
          <c:showLegendKey val="0"/>
          <c:showVal val="1"/>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max val="2000"/>
        </c:scaling>
        <c:delete val="1"/>
        <c:axPos val="l"/>
        <c:numFmt formatCode="#,##0" sourceLinked="1"/>
        <c:majorTickMark val="out"/>
        <c:minorTickMark val="none"/>
        <c:tickLblPos val="nextTo"/>
        <c:crossAx val="702817144"/>
        <c:crosses val="autoZero"/>
        <c:crossBetween val="between"/>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'CH_CY bills 2020 vs 2021'!$C$161</c:f>
          <c:strCache>
            <c:ptCount val="1"/>
            <c:pt idx="0">
              <c:v>Small business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'CH_CY bills 2020 vs 2021'!$D$161</c:f>
              <c:strCache>
                <c:ptCount val="1"/>
                <c:pt idx="0">
                  <c:v>Annual VDO</c:v>
                </c:pt>
              </c:strCache>
            </c:strRef>
          </c:tx>
          <c:spPr>
            <a:solidFill>
              <a:schemeClr val="accent1"/>
            </a:solidFill>
            <a:ln>
              <a:noFill/>
            </a:ln>
            <a:effectLst/>
          </c:spPr>
          <c:invertIfNegative val="0"/>
          <c:dLbls>
            <c:delete val="1"/>
          </c:dLbls>
          <c:cat>
            <c:multiLvlStrRef>
              <c:f>'CH_CY bills 2020 vs 2021'!$E$154:$AA$155</c:f>
              <c:multiLvlStrCache>
                <c:ptCount val="23"/>
                <c:lvl>
                  <c:pt idx="0">
                    <c:v>VDO 2020</c:v>
                  </c:pt>
                  <c:pt idx="1">
                    <c:v>VDO 2021</c:v>
                  </c:pt>
                  <c:pt idx="2">
                    <c:v>Blended VDO 2021</c:v>
                  </c:pt>
                  <c:pt idx="4">
                    <c:v>VDO 2020</c:v>
                  </c:pt>
                  <c:pt idx="5">
                    <c:v>VDO 2021</c:v>
                  </c:pt>
                  <c:pt idx="6">
                    <c:v>Blended VDO 2021</c:v>
                  </c:pt>
                  <c:pt idx="8">
                    <c:v>VDO 2020</c:v>
                  </c:pt>
                  <c:pt idx="9">
                    <c:v>VDO 2021</c:v>
                  </c:pt>
                  <c:pt idx="10">
                    <c:v>Blended VDO 2021</c:v>
                  </c:pt>
                  <c:pt idx="12">
                    <c:v>VDO 2020</c:v>
                  </c:pt>
                  <c:pt idx="13">
                    <c:v>VDO 2021</c:v>
                  </c:pt>
                  <c:pt idx="14">
                    <c:v>Blended VDO 2021</c:v>
                  </c:pt>
                  <c:pt idx="16">
                    <c:v>VDO 2020</c:v>
                  </c:pt>
                  <c:pt idx="17">
                    <c:v>VDO 2021</c:v>
                  </c:pt>
                  <c:pt idx="18">
                    <c:v>Blended VDO 2021</c:v>
                  </c:pt>
                  <c:pt idx="20">
                    <c:v>VDO 2020</c:v>
                  </c:pt>
                  <c:pt idx="21">
                    <c:v>VDO 2021</c:v>
                  </c:pt>
                  <c:pt idx="22">
                    <c:v>Blended VDO 2021</c:v>
                  </c:pt>
                </c:lvl>
                <c:lvl>
                  <c:pt idx="0">
                    <c:v>AusNet</c:v>
                  </c:pt>
                  <c:pt idx="4">
                    <c:v>Citipower</c:v>
                  </c:pt>
                  <c:pt idx="8">
                    <c:v>Jemena</c:v>
                  </c:pt>
                  <c:pt idx="12">
                    <c:v>Powercor</c:v>
                  </c:pt>
                  <c:pt idx="16">
                    <c:v>United</c:v>
                  </c:pt>
                  <c:pt idx="20">
                    <c:v>Victoria</c:v>
                  </c:pt>
                </c:lvl>
              </c:multiLvlStrCache>
            </c:multiLvlStrRef>
          </c:cat>
          <c:val>
            <c:numRef>
              <c:f>'CH_CY bills 2020 vs 2021'!$E$161:$AA$161</c:f>
              <c:numCache>
                <c:formatCode>#,##0</c:formatCode>
                <c:ptCount val="23"/>
                <c:pt idx="0">
                  <c:v>7231</c:v>
                </c:pt>
                <c:pt idx="1">
                  <c:v>0</c:v>
                </c:pt>
                <c:pt idx="4">
                  <c:v>5821.8302682619278</c:v>
                </c:pt>
                <c:pt idx="5">
                  <c:v>0</c:v>
                </c:pt>
                <c:pt idx="8">
                  <c:v>6238.51778293806</c:v>
                </c:pt>
                <c:pt idx="9">
                  <c:v>0</c:v>
                </c:pt>
                <c:pt idx="12">
                  <c:v>5745.4466959649289</c:v>
                </c:pt>
                <c:pt idx="13">
                  <c:v>0</c:v>
                </c:pt>
                <c:pt idx="16">
                  <c:v>6368.5295238992685</c:v>
                </c:pt>
                <c:pt idx="17">
                  <c:v>0</c:v>
                </c:pt>
                <c:pt idx="20">
                  <c:v>6368.5295238992685</c:v>
                </c:pt>
                <c:pt idx="21">
                  <c:v>0</c:v>
                </c:pt>
              </c:numCache>
            </c:numRef>
          </c:val>
          <c:extLst>
            <c:ext xmlns:c16="http://schemas.microsoft.com/office/drawing/2014/chart" uri="{C3380CC4-5D6E-409C-BE32-E72D297353CC}">
              <c16:uniqueId val="{00000000-D909-4735-A946-B5069657FABC}"/>
            </c:ext>
          </c:extLst>
        </c:ser>
        <c:ser>
          <c:idx val="1"/>
          <c:order val="1"/>
          <c:tx>
            <c:strRef>
              <c:f>'CH_CY bills 2020 vs 2021'!$D$162</c:f>
              <c:strCache>
                <c:ptCount val="1"/>
                <c:pt idx="0">
                  <c:v>8 month VDO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'CH_CY bills 2020 vs 2021'!$E$154:$AA$155</c:f>
              <c:multiLvlStrCache>
                <c:ptCount val="23"/>
                <c:lvl>
                  <c:pt idx="0">
                    <c:v>VDO 2020</c:v>
                  </c:pt>
                  <c:pt idx="1">
                    <c:v>VDO 2021</c:v>
                  </c:pt>
                  <c:pt idx="2">
                    <c:v>Blended VDO 2021</c:v>
                  </c:pt>
                  <c:pt idx="4">
                    <c:v>VDO 2020</c:v>
                  </c:pt>
                  <c:pt idx="5">
                    <c:v>VDO 2021</c:v>
                  </c:pt>
                  <c:pt idx="6">
                    <c:v>Blended VDO 2021</c:v>
                  </c:pt>
                  <c:pt idx="8">
                    <c:v>VDO 2020</c:v>
                  </c:pt>
                  <c:pt idx="9">
                    <c:v>VDO 2021</c:v>
                  </c:pt>
                  <c:pt idx="10">
                    <c:v>Blended VDO 2021</c:v>
                  </c:pt>
                  <c:pt idx="12">
                    <c:v>VDO 2020</c:v>
                  </c:pt>
                  <c:pt idx="13">
                    <c:v>VDO 2021</c:v>
                  </c:pt>
                  <c:pt idx="14">
                    <c:v>Blended VDO 2021</c:v>
                  </c:pt>
                  <c:pt idx="16">
                    <c:v>VDO 2020</c:v>
                  </c:pt>
                  <c:pt idx="17">
                    <c:v>VDO 2021</c:v>
                  </c:pt>
                  <c:pt idx="18">
                    <c:v>Blended VDO 2021</c:v>
                  </c:pt>
                  <c:pt idx="20">
                    <c:v>VDO 2020</c:v>
                  </c:pt>
                  <c:pt idx="21">
                    <c:v>VDO 2021</c:v>
                  </c:pt>
                  <c:pt idx="22">
                    <c:v>Blended VDO 2021</c:v>
                  </c:pt>
                </c:lvl>
                <c:lvl>
                  <c:pt idx="0">
                    <c:v>AusNet</c:v>
                  </c:pt>
                  <c:pt idx="4">
                    <c:v>Citipower</c:v>
                  </c:pt>
                  <c:pt idx="8">
                    <c:v>Jemena</c:v>
                  </c:pt>
                  <c:pt idx="12">
                    <c:v>Powercor</c:v>
                  </c:pt>
                  <c:pt idx="16">
                    <c:v>United</c:v>
                  </c:pt>
                  <c:pt idx="20">
                    <c:v>Victoria</c:v>
                  </c:pt>
                </c:lvl>
              </c:multiLvlStrCache>
            </c:multiLvlStrRef>
          </c:cat>
          <c:val>
            <c:numRef>
              <c:f>'CH_CY bills 2020 vs 2021'!$E$162:$AA$162</c:f>
              <c:numCache>
                <c:formatCode>#,##0</c:formatCode>
                <c:ptCount val="23"/>
                <c:pt idx="2">
                  <c:v>0</c:v>
                </c:pt>
                <c:pt idx="6">
                  <c:v>0</c:v>
                </c:pt>
                <c:pt idx="10">
                  <c:v>0</c:v>
                </c:pt>
                <c:pt idx="14">
                  <c:v>0</c:v>
                </c:pt>
                <c:pt idx="18">
                  <c:v>0</c:v>
                </c:pt>
                <c:pt idx="22">
                  <c:v>0</c:v>
                </c:pt>
              </c:numCache>
            </c:numRef>
          </c:val>
          <c:extLst>
            <c:ext xmlns:c16="http://schemas.microsoft.com/office/drawing/2014/chart" uri="{C3380CC4-5D6E-409C-BE32-E72D297353CC}">
              <c16:uniqueId val="{00000001-D909-4735-A946-B5069657FABC}"/>
            </c:ext>
          </c:extLst>
        </c:ser>
        <c:ser>
          <c:idx val="2"/>
          <c:order val="2"/>
          <c:tx>
            <c:strRef>
              <c:f>'CH_CY bills 2020 vs 2021'!$D$163</c:f>
              <c:strCache>
                <c:ptCount val="1"/>
                <c:pt idx="0">
                  <c:v>4 month VDO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'CH_CY bills 2020 vs 2021'!$E$154:$AA$155</c:f>
              <c:multiLvlStrCache>
                <c:ptCount val="23"/>
                <c:lvl>
                  <c:pt idx="0">
                    <c:v>VDO 2020</c:v>
                  </c:pt>
                  <c:pt idx="1">
                    <c:v>VDO 2021</c:v>
                  </c:pt>
                  <c:pt idx="2">
                    <c:v>Blended VDO 2021</c:v>
                  </c:pt>
                  <c:pt idx="4">
                    <c:v>VDO 2020</c:v>
                  </c:pt>
                  <c:pt idx="5">
                    <c:v>VDO 2021</c:v>
                  </c:pt>
                  <c:pt idx="6">
                    <c:v>Blended VDO 2021</c:v>
                  </c:pt>
                  <c:pt idx="8">
                    <c:v>VDO 2020</c:v>
                  </c:pt>
                  <c:pt idx="9">
                    <c:v>VDO 2021</c:v>
                  </c:pt>
                  <c:pt idx="10">
                    <c:v>Blended VDO 2021</c:v>
                  </c:pt>
                  <c:pt idx="12">
                    <c:v>VDO 2020</c:v>
                  </c:pt>
                  <c:pt idx="13">
                    <c:v>VDO 2021</c:v>
                  </c:pt>
                  <c:pt idx="14">
                    <c:v>Blended VDO 2021</c:v>
                  </c:pt>
                  <c:pt idx="16">
                    <c:v>VDO 2020</c:v>
                  </c:pt>
                  <c:pt idx="17">
                    <c:v>VDO 2021</c:v>
                  </c:pt>
                  <c:pt idx="18">
                    <c:v>Blended VDO 2021</c:v>
                  </c:pt>
                  <c:pt idx="20">
                    <c:v>VDO 2020</c:v>
                  </c:pt>
                  <c:pt idx="21">
                    <c:v>VDO 2021</c:v>
                  </c:pt>
                  <c:pt idx="22">
                    <c:v>Blended VDO 2021</c:v>
                  </c:pt>
                </c:lvl>
                <c:lvl>
                  <c:pt idx="0">
                    <c:v>AusNet</c:v>
                  </c:pt>
                  <c:pt idx="4">
                    <c:v>Citipower</c:v>
                  </c:pt>
                  <c:pt idx="8">
                    <c:v>Jemena</c:v>
                  </c:pt>
                  <c:pt idx="12">
                    <c:v>Powercor</c:v>
                  </c:pt>
                  <c:pt idx="16">
                    <c:v>United</c:v>
                  </c:pt>
                  <c:pt idx="20">
                    <c:v>Victoria</c:v>
                  </c:pt>
                </c:lvl>
              </c:multiLvlStrCache>
            </c:multiLvlStrRef>
          </c:cat>
          <c:val>
            <c:numRef>
              <c:f>'CH_CY bills 2020 vs 2021'!$E$163:$AA$163</c:f>
              <c:numCache>
                <c:formatCode>#,##0</c:formatCode>
                <c:ptCount val="23"/>
                <c:pt idx="2">
                  <c:v>0</c:v>
                </c:pt>
                <c:pt idx="6">
                  <c:v>0</c:v>
                </c:pt>
                <c:pt idx="10">
                  <c:v>0</c:v>
                </c:pt>
                <c:pt idx="14">
                  <c:v>0</c:v>
                </c:pt>
                <c:pt idx="18">
                  <c:v>0</c:v>
                </c:pt>
                <c:pt idx="22">
                  <c:v>0</c:v>
                </c:pt>
              </c:numCache>
            </c:numRef>
          </c:val>
          <c:extLst>
            <c:ext xmlns:c16="http://schemas.microsoft.com/office/drawing/2014/chart" uri="{C3380CC4-5D6E-409C-BE32-E72D297353CC}">
              <c16:uniqueId val="{00000002-D909-4735-A946-B5069657FABC}"/>
            </c:ext>
          </c:extLst>
        </c:ser>
        <c:ser>
          <c:idx val="3"/>
          <c:order val="3"/>
          <c:tx>
            <c:strRef>
              <c:f>'CH_CY bills 2020 vs 2021'!$D$164</c:f>
              <c:strCache>
                <c:ptCount val="1"/>
                <c:pt idx="0">
                  <c:v>True up</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'CH_CY bills 2020 vs 2021'!$E$154:$AA$155</c:f>
              <c:multiLvlStrCache>
                <c:ptCount val="23"/>
                <c:lvl>
                  <c:pt idx="0">
                    <c:v>VDO 2020</c:v>
                  </c:pt>
                  <c:pt idx="1">
                    <c:v>VDO 2021</c:v>
                  </c:pt>
                  <c:pt idx="2">
                    <c:v>Blended VDO 2021</c:v>
                  </c:pt>
                  <c:pt idx="4">
                    <c:v>VDO 2020</c:v>
                  </c:pt>
                  <c:pt idx="5">
                    <c:v>VDO 2021</c:v>
                  </c:pt>
                  <c:pt idx="6">
                    <c:v>Blended VDO 2021</c:v>
                  </c:pt>
                  <c:pt idx="8">
                    <c:v>VDO 2020</c:v>
                  </c:pt>
                  <c:pt idx="9">
                    <c:v>VDO 2021</c:v>
                  </c:pt>
                  <c:pt idx="10">
                    <c:v>Blended VDO 2021</c:v>
                  </c:pt>
                  <c:pt idx="12">
                    <c:v>VDO 2020</c:v>
                  </c:pt>
                  <c:pt idx="13">
                    <c:v>VDO 2021</c:v>
                  </c:pt>
                  <c:pt idx="14">
                    <c:v>Blended VDO 2021</c:v>
                  </c:pt>
                  <c:pt idx="16">
                    <c:v>VDO 2020</c:v>
                  </c:pt>
                  <c:pt idx="17">
                    <c:v>VDO 2021</c:v>
                  </c:pt>
                  <c:pt idx="18">
                    <c:v>Blended VDO 2021</c:v>
                  </c:pt>
                  <c:pt idx="20">
                    <c:v>VDO 2020</c:v>
                  </c:pt>
                  <c:pt idx="21">
                    <c:v>VDO 2021</c:v>
                  </c:pt>
                  <c:pt idx="22">
                    <c:v>Blended VDO 2021</c:v>
                  </c:pt>
                </c:lvl>
                <c:lvl>
                  <c:pt idx="0">
                    <c:v>AusNet</c:v>
                  </c:pt>
                  <c:pt idx="4">
                    <c:v>Citipower</c:v>
                  </c:pt>
                  <c:pt idx="8">
                    <c:v>Jemena</c:v>
                  </c:pt>
                  <c:pt idx="12">
                    <c:v>Powercor</c:v>
                  </c:pt>
                  <c:pt idx="16">
                    <c:v>United</c:v>
                  </c:pt>
                  <c:pt idx="20">
                    <c:v>Victoria</c:v>
                  </c:pt>
                </c:lvl>
              </c:multiLvlStrCache>
            </c:multiLvlStrRef>
          </c:cat>
          <c:val>
            <c:numRef>
              <c:f>'CH_CY bills 2020 vs 2021'!$E$164:$AA$164</c:f>
              <c:numCache>
                <c:formatCode>#,##0</c:formatCode>
                <c:ptCount val="23"/>
                <c:pt idx="2">
                  <c:v>0</c:v>
                </c:pt>
                <c:pt idx="6">
                  <c:v>0</c:v>
                </c:pt>
                <c:pt idx="10">
                  <c:v>0</c:v>
                </c:pt>
                <c:pt idx="14">
                  <c:v>0</c:v>
                </c:pt>
                <c:pt idx="18">
                  <c:v>0</c:v>
                </c:pt>
                <c:pt idx="22">
                  <c:v>0</c:v>
                </c:pt>
              </c:numCache>
            </c:numRef>
          </c:val>
          <c:extLst>
            <c:ext xmlns:c16="http://schemas.microsoft.com/office/drawing/2014/chart" uri="{C3380CC4-5D6E-409C-BE32-E72D297353CC}">
              <c16:uniqueId val="{00000001-A716-4AD1-A810-10B358B83E84}"/>
            </c:ext>
          </c:extLst>
        </c:ser>
        <c:ser>
          <c:idx val="4"/>
          <c:order val="4"/>
          <c:tx>
            <c:strRef>
              <c:f>'CH_CY bills 2020 vs 2021'!$D$165</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'CH_CY bills 2020 vs 2021'!$E$154:$AA$155</c:f>
              <c:multiLvlStrCache>
                <c:ptCount val="23"/>
                <c:lvl>
                  <c:pt idx="0">
                    <c:v>VDO 2020</c:v>
                  </c:pt>
                  <c:pt idx="1">
                    <c:v>VDO 2021</c:v>
                  </c:pt>
                  <c:pt idx="2">
                    <c:v>Blended VDO 2021</c:v>
                  </c:pt>
                  <c:pt idx="4">
                    <c:v>VDO 2020</c:v>
                  </c:pt>
                  <c:pt idx="5">
                    <c:v>VDO 2021</c:v>
                  </c:pt>
                  <c:pt idx="6">
                    <c:v>Blended VDO 2021</c:v>
                  </c:pt>
                  <c:pt idx="8">
                    <c:v>VDO 2020</c:v>
                  </c:pt>
                  <c:pt idx="9">
                    <c:v>VDO 2021</c:v>
                  </c:pt>
                  <c:pt idx="10">
                    <c:v>Blended VDO 2021</c:v>
                  </c:pt>
                  <c:pt idx="12">
                    <c:v>VDO 2020</c:v>
                  </c:pt>
                  <c:pt idx="13">
                    <c:v>VDO 2021</c:v>
                  </c:pt>
                  <c:pt idx="14">
                    <c:v>Blended VDO 2021</c:v>
                  </c:pt>
                  <c:pt idx="16">
                    <c:v>VDO 2020</c:v>
                  </c:pt>
                  <c:pt idx="17">
                    <c:v>VDO 2021</c:v>
                  </c:pt>
                  <c:pt idx="18">
                    <c:v>Blended VDO 2021</c:v>
                  </c:pt>
                  <c:pt idx="20">
                    <c:v>VDO 2020</c:v>
                  </c:pt>
                  <c:pt idx="21">
                    <c:v>VDO 2021</c:v>
                  </c:pt>
                  <c:pt idx="22">
                    <c:v>Blended VDO 2021</c:v>
                  </c:pt>
                </c:lvl>
                <c:lvl>
                  <c:pt idx="0">
                    <c:v>AusNet</c:v>
                  </c:pt>
                  <c:pt idx="4">
                    <c:v>Citipower</c:v>
                  </c:pt>
                  <c:pt idx="8">
                    <c:v>Jemena</c:v>
                  </c:pt>
                  <c:pt idx="12">
                    <c:v>Powercor</c:v>
                  </c:pt>
                  <c:pt idx="16">
                    <c:v>United</c:v>
                  </c:pt>
                  <c:pt idx="20">
                    <c:v>Victoria</c:v>
                  </c:pt>
                </c:lvl>
              </c:multiLvlStrCache>
            </c:multiLvlStrRef>
          </c:cat>
          <c:val>
            <c:numRef>
              <c:f>'CH_CY bills 2020 vs 2021'!$E$165:$AA$165</c:f>
              <c:numCache>
                <c:formatCode>#,##0</c:formatCode>
                <c:ptCount val="23"/>
                <c:pt idx="0">
                  <c:v>7231</c:v>
                </c:pt>
                <c:pt idx="1">
                  <c:v>0</c:v>
                </c:pt>
                <c:pt idx="2">
                  <c:v>0</c:v>
                </c:pt>
                <c:pt idx="4">
                  <c:v>5821.8302682619278</c:v>
                </c:pt>
                <c:pt idx="5">
                  <c:v>0</c:v>
                </c:pt>
                <c:pt idx="6">
                  <c:v>0</c:v>
                </c:pt>
                <c:pt idx="8">
                  <c:v>6238.51778293806</c:v>
                </c:pt>
                <c:pt idx="9">
                  <c:v>0</c:v>
                </c:pt>
                <c:pt idx="10">
                  <c:v>0</c:v>
                </c:pt>
                <c:pt idx="12">
                  <c:v>5745.4466959649289</c:v>
                </c:pt>
                <c:pt idx="13">
                  <c:v>0</c:v>
                </c:pt>
                <c:pt idx="14">
                  <c:v>0</c:v>
                </c:pt>
                <c:pt idx="16">
                  <c:v>6368.5295238992685</c:v>
                </c:pt>
                <c:pt idx="17">
                  <c:v>0</c:v>
                </c:pt>
                <c:pt idx="18">
                  <c:v>0</c:v>
                </c:pt>
                <c:pt idx="20">
                  <c:v>6368.5295238992685</c:v>
                </c:pt>
                <c:pt idx="21">
                  <c:v>0</c:v>
                </c:pt>
                <c:pt idx="22">
                  <c:v>0</c:v>
                </c:pt>
              </c:numCache>
            </c:numRef>
          </c:val>
          <c:extLst>
            <c:ext xmlns:c16="http://schemas.microsoft.com/office/drawing/2014/chart" uri="{C3380CC4-5D6E-409C-BE32-E72D297353CC}">
              <c16:uniqueId val="{00000002-A716-4AD1-A810-10B358B83E84}"/>
            </c:ext>
          </c:extLst>
        </c:ser>
        <c:dLbls>
          <c:dLblPos val="ctr"/>
          <c:showLegendKey val="0"/>
          <c:showVal val="1"/>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max val="8000"/>
          <c:min val="0"/>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17144"/>
        <c:crosses val="autoZero"/>
        <c:crossBetween val="between"/>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CH_CostStack_SME!$D$33</c:f>
              <c:strCache>
                <c:ptCount val="1"/>
                <c:pt idx="0">
                  <c:v>Wholesale</c:v>
                </c:pt>
              </c:strCache>
            </c:strRef>
          </c:tx>
          <c:spPr>
            <a:solidFill>
              <a:srgbClr val="23619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CH_CostStack_SME!$C$34:$C$35</c:f>
              <c:strCache>
                <c:ptCount val="2"/>
                <c:pt idx="0">
                  <c:v>VDO 2022 - Final</c:v>
                </c:pt>
                <c:pt idx="1">
                  <c:v>VDO 2022-23 - Draft</c:v>
                </c:pt>
              </c:strCache>
            </c:strRef>
          </c:cat>
          <c:val>
            <c:numRef>
              <c:f>CH_CostStack_SME!$D$34:$D$35</c:f>
              <c:numCache>
                <c:formatCode>"$"#,##0_);[Red]\("$"#,##0\)</c:formatCode>
                <c:ptCount val="2"/>
                <c:pt idx="0">
                  <c:v>1345.0359158236326</c:v>
                </c:pt>
                <c:pt idx="1">
                  <c:v>1392.9369126351705</c:v>
                </c:pt>
              </c:numCache>
            </c:numRef>
          </c:val>
          <c:extLst>
            <c:ext xmlns:c16="http://schemas.microsoft.com/office/drawing/2014/chart" uri="{C3380CC4-5D6E-409C-BE32-E72D297353CC}">
              <c16:uniqueId val="{00000000-F839-45E8-A789-37EC8724F4FE}"/>
            </c:ext>
          </c:extLst>
        </c:ser>
        <c:ser>
          <c:idx val="1"/>
          <c:order val="1"/>
          <c:tx>
            <c:strRef>
              <c:f>CH_CostStack_SME!$E$33</c:f>
              <c:strCache>
                <c:ptCount val="1"/>
                <c:pt idx="0">
                  <c:v>Network</c:v>
                </c:pt>
              </c:strCache>
            </c:strRef>
          </c:tx>
          <c:spPr>
            <a:solidFill>
              <a:srgbClr val="236192">
                <a:alpha val="50000"/>
              </a:srgb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CH_CostStack_SME!$E$34:$E$35</c:f>
              <c:numCache>
                <c:formatCode>"$"#,##0_);[Red]\("$"#,##0\)</c:formatCode>
                <c:ptCount val="2"/>
                <c:pt idx="0">
                  <c:v>2410.1787460082737</c:v>
                </c:pt>
                <c:pt idx="1">
                  <c:v>2398.9312101652704</c:v>
                </c:pt>
              </c:numCache>
            </c:numRef>
          </c:val>
          <c:extLst>
            <c:ext xmlns:c16="http://schemas.microsoft.com/office/drawing/2014/chart" uri="{C3380CC4-5D6E-409C-BE32-E72D297353CC}">
              <c16:uniqueId val="{00000001-F839-45E8-A789-37EC8724F4FE}"/>
            </c:ext>
          </c:extLst>
        </c:ser>
        <c:ser>
          <c:idx val="2"/>
          <c:order val="2"/>
          <c:tx>
            <c:strRef>
              <c:f>CH_CostStack_SME!$F$33</c:f>
              <c:strCache>
                <c:ptCount val="1"/>
                <c:pt idx="0">
                  <c:v>Retail</c:v>
                </c:pt>
              </c:strCache>
            </c:strRef>
          </c:tx>
          <c:spPr>
            <a:solidFill>
              <a:srgbClr val="D5003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CH_CostStack_SME!$F$34:$F$35</c:f>
              <c:numCache>
                <c:formatCode>"$"#,##0_);[Red]\("$"#,##0\)</c:formatCode>
                <c:ptCount val="2"/>
                <c:pt idx="0">
                  <c:v>181.37562065040649</c:v>
                </c:pt>
                <c:pt idx="1">
                  <c:v>183.65511994063746</c:v>
                </c:pt>
              </c:numCache>
            </c:numRef>
          </c:val>
          <c:extLst>
            <c:ext xmlns:c16="http://schemas.microsoft.com/office/drawing/2014/chart" uri="{C3380CC4-5D6E-409C-BE32-E72D297353CC}">
              <c16:uniqueId val="{00000002-F839-45E8-A789-37EC8724F4FE}"/>
            </c:ext>
          </c:extLst>
        </c:ser>
        <c:ser>
          <c:idx val="3"/>
          <c:order val="3"/>
          <c:tx>
            <c:strRef>
              <c:f>CH_CostStack_SME!$G$33</c:f>
              <c:strCache>
                <c:ptCount val="1"/>
                <c:pt idx="0">
                  <c:v>Environmental</c:v>
                </c:pt>
              </c:strCache>
            </c:strRef>
          </c:tx>
          <c:spPr>
            <a:solidFill>
              <a:srgbClr val="4986A0"/>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CH_CostStack_SME!$G$34:$G$35</c:f>
              <c:numCache>
                <c:formatCode>"$"#,##0_);[Red]\("$"#,##0\)</c:formatCode>
                <c:ptCount val="2"/>
                <c:pt idx="0">
                  <c:v>638.31286558187821</c:v>
                </c:pt>
                <c:pt idx="1">
                  <c:v>651.99888290486274</c:v>
                </c:pt>
              </c:numCache>
            </c:numRef>
          </c:val>
          <c:extLst>
            <c:ext xmlns:c16="http://schemas.microsoft.com/office/drawing/2014/chart" uri="{C3380CC4-5D6E-409C-BE32-E72D297353CC}">
              <c16:uniqueId val="{00000003-F839-45E8-A789-37EC8724F4FE}"/>
            </c:ext>
          </c:extLst>
        </c:ser>
        <c:ser>
          <c:idx val="5"/>
          <c:order val="4"/>
          <c:tx>
            <c:strRef>
              <c:f>CH_CostStack_SME!$I$33</c:f>
              <c:strCache>
                <c:ptCount val="1"/>
                <c:pt idx="0">
                  <c:v>Retail margin</c:v>
                </c:pt>
              </c:strCache>
            </c:strRef>
          </c:tx>
          <c:spPr>
            <a:solidFill>
              <a:srgbClr val="ED8B00">
                <a:alpha val="74902"/>
              </a:srgb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CH_CostStack_SME!$I$34:$I$35</c:f>
              <c:numCache>
                <c:formatCode>"$"#,##0_);[Red]\("$"#,##0\)</c:formatCode>
                <c:ptCount val="2"/>
                <c:pt idx="0">
                  <c:v>272.8661987244945</c:v>
                </c:pt>
                <c:pt idx="1">
                  <c:v>279.87460083800545</c:v>
                </c:pt>
              </c:numCache>
            </c:numRef>
          </c:val>
          <c:extLst>
            <c:ext xmlns:c16="http://schemas.microsoft.com/office/drawing/2014/chart" uri="{C3380CC4-5D6E-409C-BE32-E72D297353CC}">
              <c16:uniqueId val="{00000004-F839-45E8-A789-37EC8724F4FE}"/>
            </c:ext>
          </c:extLst>
        </c:ser>
        <c:ser>
          <c:idx val="6"/>
          <c:order val="5"/>
          <c:tx>
            <c:strRef>
              <c:f>CH_CostStack_SME!$J$33</c:f>
              <c:strCache>
                <c:ptCount val="1"/>
                <c:pt idx="0">
                  <c:v>GST</c:v>
                </c:pt>
              </c:strCache>
            </c:strRef>
          </c:tx>
          <c:spPr>
            <a:solidFill>
              <a:srgbClr val="7F7F7F">
                <a:alpha val="25000"/>
              </a:srgb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CH_CostStack_SME!$J$34:$J$35</c:f>
              <c:numCache>
                <c:formatCode>"$"#,##0_);[Red]\("$"#,##0\)</c:formatCode>
                <c:ptCount val="2"/>
                <c:pt idx="0">
                  <c:v>479.05184954876495</c:v>
                </c:pt>
                <c:pt idx="1">
                  <c:v>491.35600451758438</c:v>
                </c:pt>
              </c:numCache>
            </c:numRef>
          </c:val>
          <c:extLst>
            <c:ext xmlns:c16="http://schemas.microsoft.com/office/drawing/2014/chart" uri="{C3380CC4-5D6E-409C-BE32-E72D297353CC}">
              <c16:uniqueId val="{00000005-F839-45E8-A789-37EC8724F4FE}"/>
            </c:ext>
          </c:extLst>
        </c:ser>
        <c:ser>
          <c:idx val="4"/>
          <c:order val="6"/>
          <c:tx>
            <c:strRef>
              <c:f>CH_CostStack_SME!$H$33</c:f>
              <c:strCache>
                <c:ptCount val="1"/>
                <c:pt idx="0">
                  <c:v>Other</c:v>
                </c:pt>
              </c:strCache>
            </c:strRef>
          </c:tx>
          <c:spPr>
            <a:solidFill>
              <a:srgbClr val="7F7F7F"/>
            </a:solidFill>
            <a:ln>
              <a:solidFill>
                <a:schemeClr val="bg1"/>
              </a:solidFill>
            </a:ln>
            <a:effectLst/>
          </c:spPr>
          <c:invertIfNegative val="0"/>
          <c:dLbls>
            <c:dLbl>
              <c:idx val="0"/>
              <c:layout>
                <c:manualLayout>
                  <c:x val="0.1130236777960833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39-45E8-A789-37EC8724F4FE}"/>
                </c:ext>
              </c:extLst>
            </c:dLbl>
            <c:dLbl>
              <c:idx val="1"/>
              <c:layout>
                <c:manualLayout>
                  <c:x val="0.1223132951491861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39-45E8-A789-37EC8724F4F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CH_CostStack_SME!$H$34:$H$35</c:f>
              <c:numCache>
                <c:formatCode>"$"#,##0_);[Red]\("$"#,##0\)</c:formatCode>
                <c:ptCount val="2"/>
                <c:pt idx="0">
                  <c:v>22.641445418527887</c:v>
                </c:pt>
                <c:pt idx="1">
                  <c:v>23.398813692036452</c:v>
                </c:pt>
              </c:numCache>
            </c:numRef>
          </c:val>
          <c:extLst>
            <c:ext xmlns:c16="http://schemas.microsoft.com/office/drawing/2014/chart" uri="{C3380CC4-5D6E-409C-BE32-E72D297353CC}">
              <c16:uniqueId val="{00000008-F839-45E8-A789-37EC8724F4FE}"/>
            </c:ext>
          </c:extLst>
        </c:ser>
        <c:dLbls>
          <c:showLegendKey val="0"/>
          <c:showVal val="0"/>
          <c:showCatName val="0"/>
          <c:showSerName val="0"/>
          <c:showPercent val="0"/>
          <c:showBubbleSize val="0"/>
        </c:dLbls>
        <c:gapWidth val="150"/>
        <c:overlap val="100"/>
        <c:axId val="492956920"/>
        <c:axId val="492948064"/>
      </c:barChart>
      <c:lineChart>
        <c:grouping val="standard"/>
        <c:varyColors val="0"/>
        <c:ser>
          <c:idx val="7"/>
          <c:order val="7"/>
          <c:tx>
            <c:strRef>
              <c:f>CH_CostStack_SME!$K$33</c:f>
              <c:strCache>
                <c:ptCount val="1"/>
                <c:pt idx="0">
                  <c:v>Total</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23619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CH_CostStack_SME!$K$34:$K$35</c:f>
              <c:numCache>
                <c:formatCode>"$"#,##0_);[Red]\("$"#,##0\)</c:formatCode>
                <c:ptCount val="2"/>
                <c:pt idx="0">
                  <c:v>5350</c:v>
                </c:pt>
                <c:pt idx="1">
                  <c:v>5423</c:v>
                </c:pt>
              </c:numCache>
            </c:numRef>
          </c:val>
          <c:smooth val="0"/>
          <c:extLst>
            <c:ext xmlns:c16="http://schemas.microsoft.com/office/drawing/2014/chart" uri="{C3380CC4-5D6E-409C-BE32-E72D297353CC}">
              <c16:uniqueId val="{00000009-F839-45E8-A789-37EC8724F4FE}"/>
            </c:ext>
          </c:extLst>
        </c:ser>
        <c:dLbls>
          <c:showLegendKey val="0"/>
          <c:showVal val="0"/>
          <c:showCatName val="0"/>
          <c:showSerName val="0"/>
          <c:showPercent val="0"/>
          <c:showBubbleSize val="0"/>
        </c:dLbls>
        <c:marker val="1"/>
        <c:smooth val="0"/>
        <c:axId val="492956920"/>
        <c:axId val="492948064"/>
      </c:lineChart>
      <c:catAx>
        <c:axId val="49295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92948064"/>
        <c:crosses val="autoZero"/>
        <c:auto val="1"/>
        <c:lblAlgn val="ctr"/>
        <c:lblOffset val="100"/>
        <c:noMultiLvlLbl val="0"/>
      </c:catAx>
      <c:valAx>
        <c:axId val="49294806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92956920"/>
        <c:crosses val="autoZero"/>
        <c:crossBetween val="between"/>
      </c:valAx>
      <c:spPr>
        <a:noFill/>
        <a:ln>
          <a:noFill/>
        </a:ln>
        <a:effectLst/>
      </c:spPr>
    </c:plotArea>
    <c:legend>
      <c:legendPos val="r"/>
      <c:legendEntry>
        <c:idx val="7"/>
        <c:delete val="1"/>
      </c:legendEntry>
      <c:layout>
        <c:manualLayout>
          <c:xMode val="edge"/>
          <c:yMode val="edge"/>
          <c:x val="0.83165616322223412"/>
          <c:y val="0.16844628586674726"/>
          <c:w val="0.1528611411892612"/>
          <c:h val="0.753796058128144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full year'!$C$140</c:f>
          <c:strCache>
            <c:ptCount val="1"/>
            <c:pt idx="0">
              <c:v>Domestic flat rate,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full year'!$C$140</c:f>
              <c:strCache>
                <c:ptCount val="1"/>
                <c:pt idx="0">
                  <c:v>Domestic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CE34-4CCA-AF87-10791E2673F7}"/>
              </c:ext>
            </c:extLst>
          </c:dPt>
          <c:dPt>
            <c:idx val="4"/>
            <c:invertIfNegative val="0"/>
            <c:bubble3D val="0"/>
            <c:spPr>
              <a:solidFill>
                <a:srgbClr val="4986A0"/>
              </a:solidFill>
              <a:ln>
                <a:noFill/>
              </a:ln>
              <a:effectLst/>
            </c:spPr>
            <c:extLst>
              <c:ext xmlns:c16="http://schemas.microsoft.com/office/drawing/2014/chart" uri="{C3380CC4-5D6E-409C-BE32-E72D297353CC}">
                <c16:uniqueId val="{00000003-CE34-4CCA-AF87-10791E2673F7}"/>
              </c:ext>
            </c:extLst>
          </c:dPt>
          <c:dPt>
            <c:idx val="8"/>
            <c:invertIfNegative val="0"/>
            <c:bubble3D val="0"/>
            <c:spPr>
              <a:solidFill>
                <a:srgbClr val="4986A0"/>
              </a:solidFill>
              <a:ln>
                <a:noFill/>
              </a:ln>
              <a:effectLst/>
            </c:spPr>
            <c:extLst>
              <c:ext xmlns:c16="http://schemas.microsoft.com/office/drawing/2014/chart" uri="{C3380CC4-5D6E-409C-BE32-E72D297353CC}">
                <c16:uniqueId val="{00000005-CE34-4CCA-AF87-10791E2673F7}"/>
              </c:ext>
            </c:extLst>
          </c:dPt>
          <c:dPt>
            <c:idx val="12"/>
            <c:invertIfNegative val="0"/>
            <c:bubble3D val="0"/>
            <c:spPr>
              <a:solidFill>
                <a:srgbClr val="4986A0"/>
              </a:solidFill>
              <a:ln>
                <a:noFill/>
              </a:ln>
              <a:effectLst/>
            </c:spPr>
            <c:extLst>
              <c:ext xmlns:c16="http://schemas.microsoft.com/office/drawing/2014/chart" uri="{C3380CC4-5D6E-409C-BE32-E72D297353CC}">
                <c16:uniqueId val="{00000007-CE34-4CCA-AF87-10791E2673F7}"/>
              </c:ext>
            </c:extLst>
          </c:dPt>
          <c:dPt>
            <c:idx val="16"/>
            <c:invertIfNegative val="0"/>
            <c:bubble3D val="0"/>
            <c:spPr>
              <a:solidFill>
                <a:srgbClr val="4986A0"/>
              </a:solidFill>
              <a:ln>
                <a:noFill/>
              </a:ln>
              <a:effectLst/>
            </c:spPr>
            <c:extLst>
              <c:ext xmlns:c16="http://schemas.microsoft.com/office/drawing/2014/chart" uri="{C3380CC4-5D6E-409C-BE32-E72D297353CC}">
                <c16:uniqueId val="{00000009-CE34-4CCA-AF87-10791E2673F7}"/>
              </c:ext>
            </c:extLst>
          </c:dPt>
          <c:dPt>
            <c:idx val="20"/>
            <c:invertIfNegative val="0"/>
            <c:bubble3D val="0"/>
            <c:spPr>
              <a:solidFill>
                <a:srgbClr val="4986A0"/>
              </a:solidFill>
              <a:ln>
                <a:noFill/>
              </a:ln>
              <a:effectLst/>
            </c:spPr>
            <c:extLst>
              <c:ext xmlns:c16="http://schemas.microsoft.com/office/drawing/2014/chart" uri="{C3380CC4-5D6E-409C-BE32-E72D297353CC}">
                <c16:uniqueId val="{0000000B-CE34-4CCA-AF87-10791E2673F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full year'!$D$138:$Z$139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full year'!$D$140:$Z$140</c:f>
              <c:numCache>
                <c:formatCode>"$"#,##0</c:formatCode>
                <c:ptCount val="23"/>
                <c:pt idx="0">
                  <c:v>0</c:v>
                </c:pt>
                <c:pt idx="1">
                  <c:v>1300</c:v>
                </c:pt>
                <c:pt idx="2">
                  <c:v>#N/A</c:v>
                </c:pt>
                <c:pt idx="4">
                  <c:v>0</c:v>
                </c:pt>
                <c:pt idx="5">
                  <c:v>1077</c:v>
                </c:pt>
                <c:pt idx="6">
                  <c:v>#N/A</c:v>
                </c:pt>
                <c:pt idx="8">
                  <c:v>0</c:v>
                </c:pt>
                <c:pt idx="9">
                  <c:v>1129</c:v>
                </c:pt>
                <c:pt idx="10">
                  <c:v>#N/A</c:v>
                </c:pt>
                <c:pt idx="12">
                  <c:v>0</c:v>
                </c:pt>
                <c:pt idx="13">
                  <c:v>1143</c:v>
                </c:pt>
                <c:pt idx="14">
                  <c:v>#N/A</c:v>
                </c:pt>
                <c:pt idx="16">
                  <c:v>0</c:v>
                </c:pt>
                <c:pt idx="17">
                  <c:v>1088</c:v>
                </c:pt>
                <c:pt idx="18">
                  <c:v>#N/A</c:v>
                </c:pt>
                <c:pt idx="20">
                  <c:v>0</c:v>
                </c:pt>
                <c:pt idx="21">
                  <c:v>1147.4000000000001</c:v>
                </c:pt>
                <c:pt idx="22">
                  <c:v>#N/A</c:v>
                </c:pt>
              </c:numCache>
            </c:numRef>
          </c:val>
          <c:extLst>
            <c:ext xmlns:c16="http://schemas.microsoft.com/office/drawing/2014/chart" uri="{C3380CC4-5D6E-409C-BE32-E72D297353CC}">
              <c16:uniqueId val="{0000000C-CE34-4CCA-AF87-10791E2673F7}"/>
            </c:ext>
          </c:extLst>
        </c:ser>
        <c:ser>
          <c:idx val="1"/>
          <c:order val="1"/>
          <c:tx>
            <c:strRef>
              <c:f>'CH_Bill impact full year'!$C$141</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E34-4CCA-AF87-10791E2673F7}"/>
                </c:ext>
              </c:extLst>
            </c:dLbl>
            <c:dLbl>
              <c:idx val="1"/>
              <c:tx>
                <c:rich>
                  <a:bodyPr/>
                  <a:lstStyle/>
                  <a:p>
                    <a:fld id="{BC33BEF3-417E-430F-9F35-501A3CD18BC3}"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CE34-4CCA-AF87-10791E2673F7}"/>
                </c:ext>
              </c:extLst>
            </c:dLbl>
            <c:dLbl>
              <c:idx val="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CE34-4CCA-AF87-10791E2673F7}"/>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E34-4CCA-AF87-10791E2673F7}"/>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E34-4CCA-AF87-10791E2673F7}"/>
                </c:ext>
              </c:extLst>
            </c:dLbl>
            <c:dLbl>
              <c:idx val="5"/>
              <c:tx>
                <c:rich>
                  <a:bodyPr/>
                  <a:lstStyle/>
                  <a:p>
                    <a:fld id="{5F1A67AA-4D1E-4B98-B1C6-406ECC3496E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CE34-4CCA-AF87-10791E2673F7}"/>
                </c:ext>
              </c:extLst>
            </c:dLbl>
            <c:dLbl>
              <c:idx val="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3-CE34-4CCA-AF87-10791E2673F7}"/>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E34-4CCA-AF87-10791E2673F7}"/>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E34-4CCA-AF87-10791E2673F7}"/>
                </c:ext>
              </c:extLst>
            </c:dLbl>
            <c:dLbl>
              <c:idx val="9"/>
              <c:tx>
                <c:rich>
                  <a:bodyPr/>
                  <a:lstStyle/>
                  <a:p>
                    <a:fld id="{1437B596-FF14-4D31-AC49-9D7166E6D3B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CE34-4CCA-AF87-10791E2673F7}"/>
                </c:ext>
              </c:extLst>
            </c:dLbl>
            <c:dLbl>
              <c:idx val="1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7-CE34-4CCA-AF87-10791E2673F7}"/>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E34-4CCA-AF87-10791E2673F7}"/>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E34-4CCA-AF87-10791E2673F7}"/>
                </c:ext>
              </c:extLst>
            </c:dLbl>
            <c:dLbl>
              <c:idx val="13"/>
              <c:tx>
                <c:rich>
                  <a:bodyPr/>
                  <a:lstStyle/>
                  <a:p>
                    <a:fld id="{73281574-08D4-4F96-9996-6D2B75F89745}"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CE34-4CCA-AF87-10791E2673F7}"/>
                </c:ext>
              </c:extLst>
            </c:dLbl>
            <c:dLbl>
              <c:idx val="1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B-CE34-4CCA-AF87-10791E2673F7}"/>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E34-4CCA-AF87-10791E2673F7}"/>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E34-4CCA-AF87-10791E2673F7}"/>
                </c:ext>
              </c:extLst>
            </c:dLbl>
            <c:dLbl>
              <c:idx val="17"/>
              <c:tx>
                <c:rich>
                  <a:bodyPr/>
                  <a:lstStyle/>
                  <a:p>
                    <a:fld id="{22513708-F2B9-4506-B592-E55FB900EEEA}"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CE34-4CCA-AF87-10791E2673F7}"/>
                </c:ext>
              </c:extLst>
            </c:dLbl>
            <c:dLbl>
              <c:idx val="1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F-CE34-4CCA-AF87-10791E2673F7}"/>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E34-4CCA-AF87-10791E2673F7}"/>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E34-4CCA-AF87-10791E2673F7}"/>
                </c:ext>
              </c:extLst>
            </c:dLbl>
            <c:dLbl>
              <c:idx val="21"/>
              <c:tx>
                <c:rich>
                  <a:bodyPr/>
                  <a:lstStyle/>
                  <a:p>
                    <a:fld id="{8AB4135C-B053-47F8-932B-947FF9DBE673}"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CE34-4CCA-AF87-10791E2673F7}"/>
                </c:ext>
              </c:extLst>
            </c:dLbl>
            <c:dLbl>
              <c:idx val="2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3-CE34-4CCA-AF87-10791E2673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full year'!$D$138:$Z$139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full year'!$D$141:$Z$141</c:f>
              <c:numCache>
                <c:formatCode>"$"#,##0</c:formatCode>
                <c:ptCount val="23"/>
                <c:pt idx="1">
                  <c:v>0</c:v>
                </c:pt>
                <c:pt idx="2">
                  <c:v>#N/A</c:v>
                </c:pt>
                <c:pt idx="5">
                  <c:v>0</c:v>
                </c:pt>
                <c:pt idx="6">
                  <c:v>#N/A</c:v>
                </c:pt>
                <c:pt idx="9">
                  <c:v>0</c:v>
                </c:pt>
                <c:pt idx="10">
                  <c:v>#N/A</c:v>
                </c:pt>
                <c:pt idx="13">
                  <c:v>0</c:v>
                </c:pt>
                <c:pt idx="14">
                  <c:v>#N/A</c:v>
                </c:pt>
                <c:pt idx="17">
                  <c:v>0</c:v>
                </c:pt>
                <c:pt idx="18">
                  <c:v>#N/A</c:v>
                </c:pt>
                <c:pt idx="21">
                  <c:v>0</c:v>
                </c:pt>
                <c:pt idx="22">
                  <c:v>#N/A</c:v>
                </c:pt>
              </c:numCache>
            </c:numRef>
          </c:val>
          <c:extLst>
            <c:ext xmlns:c15="http://schemas.microsoft.com/office/drawing/2012/chart" uri="{02D57815-91ED-43cb-92C2-25804820EDAC}">
              <c15:datalabelsRange>
                <c15:f>'CH_Bill impact full year'!$D$142:$Z$142</c15:f>
                <c15:dlblRangeCache>
                  <c:ptCount val="23"/>
                  <c:pt idx="2">
                    <c:v>#N/A</c:v>
                  </c:pt>
                  <c:pt idx="6">
                    <c:v>#N/A</c:v>
                  </c:pt>
                  <c:pt idx="10">
                    <c:v>#N/A</c:v>
                  </c:pt>
                  <c:pt idx="14">
                    <c:v>#N/A</c:v>
                  </c:pt>
                  <c:pt idx="18">
                    <c:v>#N/A</c:v>
                  </c:pt>
                  <c:pt idx="22">
                    <c:v>#N/A</c:v>
                  </c:pt>
                </c15:dlblRangeCache>
              </c15:datalabelsRange>
            </c:ext>
            <c:ext xmlns:c16="http://schemas.microsoft.com/office/drawing/2014/chart" uri="{C3380CC4-5D6E-409C-BE32-E72D297353CC}">
              <c16:uniqueId val="{00000024-CE34-4CCA-AF87-10791E2673F7}"/>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full year'!$C$143</c:f>
          <c:strCache>
            <c:ptCount val="1"/>
            <c:pt idx="0">
              <c:v>Small business flat rate,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full year'!$C$143</c:f>
              <c:strCache>
                <c:ptCount val="1"/>
                <c:pt idx="0">
                  <c:v>Small business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0482-4F42-8894-08BBD10853D7}"/>
              </c:ext>
            </c:extLst>
          </c:dPt>
          <c:dPt>
            <c:idx val="4"/>
            <c:invertIfNegative val="0"/>
            <c:bubble3D val="0"/>
            <c:spPr>
              <a:solidFill>
                <a:srgbClr val="4986A0"/>
              </a:solidFill>
              <a:ln>
                <a:noFill/>
              </a:ln>
              <a:effectLst/>
            </c:spPr>
            <c:extLst>
              <c:ext xmlns:c16="http://schemas.microsoft.com/office/drawing/2014/chart" uri="{C3380CC4-5D6E-409C-BE32-E72D297353CC}">
                <c16:uniqueId val="{00000003-0482-4F42-8894-08BBD10853D7}"/>
              </c:ext>
            </c:extLst>
          </c:dPt>
          <c:dPt>
            <c:idx val="8"/>
            <c:invertIfNegative val="0"/>
            <c:bubble3D val="0"/>
            <c:spPr>
              <a:solidFill>
                <a:srgbClr val="4986A0"/>
              </a:solidFill>
              <a:ln>
                <a:noFill/>
              </a:ln>
              <a:effectLst/>
            </c:spPr>
            <c:extLst>
              <c:ext xmlns:c16="http://schemas.microsoft.com/office/drawing/2014/chart" uri="{C3380CC4-5D6E-409C-BE32-E72D297353CC}">
                <c16:uniqueId val="{00000005-0482-4F42-8894-08BBD10853D7}"/>
              </c:ext>
            </c:extLst>
          </c:dPt>
          <c:dPt>
            <c:idx val="12"/>
            <c:invertIfNegative val="0"/>
            <c:bubble3D val="0"/>
            <c:spPr>
              <a:solidFill>
                <a:srgbClr val="4986A0"/>
              </a:solidFill>
              <a:ln>
                <a:noFill/>
              </a:ln>
              <a:effectLst/>
            </c:spPr>
            <c:extLst>
              <c:ext xmlns:c16="http://schemas.microsoft.com/office/drawing/2014/chart" uri="{C3380CC4-5D6E-409C-BE32-E72D297353CC}">
                <c16:uniqueId val="{00000007-0482-4F42-8894-08BBD10853D7}"/>
              </c:ext>
            </c:extLst>
          </c:dPt>
          <c:dPt>
            <c:idx val="16"/>
            <c:invertIfNegative val="0"/>
            <c:bubble3D val="0"/>
            <c:spPr>
              <a:solidFill>
                <a:srgbClr val="4986A0"/>
              </a:solidFill>
              <a:ln>
                <a:noFill/>
              </a:ln>
              <a:effectLst/>
            </c:spPr>
            <c:extLst>
              <c:ext xmlns:c16="http://schemas.microsoft.com/office/drawing/2014/chart" uri="{C3380CC4-5D6E-409C-BE32-E72D297353CC}">
                <c16:uniqueId val="{00000009-0482-4F42-8894-08BBD10853D7}"/>
              </c:ext>
            </c:extLst>
          </c:dPt>
          <c:dPt>
            <c:idx val="20"/>
            <c:invertIfNegative val="0"/>
            <c:bubble3D val="0"/>
            <c:spPr>
              <a:solidFill>
                <a:srgbClr val="4986A0"/>
              </a:solidFill>
              <a:ln>
                <a:noFill/>
              </a:ln>
              <a:effectLst/>
            </c:spPr>
            <c:extLst>
              <c:ext xmlns:c16="http://schemas.microsoft.com/office/drawing/2014/chart" uri="{C3380CC4-5D6E-409C-BE32-E72D297353CC}">
                <c16:uniqueId val="{0000000B-0482-4F42-8894-08BBD10853D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full year'!$D$138:$Z$139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full year'!$D$143:$Z$143</c:f>
              <c:numCache>
                <c:formatCode>"$"#,##0</c:formatCode>
                <c:ptCount val="23"/>
                <c:pt idx="0">
                  <c:v>0</c:v>
                </c:pt>
                <c:pt idx="1">
                  <c:v>6768</c:v>
                </c:pt>
                <c:pt idx="2">
                  <c:v>#N/A</c:v>
                </c:pt>
                <c:pt idx="4">
                  <c:v>0</c:v>
                </c:pt>
                <c:pt idx="5">
                  <c:v>4548</c:v>
                </c:pt>
                <c:pt idx="6">
                  <c:v>#N/A</c:v>
                </c:pt>
                <c:pt idx="8">
                  <c:v>0</c:v>
                </c:pt>
                <c:pt idx="9">
                  <c:v>5139</c:v>
                </c:pt>
                <c:pt idx="10">
                  <c:v>#N/A</c:v>
                </c:pt>
                <c:pt idx="12">
                  <c:v>0</c:v>
                </c:pt>
                <c:pt idx="13">
                  <c:v>4787</c:v>
                </c:pt>
                <c:pt idx="14">
                  <c:v>#N/A</c:v>
                </c:pt>
                <c:pt idx="16">
                  <c:v>0</c:v>
                </c:pt>
                <c:pt idx="17">
                  <c:v>4650</c:v>
                </c:pt>
                <c:pt idx="18">
                  <c:v>#N/A</c:v>
                </c:pt>
                <c:pt idx="20">
                  <c:v>0</c:v>
                </c:pt>
                <c:pt idx="21">
                  <c:v>5178.3999999999996</c:v>
                </c:pt>
                <c:pt idx="22">
                  <c:v>#N/A</c:v>
                </c:pt>
              </c:numCache>
            </c:numRef>
          </c:val>
          <c:extLst>
            <c:ext xmlns:c16="http://schemas.microsoft.com/office/drawing/2014/chart" uri="{C3380CC4-5D6E-409C-BE32-E72D297353CC}">
              <c16:uniqueId val="{0000000C-0482-4F42-8894-08BBD10853D7}"/>
            </c:ext>
          </c:extLst>
        </c:ser>
        <c:ser>
          <c:idx val="1"/>
          <c:order val="1"/>
          <c:tx>
            <c:strRef>
              <c:f>'CH_Bill impact full year'!$C$144</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482-4F42-8894-08BBD10853D7}"/>
                </c:ext>
              </c:extLst>
            </c:dLbl>
            <c:dLbl>
              <c:idx val="1"/>
              <c:tx>
                <c:rich>
                  <a:bodyPr/>
                  <a:lstStyle/>
                  <a:p>
                    <a:fld id="{1623A746-534A-48FB-BD72-ADA78D8BAC0C}"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0482-4F42-8894-08BBD10853D7}"/>
                </c:ext>
              </c:extLst>
            </c:dLbl>
            <c:dLbl>
              <c:idx val="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0482-4F42-8894-08BBD10853D7}"/>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482-4F42-8894-08BBD10853D7}"/>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482-4F42-8894-08BBD10853D7}"/>
                </c:ext>
              </c:extLst>
            </c:dLbl>
            <c:dLbl>
              <c:idx val="5"/>
              <c:tx>
                <c:rich>
                  <a:bodyPr/>
                  <a:lstStyle/>
                  <a:p>
                    <a:fld id="{E0264D4E-DB9B-4128-89FA-12898199CCF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0482-4F42-8894-08BBD10853D7}"/>
                </c:ext>
              </c:extLst>
            </c:dLbl>
            <c:dLbl>
              <c:idx val="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3-0482-4F42-8894-08BBD10853D7}"/>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482-4F42-8894-08BBD10853D7}"/>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482-4F42-8894-08BBD10853D7}"/>
                </c:ext>
              </c:extLst>
            </c:dLbl>
            <c:dLbl>
              <c:idx val="9"/>
              <c:tx>
                <c:rich>
                  <a:bodyPr/>
                  <a:lstStyle/>
                  <a:p>
                    <a:fld id="{07BCB6D3-424B-4924-8242-48070A014EA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0482-4F42-8894-08BBD10853D7}"/>
                </c:ext>
              </c:extLst>
            </c:dLbl>
            <c:dLbl>
              <c:idx val="1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7-0482-4F42-8894-08BBD10853D7}"/>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482-4F42-8894-08BBD10853D7}"/>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482-4F42-8894-08BBD10853D7}"/>
                </c:ext>
              </c:extLst>
            </c:dLbl>
            <c:dLbl>
              <c:idx val="13"/>
              <c:tx>
                <c:rich>
                  <a:bodyPr/>
                  <a:lstStyle/>
                  <a:p>
                    <a:fld id="{77243A0F-C9F7-4A7A-A40C-02621A71E73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0482-4F42-8894-08BBD10853D7}"/>
                </c:ext>
              </c:extLst>
            </c:dLbl>
            <c:dLbl>
              <c:idx val="1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B-0482-4F42-8894-08BBD10853D7}"/>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482-4F42-8894-08BBD10853D7}"/>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482-4F42-8894-08BBD10853D7}"/>
                </c:ext>
              </c:extLst>
            </c:dLbl>
            <c:dLbl>
              <c:idx val="17"/>
              <c:tx>
                <c:rich>
                  <a:bodyPr/>
                  <a:lstStyle/>
                  <a:p>
                    <a:fld id="{95D9CDBB-7830-4B9E-B3FE-24BDE6CDDFC1}"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0482-4F42-8894-08BBD10853D7}"/>
                </c:ext>
              </c:extLst>
            </c:dLbl>
            <c:dLbl>
              <c:idx val="1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F-0482-4F42-8894-08BBD10853D7}"/>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482-4F42-8894-08BBD10853D7}"/>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482-4F42-8894-08BBD10853D7}"/>
                </c:ext>
              </c:extLst>
            </c:dLbl>
            <c:dLbl>
              <c:idx val="21"/>
              <c:tx>
                <c:rich>
                  <a:bodyPr/>
                  <a:lstStyle/>
                  <a:p>
                    <a:fld id="{70FE6886-FC6C-471C-AF4D-C8EEBA3C379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0482-4F42-8894-08BBD10853D7}"/>
                </c:ext>
              </c:extLst>
            </c:dLbl>
            <c:dLbl>
              <c:idx val="2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3-0482-4F42-8894-08BBD10853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full year'!$D$138:$Z$139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full year'!$D$144:$Z$144</c:f>
              <c:numCache>
                <c:formatCode>"$"#,##0</c:formatCode>
                <c:ptCount val="23"/>
                <c:pt idx="1">
                  <c:v>0</c:v>
                </c:pt>
                <c:pt idx="2">
                  <c:v>#N/A</c:v>
                </c:pt>
                <c:pt idx="5">
                  <c:v>0</c:v>
                </c:pt>
                <c:pt idx="6">
                  <c:v>#N/A</c:v>
                </c:pt>
                <c:pt idx="9">
                  <c:v>0</c:v>
                </c:pt>
                <c:pt idx="10">
                  <c:v>#N/A</c:v>
                </c:pt>
                <c:pt idx="13">
                  <c:v>0</c:v>
                </c:pt>
                <c:pt idx="14">
                  <c:v>#N/A</c:v>
                </c:pt>
                <c:pt idx="17">
                  <c:v>0</c:v>
                </c:pt>
                <c:pt idx="18">
                  <c:v>#N/A</c:v>
                </c:pt>
                <c:pt idx="21">
                  <c:v>0</c:v>
                </c:pt>
                <c:pt idx="22">
                  <c:v>#N/A</c:v>
                </c:pt>
              </c:numCache>
            </c:numRef>
          </c:val>
          <c:extLst>
            <c:ext xmlns:c15="http://schemas.microsoft.com/office/drawing/2012/chart" uri="{02D57815-91ED-43cb-92C2-25804820EDAC}">
              <c15:datalabelsRange>
                <c15:f>'CH_Bill impact full year'!$D$145:$Z$145</c15:f>
                <c15:dlblRangeCache>
                  <c:ptCount val="23"/>
                  <c:pt idx="2">
                    <c:v>#N/A</c:v>
                  </c:pt>
                  <c:pt idx="6">
                    <c:v>#N/A</c:v>
                  </c:pt>
                  <c:pt idx="10">
                    <c:v>#N/A</c:v>
                  </c:pt>
                  <c:pt idx="14">
                    <c:v>#N/A</c:v>
                  </c:pt>
                  <c:pt idx="18">
                    <c:v>#N/A</c:v>
                  </c:pt>
                  <c:pt idx="22">
                    <c:v>#N/A</c:v>
                  </c:pt>
                </c15:dlblRangeCache>
              </c15:datalabelsRange>
            </c:ext>
            <c:ext xmlns:c16="http://schemas.microsoft.com/office/drawing/2014/chart" uri="{C3380CC4-5D6E-409C-BE32-E72D297353CC}">
              <c16:uniqueId val="{00000024-0482-4F42-8894-08BBD10853D7}"/>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full year'!$C$146</c:f>
          <c:strCache>
            <c:ptCount val="1"/>
            <c:pt idx="0">
              <c:v>Domestic TOU,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full year'!$C$143</c:f>
              <c:strCache>
                <c:ptCount val="1"/>
                <c:pt idx="0">
                  <c:v>Small business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A4B5-4DBB-9796-961BE098B832}"/>
              </c:ext>
            </c:extLst>
          </c:dPt>
          <c:dPt>
            <c:idx val="4"/>
            <c:invertIfNegative val="0"/>
            <c:bubble3D val="0"/>
            <c:spPr>
              <a:solidFill>
                <a:srgbClr val="4986A0"/>
              </a:solidFill>
              <a:ln>
                <a:noFill/>
              </a:ln>
              <a:effectLst/>
            </c:spPr>
            <c:extLst>
              <c:ext xmlns:c16="http://schemas.microsoft.com/office/drawing/2014/chart" uri="{C3380CC4-5D6E-409C-BE32-E72D297353CC}">
                <c16:uniqueId val="{00000003-A4B5-4DBB-9796-961BE098B832}"/>
              </c:ext>
            </c:extLst>
          </c:dPt>
          <c:dPt>
            <c:idx val="8"/>
            <c:invertIfNegative val="0"/>
            <c:bubble3D val="0"/>
            <c:spPr>
              <a:solidFill>
                <a:srgbClr val="4986A0"/>
              </a:solidFill>
              <a:ln>
                <a:noFill/>
              </a:ln>
              <a:effectLst/>
            </c:spPr>
            <c:extLst>
              <c:ext xmlns:c16="http://schemas.microsoft.com/office/drawing/2014/chart" uri="{C3380CC4-5D6E-409C-BE32-E72D297353CC}">
                <c16:uniqueId val="{00000005-A4B5-4DBB-9796-961BE098B832}"/>
              </c:ext>
            </c:extLst>
          </c:dPt>
          <c:dPt>
            <c:idx val="12"/>
            <c:invertIfNegative val="0"/>
            <c:bubble3D val="0"/>
            <c:spPr>
              <a:solidFill>
                <a:srgbClr val="4986A0"/>
              </a:solidFill>
              <a:ln>
                <a:noFill/>
              </a:ln>
              <a:effectLst/>
            </c:spPr>
            <c:extLst>
              <c:ext xmlns:c16="http://schemas.microsoft.com/office/drawing/2014/chart" uri="{C3380CC4-5D6E-409C-BE32-E72D297353CC}">
                <c16:uniqueId val="{00000007-A4B5-4DBB-9796-961BE098B832}"/>
              </c:ext>
            </c:extLst>
          </c:dPt>
          <c:dPt>
            <c:idx val="16"/>
            <c:invertIfNegative val="0"/>
            <c:bubble3D val="0"/>
            <c:spPr>
              <a:solidFill>
                <a:srgbClr val="4986A0"/>
              </a:solidFill>
              <a:ln>
                <a:noFill/>
              </a:ln>
              <a:effectLst/>
            </c:spPr>
            <c:extLst>
              <c:ext xmlns:c16="http://schemas.microsoft.com/office/drawing/2014/chart" uri="{C3380CC4-5D6E-409C-BE32-E72D297353CC}">
                <c16:uniqueId val="{00000009-A4B5-4DBB-9796-961BE098B832}"/>
              </c:ext>
            </c:extLst>
          </c:dPt>
          <c:dPt>
            <c:idx val="20"/>
            <c:invertIfNegative val="0"/>
            <c:bubble3D val="0"/>
            <c:spPr>
              <a:solidFill>
                <a:srgbClr val="4986A0"/>
              </a:solidFill>
              <a:ln>
                <a:noFill/>
              </a:ln>
              <a:effectLst/>
            </c:spPr>
            <c:extLst>
              <c:ext xmlns:c16="http://schemas.microsoft.com/office/drawing/2014/chart" uri="{C3380CC4-5D6E-409C-BE32-E72D297353CC}">
                <c16:uniqueId val="{0000000B-A4B5-4DBB-9796-961BE098B83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full year'!$D$138:$Z$139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full year'!$D$143:$Z$143</c:f>
              <c:numCache>
                <c:formatCode>"$"#,##0</c:formatCode>
                <c:ptCount val="23"/>
                <c:pt idx="0">
                  <c:v>0</c:v>
                </c:pt>
                <c:pt idx="1">
                  <c:v>6768</c:v>
                </c:pt>
                <c:pt idx="2">
                  <c:v>#N/A</c:v>
                </c:pt>
                <c:pt idx="4">
                  <c:v>0</c:v>
                </c:pt>
                <c:pt idx="5">
                  <c:v>4548</c:v>
                </c:pt>
                <c:pt idx="6">
                  <c:v>#N/A</c:v>
                </c:pt>
                <c:pt idx="8">
                  <c:v>0</c:v>
                </c:pt>
                <c:pt idx="9">
                  <c:v>5139</c:v>
                </c:pt>
                <c:pt idx="10">
                  <c:v>#N/A</c:v>
                </c:pt>
                <c:pt idx="12">
                  <c:v>0</c:v>
                </c:pt>
                <c:pt idx="13">
                  <c:v>4787</c:v>
                </c:pt>
                <c:pt idx="14">
                  <c:v>#N/A</c:v>
                </c:pt>
                <c:pt idx="16">
                  <c:v>0</c:v>
                </c:pt>
                <c:pt idx="17">
                  <c:v>4650</c:v>
                </c:pt>
                <c:pt idx="18">
                  <c:v>#N/A</c:v>
                </c:pt>
                <c:pt idx="20">
                  <c:v>0</c:v>
                </c:pt>
                <c:pt idx="21">
                  <c:v>5178.3999999999996</c:v>
                </c:pt>
                <c:pt idx="22">
                  <c:v>#N/A</c:v>
                </c:pt>
              </c:numCache>
            </c:numRef>
          </c:val>
          <c:extLst>
            <c:ext xmlns:c16="http://schemas.microsoft.com/office/drawing/2014/chart" uri="{C3380CC4-5D6E-409C-BE32-E72D297353CC}">
              <c16:uniqueId val="{0000000C-A4B5-4DBB-9796-961BE098B832}"/>
            </c:ext>
          </c:extLst>
        </c:ser>
        <c:ser>
          <c:idx val="1"/>
          <c:order val="1"/>
          <c:tx>
            <c:strRef>
              <c:f>'CH_Bill impact full year'!$C$144</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4B5-4DBB-9796-961BE098B832}"/>
                </c:ext>
              </c:extLst>
            </c:dLbl>
            <c:dLbl>
              <c:idx val="1"/>
              <c:tx>
                <c:rich>
                  <a:bodyPr/>
                  <a:lstStyle/>
                  <a:p>
                    <a:fld id="{C2A085F3-6914-4E69-9756-3A3B67F0F7C3}"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A4B5-4DBB-9796-961BE098B832}"/>
                </c:ext>
              </c:extLst>
            </c:dLbl>
            <c:dLbl>
              <c:idx val="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A4B5-4DBB-9796-961BE098B832}"/>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4B5-4DBB-9796-961BE098B832}"/>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4B5-4DBB-9796-961BE098B832}"/>
                </c:ext>
              </c:extLst>
            </c:dLbl>
            <c:dLbl>
              <c:idx val="5"/>
              <c:tx>
                <c:rich>
                  <a:bodyPr/>
                  <a:lstStyle/>
                  <a:p>
                    <a:fld id="{6462FB73-570B-4B9F-850E-3987BA18F9C1}"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A4B5-4DBB-9796-961BE098B832}"/>
                </c:ext>
              </c:extLst>
            </c:dLbl>
            <c:dLbl>
              <c:idx val="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3-A4B5-4DBB-9796-961BE098B832}"/>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4B5-4DBB-9796-961BE098B832}"/>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4B5-4DBB-9796-961BE098B832}"/>
                </c:ext>
              </c:extLst>
            </c:dLbl>
            <c:dLbl>
              <c:idx val="9"/>
              <c:tx>
                <c:rich>
                  <a:bodyPr/>
                  <a:lstStyle/>
                  <a:p>
                    <a:fld id="{A5C4414B-2604-4665-9AA4-2956034772B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A4B5-4DBB-9796-961BE098B832}"/>
                </c:ext>
              </c:extLst>
            </c:dLbl>
            <c:dLbl>
              <c:idx val="1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7-A4B5-4DBB-9796-961BE098B832}"/>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4B5-4DBB-9796-961BE098B832}"/>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4B5-4DBB-9796-961BE098B832}"/>
                </c:ext>
              </c:extLst>
            </c:dLbl>
            <c:dLbl>
              <c:idx val="13"/>
              <c:tx>
                <c:rich>
                  <a:bodyPr/>
                  <a:lstStyle/>
                  <a:p>
                    <a:fld id="{8C091480-FC71-4E0D-B780-8A5368EFD91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A4B5-4DBB-9796-961BE098B832}"/>
                </c:ext>
              </c:extLst>
            </c:dLbl>
            <c:dLbl>
              <c:idx val="1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B-A4B5-4DBB-9796-961BE098B832}"/>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4B5-4DBB-9796-961BE098B832}"/>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4B5-4DBB-9796-961BE098B832}"/>
                </c:ext>
              </c:extLst>
            </c:dLbl>
            <c:dLbl>
              <c:idx val="17"/>
              <c:tx>
                <c:rich>
                  <a:bodyPr/>
                  <a:lstStyle/>
                  <a:p>
                    <a:fld id="{8DED20E7-7EC7-45E6-BA7B-0E0BF4EBC2F9}"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A4B5-4DBB-9796-961BE098B832}"/>
                </c:ext>
              </c:extLst>
            </c:dLbl>
            <c:dLbl>
              <c:idx val="1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F-A4B5-4DBB-9796-961BE098B832}"/>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4B5-4DBB-9796-961BE098B832}"/>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4B5-4DBB-9796-961BE098B832}"/>
                </c:ext>
              </c:extLst>
            </c:dLbl>
            <c:dLbl>
              <c:idx val="21"/>
              <c:tx>
                <c:rich>
                  <a:bodyPr/>
                  <a:lstStyle/>
                  <a:p>
                    <a:fld id="{19B6D8B2-85F0-447F-918E-013A4FC4ABC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A4B5-4DBB-9796-961BE098B832}"/>
                </c:ext>
              </c:extLst>
            </c:dLbl>
            <c:dLbl>
              <c:idx val="2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3-A4B5-4DBB-9796-961BE098B8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full year'!$D$138:$Z$139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full year'!$D$144:$Z$144</c:f>
              <c:numCache>
                <c:formatCode>"$"#,##0</c:formatCode>
                <c:ptCount val="23"/>
                <c:pt idx="1">
                  <c:v>0</c:v>
                </c:pt>
                <c:pt idx="2">
                  <c:v>#N/A</c:v>
                </c:pt>
                <c:pt idx="5">
                  <c:v>0</c:v>
                </c:pt>
                <c:pt idx="6">
                  <c:v>#N/A</c:v>
                </c:pt>
                <c:pt idx="9">
                  <c:v>0</c:v>
                </c:pt>
                <c:pt idx="10">
                  <c:v>#N/A</c:v>
                </c:pt>
                <c:pt idx="13">
                  <c:v>0</c:v>
                </c:pt>
                <c:pt idx="14">
                  <c:v>#N/A</c:v>
                </c:pt>
                <c:pt idx="17">
                  <c:v>0</c:v>
                </c:pt>
                <c:pt idx="18">
                  <c:v>#N/A</c:v>
                </c:pt>
                <c:pt idx="21">
                  <c:v>0</c:v>
                </c:pt>
                <c:pt idx="22">
                  <c:v>#N/A</c:v>
                </c:pt>
              </c:numCache>
            </c:numRef>
          </c:val>
          <c:extLst>
            <c:ext xmlns:c15="http://schemas.microsoft.com/office/drawing/2012/chart" uri="{02D57815-91ED-43cb-92C2-25804820EDAC}">
              <c15:datalabelsRange>
                <c15:f>'CH_Bill impact full year'!$D$148:$Z$148</c15:f>
                <c15:dlblRangeCache>
                  <c:ptCount val="23"/>
                  <c:pt idx="2">
                    <c:v>#N/A</c:v>
                  </c:pt>
                  <c:pt idx="6">
                    <c:v>#N/A</c:v>
                  </c:pt>
                  <c:pt idx="10">
                    <c:v>#N/A</c:v>
                  </c:pt>
                  <c:pt idx="14">
                    <c:v>#N/A</c:v>
                  </c:pt>
                  <c:pt idx="18">
                    <c:v>#N/A</c:v>
                  </c:pt>
                  <c:pt idx="22">
                    <c:v>#N/A</c:v>
                  </c:pt>
                </c15:dlblRangeCache>
              </c15:datalabelsRange>
            </c:ext>
            <c:ext xmlns:c16="http://schemas.microsoft.com/office/drawing/2014/chart" uri="{C3380CC4-5D6E-409C-BE32-E72D297353CC}">
              <c16:uniqueId val="{00000024-A4B5-4DBB-9796-961BE098B832}"/>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full year'!$C$149</c:f>
          <c:strCache>
            <c:ptCount val="1"/>
            <c:pt idx="0">
              <c:v>Small business flat rate,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full year'!$C$143</c:f>
              <c:strCache>
                <c:ptCount val="1"/>
                <c:pt idx="0">
                  <c:v>Small business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EFDE-4521-ADB9-363B6F68E0A2}"/>
              </c:ext>
            </c:extLst>
          </c:dPt>
          <c:dPt>
            <c:idx val="4"/>
            <c:invertIfNegative val="0"/>
            <c:bubble3D val="0"/>
            <c:spPr>
              <a:solidFill>
                <a:srgbClr val="4986A0"/>
              </a:solidFill>
              <a:ln>
                <a:noFill/>
              </a:ln>
              <a:effectLst/>
            </c:spPr>
            <c:extLst>
              <c:ext xmlns:c16="http://schemas.microsoft.com/office/drawing/2014/chart" uri="{C3380CC4-5D6E-409C-BE32-E72D297353CC}">
                <c16:uniqueId val="{00000003-EFDE-4521-ADB9-363B6F68E0A2}"/>
              </c:ext>
            </c:extLst>
          </c:dPt>
          <c:dPt>
            <c:idx val="8"/>
            <c:invertIfNegative val="0"/>
            <c:bubble3D val="0"/>
            <c:spPr>
              <a:solidFill>
                <a:srgbClr val="4986A0"/>
              </a:solidFill>
              <a:ln>
                <a:noFill/>
              </a:ln>
              <a:effectLst/>
            </c:spPr>
            <c:extLst>
              <c:ext xmlns:c16="http://schemas.microsoft.com/office/drawing/2014/chart" uri="{C3380CC4-5D6E-409C-BE32-E72D297353CC}">
                <c16:uniqueId val="{00000005-EFDE-4521-ADB9-363B6F68E0A2}"/>
              </c:ext>
            </c:extLst>
          </c:dPt>
          <c:dPt>
            <c:idx val="12"/>
            <c:invertIfNegative val="0"/>
            <c:bubble3D val="0"/>
            <c:spPr>
              <a:solidFill>
                <a:srgbClr val="4986A0"/>
              </a:solidFill>
              <a:ln>
                <a:noFill/>
              </a:ln>
              <a:effectLst/>
            </c:spPr>
            <c:extLst>
              <c:ext xmlns:c16="http://schemas.microsoft.com/office/drawing/2014/chart" uri="{C3380CC4-5D6E-409C-BE32-E72D297353CC}">
                <c16:uniqueId val="{00000007-EFDE-4521-ADB9-363B6F68E0A2}"/>
              </c:ext>
            </c:extLst>
          </c:dPt>
          <c:dPt>
            <c:idx val="16"/>
            <c:invertIfNegative val="0"/>
            <c:bubble3D val="0"/>
            <c:spPr>
              <a:solidFill>
                <a:srgbClr val="4986A0"/>
              </a:solidFill>
              <a:ln>
                <a:noFill/>
              </a:ln>
              <a:effectLst/>
            </c:spPr>
            <c:extLst>
              <c:ext xmlns:c16="http://schemas.microsoft.com/office/drawing/2014/chart" uri="{C3380CC4-5D6E-409C-BE32-E72D297353CC}">
                <c16:uniqueId val="{00000009-EFDE-4521-ADB9-363B6F68E0A2}"/>
              </c:ext>
            </c:extLst>
          </c:dPt>
          <c:dPt>
            <c:idx val="20"/>
            <c:invertIfNegative val="0"/>
            <c:bubble3D val="0"/>
            <c:spPr>
              <a:solidFill>
                <a:srgbClr val="4986A0"/>
              </a:solidFill>
              <a:ln>
                <a:noFill/>
              </a:ln>
              <a:effectLst/>
            </c:spPr>
            <c:extLst>
              <c:ext xmlns:c16="http://schemas.microsoft.com/office/drawing/2014/chart" uri="{C3380CC4-5D6E-409C-BE32-E72D297353CC}">
                <c16:uniqueId val="{0000000B-EFDE-4521-ADB9-363B6F68E0A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full year'!$D$138:$Z$139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full year'!$D$143:$Z$143</c:f>
              <c:numCache>
                <c:formatCode>"$"#,##0</c:formatCode>
                <c:ptCount val="23"/>
                <c:pt idx="0">
                  <c:v>0</c:v>
                </c:pt>
                <c:pt idx="1">
                  <c:v>6768</c:v>
                </c:pt>
                <c:pt idx="2">
                  <c:v>#N/A</c:v>
                </c:pt>
                <c:pt idx="4">
                  <c:v>0</c:v>
                </c:pt>
                <c:pt idx="5">
                  <c:v>4548</c:v>
                </c:pt>
                <c:pt idx="6">
                  <c:v>#N/A</c:v>
                </c:pt>
                <c:pt idx="8">
                  <c:v>0</c:v>
                </c:pt>
                <c:pt idx="9">
                  <c:v>5139</c:v>
                </c:pt>
                <c:pt idx="10">
                  <c:v>#N/A</c:v>
                </c:pt>
                <c:pt idx="12">
                  <c:v>0</c:v>
                </c:pt>
                <c:pt idx="13">
                  <c:v>4787</c:v>
                </c:pt>
                <c:pt idx="14">
                  <c:v>#N/A</c:v>
                </c:pt>
                <c:pt idx="16">
                  <c:v>0</c:v>
                </c:pt>
                <c:pt idx="17">
                  <c:v>4650</c:v>
                </c:pt>
                <c:pt idx="18">
                  <c:v>#N/A</c:v>
                </c:pt>
                <c:pt idx="20">
                  <c:v>0</c:v>
                </c:pt>
                <c:pt idx="21">
                  <c:v>5178.3999999999996</c:v>
                </c:pt>
                <c:pt idx="22">
                  <c:v>#N/A</c:v>
                </c:pt>
              </c:numCache>
            </c:numRef>
          </c:val>
          <c:extLst>
            <c:ext xmlns:c16="http://schemas.microsoft.com/office/drawing/2014/chart" uri="{C3380CC4-5D6E-409C-BE32-E72D297353CC}">
              <c16:uniqueId val="{0000000C-EFDE-4521-ADB9-363B6F68E0A2}"/>
            </c:ext>
          </c:extLst>
        </c:ser>
        <c:ser>
          <c:idx val="1"/>
          <c:order val="1"/>
          <c:tx>
            <c:strRef>
              <c:f>'CH_Bill impact full year'!$C$144</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DE-4521-ADB9-363B6F68E0A2}"/>
                </c:ext>
              </c:extLst>
            </c:dLbl>
            <c:dLbl>
              <c:idx val="1"/>
              <c:tx>
                <c:rich>
                  <a:bodyPr/>
                  <a:lstStyle/>
                  <a:p>
                    <a:fld id="{780CEE7E-592B-4AD4-9AA6-8859A40A1D3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EFDE-4521-ADB9-363B6F68E0A2}"/>
                </c:ext>
              </c:extLst>
            </c:dLbl>
            <c:dLbl>
              <c:idx val="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EFDE-4521-ADB9-363B6F68E0A2}"/>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DE-4521-ADB9-363B6F68E0A2}"/>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DE-4521-ADB9-363B6F68E0A2}"/>
                </c:ext>
              </c:extLst>
            </c:dLbl>
            <c:dLbl>
              <c:idx val="5"/>
              <c:tx>
                <c:rich>
                  <a:bodyPr/>
                  <a:lstStyle/>
                  <a:p>
                    <a:fld id="{CC442A0F-2504-4C05-B89F-39B3B9230DD3}"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EFDE-4521-ADB9-363B6F68E0A2}"/>
                </c:ext>
              </c:extLst>
            </c:dLbl>
            <c:dLbl>
              <c:idx val="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3-EFDE-4521-ADB9-363B6F68E0A2}"/>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DE-4521-ADB9-363B6F68E0A2}"/>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DE-4521-ADB9-363B6F68E0A2}"/>
                </c:ext>
              </c:extLst>
            </c:dLbl>
            <c:dLbl>
              <c:idx val="9"/>
              <c:tx>
                <c:rich>
                  <a:bodyPr/>
                  <a:lstStyle/>
                  <a:p>
                    <a:fld id="{D1991145-63AD-4256-8F5B-180AACA4305C}"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EFDE-4521-ADB9-363B6F68E0A2}"/>
                </c:ext>
              </c:extLst>
            </c:dLbl>
            <c:dLbl>
              <c:idx val="1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7-EFDE-4521-ADB9-363B6F68E0A2}"/>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DE-4521-ADB9-363B6F68E0A2}"/>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DE-4521-ADB9-363B6F68E0A2}"/>
                </c:ext>
              </c:extLst>
            </c:dLbl>
            <c:dLbl>
              <c:idx val="13"/>
              <c:tx>
                <c:rich>
                  <a:bodyPr/>
                  <a:lstStyle/>
                  <a:p>
                    <a:fld id="{0CADA73F-4FE1-408B-9A42-6B1D8BBB5E8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EFDE-4521-ADB9-363B6F68E0A2}"/>
                </c:ext>
              </c:extLst>
            </c:dLbl>
            <c:dLbl>
              <c:idx val="1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B-EFDE-4521-ADB9-363B6F68E0A2}"/>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EFDE-4521-ADB9-363B6F68E0A2}"/>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EFDE-4521-ADB9-363B6F68E0A2}"/>
                </c:ext>
              </c:extLst>
            </c:dLbl>
            <c:dLbl>
              <c:idx val="17"/>
              <c:tx>
                <c:rich>
                  <a:bodyPr/>
                  <a:lstStyle/>
                  <a:p>
                    <a:fld id="{CE5FCDCB-348D-48D5-AB5A-237A787E702C}"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EFDE-4521-ADB9-363B6F68E0A2}"/>
                </c:ext>
              </c:extLst>
            </c:dLbl>
            <c:dLbl>
              <c:idx val="1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F-EFDE-4521-ADB9-363B6F68E0A2}"/>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EFDE-4521-ADB9-363B6F68E0A2}"/>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EFDE-4521-ADB9-363B6F68E0A2}"/>
                </c:ext>
              </c:extLst>
            </c:dLbl>
            <c:dLbl>
              <c:idx val="21"/>
              <c:tx>
                <c:rich>
                  <a:bodyPr/>
                  <a:lstStyle/>
                  <a:p>
                    <a:fld id="{571588B8-1CBF-4A0D-A174-F2D6263E2B81}"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EFDE-4521-ADB9-363B6F68E0A2}"/>
                </c:ext>
              </c:extLst>
            </c:dLbl>
            <c:dLbl>
              <c:idx val="2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3-EFDE-4521-ADB9-363B6F68E0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full year'!$D$138:$Z$139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full year'!$D$144:$Z$144</c:f>
              <c:numCache>
                <c:formatCode>"$"#,##0</c:formatCode>
                <c:ptCount val="23"/>
                <c:pt idx="1">
                  <c:v>0</c:v>
                </c:pt>
                <c:pt idx="2">
                  <c:v>#N/A</c:v>
                </c:pt>
                <c:pt idx="5">
                  <c:v>0</c:v>
                </c:pt>
                <c:pt idx="6">
                  <c:v>#N/A</c:v>
                </c:pt>
                <c:pt idx="9">
                  <c:v>0</c:v>
                </c:pt>
                <c:pt idx="10">
                  <c:v>#N/A</c:v>
                </c:pt>
                <c:pt idx="13">
                  <c:v>0</c:v>
                </c:pt>
                <c:pt idx="14">
                  <c:v>#N/A</c:v>
                </c:pt>
                <c:pt idx="17">
                  <c:v>0</c:v>
                </c:pt>
                <c:pt idx="18">
                  <c:v>#N/A</c:v>
                </c:pt>
                <c:pt idx="21">
                  <c:v>0</c:v>
                </c:pt>
                <c:pt idx="22">
                  <c:v>#N/A</c:v>
                </c:pt>
              </c:numCache>
            </c:numRef>
          </c:val>
          <c:extLst>
            <c:ext xmlns:c15="http://schemas.microsoft.com/office/drawing/2012/chart" uri="{02D57815-91ED-43cb-92C2-25804820EDAC}">
              <c15:datalabelsRange>
                <c15:f>'CH_Bill impact full year'!$D$151:$Z$151</c15:f>
                <c15:dlblRangeCache>
                  <c:ptCount val="23"/>
                  <c:pt idx="2">
                    <c:v>#N/A</c:v>
                  </c:pt>
                  <c:pt idx="6">
                    <c:v>#N/A</c:v>
                  </c:pt>
                  <c:pt idx="10">
                    <c:v>#N/A</c:v>
                  </c:pt>
                  <c:pt idx="14">
                    <c:v>#N/A</c:v>
                  </c:pt>
                  <c:pt idx="18">
                    <c:v>#N/A</c:v>
                  </c:pt>
                  <c:pt idx="22">
                    <c:v>#N/A</c:v>
                  </c:pt>
                </c15:dlblRangeCache>
              </c15:datalabelsRange>
            </c:ext>
            <c:ext xmlns:c16="http://schemas.microsoft.com/office/drawing/2014/chart" uri="{C3380CC4-5D6E-409C-BE32-E72D297353CC}">
              <c16:uniqueId val="{00000024-EFDE-4521-ADB9-363B6F68E0A2}"/>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full year'!$C$154</c:f>
          <c:strCache>
            <c:ptCount val="1"/>
            <c:pt idx="0">
              <c:v>VDO domestic annual bill, Amended VDO 2021 vs Final VDO 2022,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full year'!$C$154</c:f>
              <c:strCache>
                <c:ptCount val="1"/>
                <c:pt idx="0">
                  <c:v>VDO domestic annual bill, Amended VDO 2021 vs Final VDO 2022, $</c:v>
                </c:pt>
              </c:strCache>
            </c:strRef>
          </c:tx>
          <c:spPr>
            <a:solidFill>
              <a:srgbClr val="4986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'CH_Bill impact full year'!$D$152:$K$153</c:f>
              <c:multiLvlStrCache>
                <c:ptCount val="8"/>
                <c:lvl>
                  <c:pt idx="1">
                    <c:v>Amended 2021 VDO</c:v>
                  </c:pt>
                  <c:pt idx="2">
                    <c:v>Final 2022 VDO</c:v>
                  </c:pt>
                  <c:pt idx="5">
                    <c:v>Amended 2021 VDO</c:v>
                  </c:pt>
                  <c:pt idx="6">
                    <c:v>Final 2022 VDO</c:v>
                  </c:pt>
                  <c:pt idx="7">
                    <c:v> </c:v>
                  </c:pt>
                </c:lvl>
                <c:lvl>
                  <c:pt idx="0">
                    <c:v>Domestic flat rate</c:v>
                  </c:pt>
                  <c:pt idx="4">
                    <c:v>Domestic TOU</c:v>
                  </c:pt>
                </c:lvl>
              </c:multiLvlStrCache>
            </c:multiLvlStrRef>
          </c:cat>
          <c:val>
            <c:numRef>
              <c:f>'CH_Bill impact full year'!$D$154:$K$154</c:f>
              <c:numCache>
                <c:formatCode>"$"#,##0</c:formatCode>
                <c:ptCount val="8"/>
                <c:pt idx="1">
                  <c:v>1147.4000000000001</c:v>
                </c:pt>
                <c:pt idx="2">
                  <c:v>#N/A</c:v>
                </c:pt>
                <c:pt idx="5">
                  <c:v>1112</c:v>
                </c:pt>
                <c:pt idx="6">
                  <c:v>#N/A</c:v>
                </c:pt>
              </c:numCache>
            </c:numRef>
          </c:val>
          <c:extLst>
            <c:ext xmlns:c16="http://schemas.microsoft.com/office/drawing/2014/chart" uri="{C3380CC4-5D6E-409C-BE32-E72D297353CC}">
              <c16:uniqueId val="{00000000-0AA6-4604-88EC-8DDE8AB44A84}"/>
            </c:ext>
          </c:extLst>
        </c:ser>
        <c:ser>
          <c:idx val="1"/>
          <c:order val="1"/>
          <c:tx>
            <c:strRef>
              <c:f>'CH_Bill impact full year'!$C$155</c:f>
              <c:strCache>
                <c:ptCount val="1"/>
                <c:pt idx="0">
                  <c:v>VDO small business annual bill, Amended VDO 2021 vs Final VDO 2022, $</c:v>
                </c:pt>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AA6-4604-88EC-8DDE8AB44A84}"/>
                </c:ext>
              </c:extLst>
            </c:dLbl>
            <c:dLbl>
              <c:idx val="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6-4604-88EC-8DDE8AB44A84}"/>
                </c:ext>
              </c:extLst>
            </c:dLbl>
            <c:dLbl>
              <c:idx val="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3-0AA6-4604-88EC-8DDE8AB44A84}"/>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6-4604-88EC-8DDE8AB44A84}"/>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6-4604-88EC-8DDE8AB44A84}"/>
                </c:ext>
              </c:extLst>
            </c:dLbl>
            <c:dLbl>
              <c:idx val="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6-4604-88EC-8DDE8AB44A84}"/>
                </c:ext>
              </c:extLst>
            </c:dLbl>
            <c:dLbl>
              <c:idx val="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7-0AA6-4604-88EC-8DDE8AB44A84}"/>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6-4604-88EC-8DDE8AB44A8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'CH_Bill impact full year'!$D$152:$K$153</c:f>
              <c:multiLvlStrCache>
                <c:ptCount val="8"/>
                <c:lvl>
                  <c:pt idx="1">
                    <c:v>Amended 2021 VDO</c:v>
                  </c:pt>
                  <c:pt idx="2">
                    <c:v>Final 2022 VDO</c:v>
                  </c:pt>
                  <c:pt idx="5">
                    <c:v>Amended 2021 VDO</c:v>
                  </c:pt>
                  <c:pt idx="6">
                    <c:v>Final 2022 VDO</c:v>
                  </c:pt>
                  <c:pt idx="7">
                    <c:v> </c:v>
                  </c:pt>
                </c:lvl>
                <c:lvl>
                  <c:pt idx="0">
                    <c:v>Domestic flat rate</c:v>
                  </c:pt>
                  <c:pt idx="4">
                    <c:v>Domestic TOU</c:v>
                  </c:pt>
                </c:lvl>
              </c:multiLvlStrCache>
            </c:multiLvlStrRef>
          </c:cat>
          <c:val>
            <c:numRef>
              <c:f>'CH_Bill impact full year'!$D$155:$K$155</c:f>
              <c:numCache>
                <c:formatCode>"$"#,##0</c:formatCode>
                <c:ptCount val="8"/>
                <c:pt idx="2">
                  <c:v>#N/A</c:v>
                </c:pt>
                <c:pt idx="6">
                  <c:v>#N/A</c:v>
                </c:pt>
              </c:numCache>
            </c:numRef>
          </c:val>
          <c:extLst>
            <c:ext xmlns:c15="http://schemas.microsoft.com/office/drawing/2012/chart" uri="{02D57815-91ED-43cb-92C2-25804820EDAC}">
              <c15:datalabelsRange>
                <c15:f>'CH_Bill impact full year'!$D$156:$R$156</c15:f>
                <c15:dlblRangeCache>
                  <c:ptCount val="15"/>
                  <c:pt idx="2">
                    <c:v>#N/A</c:v>
                  </c:pt>
                  <c:pt idx="6">
                    <c:v>#N/A</c:v>
                  </c:pt>
                  <c:pt idx="10">
                    <c:v>#N/A</c:v>
                  </c:pt>
                  <c:pt idx="14">
                    <c:v>#N/A</c:v>
                  </c:pt>
                </c15:dlblRangeCache>
              </c15:datalabelsRange>
            </c:ext>
            <c:ext xmlns:c16="http://schemas.microsoft.com/office/drawing/2014/chart" uri="{C3380CC4-5D6E-409C-BE32-E72D297353CC}">
              <c16:uniqueId val="{00000009-0AA6-4604-88EC-8DDE8AB44A84}"/>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02820096"/>
        <c:crosses val="autoZero"/>
        <c:auto val="1"/>
        <c:lblAlgn val="ctr"/>
        <c:lblOffset val="100"/>
        <c:noMultiLvlLbl val="0"/>
      </c:catAx>
      <c:valAx>
        <c:axId val="702820096"/>
        <c:scaling>
          <c:orientation val="minMax"/>
          <c:min val="700"/>
        </c:scaling>
        <c:delete val="1"/>
        <c:axPos val="l"/>
        <c:numFmt formatCode="&quot;$&quot;#,##0" sourceLinked="1"/>
        <c:majorTickMark val="out"/>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impacts full year 2'!$C$84</c:f>
          <c:strCache>
            <c:ptCount val="1"/>
            <c:pt idx="0">
              <c:v>Domestic bills,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impacts full year 2'!$C$84</c:f>
              <c:strCache>
                <c:ptCount val="1"/>
                <c:pt idx="0">
                  <c:v>Domestic bills, indicative, $/year</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967-4B9C-8100-116F88C6714A}"/>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3-F967-4B9C-8100-116F88C6714A}"/>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5-F967-4B9C-8100-116F88C6714A}"/>
              </c:ext>
            </c:extLst>
          </c:dPt>
          <c:dPt>
            <c:idx val="12"/>
            <c:invertIfNegative val="0"/>
            <c:bubble3D val="0"/>
            <c:spPr>
              <a:solidFill>
                <a:schemeClr val="accent1"/>
              </a:solidFill>
              <a:ln>
                <a:noFill/>
              </a:ln>
              <a:effectLst/>
            </c:spPr>
            <c:extLst>
              <c:ext xmlns:c16="http://schemas.microsoft.com/office/drawing/2014/chart" uri="{C3380CC4-5D6E-409C-BE32-E72D297353CC}">
                <c16:uniqueId val="{00000007-F967-4B9C-8100-116F88C6714A}"/>
              </c:ext>
            </c:extLst>
          </c:dPt>
          <c:dPt>
            <c:idx val="16"/>
            <c:invertIfNegative val="0"/>
            <c:bubble3D val="0"/>
            <c:spPr>
              <a:solidFill>
                <a:schemeClr val="accent1"/>
              </a:solidFill>
              <a:ln>
                <a:noFill/>
              </a:ln>
              <a:effectLst/>
            </c:spPr>
            <c:extLst>
              <c:ext xmlns:c16="http://schemas.microsoft.com/office/drawing/2014/chart" uri="{C3380CC4-5D6E-409C-BE32-E72D297353CC}">
                <c16:uniqueId val="{00000009-A741-4A3D-87C8-FB08369EF42E}"/>
              </c:ext>
            </c:extLst>
          </c:dPt>
          <c:dPt>
            <c:idx val="20"/>
            <c:invertIfNegative val="0"/>
            <c:bubble3D val="0"/>
            <c:spPr>
              <a:solidFill>
                <a:schemeClr val="accent1"/>
              </a:solidFill>
              <a:ln>
                <a:noFill/>
              </a:ln>
              <a:effectLst/>
            </c:spPr>
            <c:extLst>
              <c:ext xmlns:c16="http://schemas.microsoft.com/office/drawing/2014/chart" uri="{C3380CC4-5D6E-409C-BE32-E72D297353CC}">
                <c16:uniqueId val="{0000000E-1B9A-40BA-9FE8-0F3516BFB44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impacts full year 2'!$D$82:$Z$83</c:f>
              <c:multiLvlStrCache>
                <c:ptCount val="23"/>
                <c:lvl>
                  <c:pt idx="0">
                    <c:v>2021 VDO</c:v>
                  </c:pt>
                  <c:pt idx="1">
                    <c:v>Amended 2021 VDO</c:v>
                  </c:pt>
                  <c:pt idx="2">
                    <c:v>2022 VDO</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full year 2'!$D$84:$Z$84</c:f>
              <c:numCache>
                <c:formatCode>#,##0</c:formatCode>
                <c:ptCount val="23"/>
                <c:pt idx="0">
                  <c:v>1527</c:v>
                </c:pt>
                <c:pt idx="1">
                  <c:v>0</c:v>
                </c:pt>
                <c:pt idx="2">
                  <c:v>0</c:v>
                </c:pt>
                <c:pt idx="4">
                  <c:v>0</c:v>
                </c:pt>
                <c:pt idx="5">
                  <c:v>0</c:v>
                </c:pt>
                <c:pt idx="6">
                  <c:v>0</c:v>
                </c:pt>
                <c:pt idx="8">
                  <c:v>0</c:v>
                </c:pt>
                <c:pt idx="9">
                  <c:v>0</c:v>
                </c:pt>
                <c:pt idx="10">
                  <c:v>0</c:v>
                </c:pt>
                <c:pt idx="12">
                  <c:v>0</c:v>
                </c:pt>
                <c:pt idx="13">
                  <c:v>0</c:v>
                </c:pt>
                <c:pt idx="14">
                  <c:v>0</c:v>
                </c:pt>
                <c:pt idx="16">
                  <c:v>0</c:v>
                </c:pt>
                <c:pt idx="17">
                  <c:v>0</c:v>
                </c:pt>
                <c:pt idx="18">
                  <c:v>0</c:v>
                </c:pt>
                <c:pt idx="20">
                  <c:v>0</c:v>
                </c:pt>
                <c:pt idx="21">
                  <c:v>0</c:v>
                </c:pt>
                <c:pt idx="22">
                  <c:v>0</c:v>
                </c:pt>
              </c:numCache>
            </c:numRef>
          </c:val>
          <c:extLst>
            <c:ext xmlns:c16="http://schemas.microsoft.com/office/drawing/2014/chart" uri="{C3380CC4-5D6E-409C-BE32-E72D297353CC}">
              <c16:uniqueId val="{0000000A-F967-4B9C-8100-116F88C6714A}"/>
            </c:ext>
          </c:extLst>
        </c:ser>
        <c:ser>
          <c:idx val="1"/>
          <c:order val="1"/>
          <c:tx>
            <c:strRef>
              <c:f>'CH_Bill impacts full year 2'!$C$85</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967-4B9C-8100-116F88C6714A}"/>
                </c:ext>
              </c:extLst>
            </c:dLbl>
            <c:dLbl>
              <c:idx val="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C-F967-4B9C-8100-116F88C6714A}"/>
                </c:ext>
              </c:extLst>
            </c:dLbl>
            <c:dLbl>
              <c:idx val="2"/>
              <c:tx>
                <c:rich>
                  <a:bodyPr/>
                  <a:lstStyle/>
                  <a:p>
                    <a:fld id="{9298CFF3-A348-49F6-BDF8-CEB17F78F996}"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967-4B9C-8100-116F88C6714A}"/>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967-4B9C-8100-116F88C6714A}"/>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967-4B9C-8100-116F88C6714A}"/>
                </c:ext>
              </c:extLst>
            </c:dLbl>
            <c:dLbl>
              <c:idx val="5"/>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0-F967-4B9C-8100-116F88C6714A}"/>
                </c:ext>
              </c:extLst>
            </c:dLbl>
            <c:dLbl>
              <c:idx val="6"/>
              <c:tx>
                <c:rich>
                  <a:bodyPr/>
                  <a:lstStyle/>
                  <a:p>
                    <a:fld id="{B8A3E4D0-6C49-427B-83F6-B0CE9170102C}"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967-4B9C-8100-116F88C6714A}"/>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967-4B9C-8100-116F88C6714A}"/>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967-4B9C-8100-116F88C6714A}"/>
                </c:ext>
              </c:extLst>
            </c:dLbl>
            <c:dLbl>
              <c:idx val="9"/>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4-F967-4B9C-8100-116F88C6714A}"/>
                </c:ext>
              </c:extLst>
            </c:dLbl>
            <c:dLbl>
              <c:idx val="10"/>
              <c:tx>
                <c:rich>
                  <a:bodyPr/>
                  <a:lstStyle/>
                  <a:p>
                    <a:fld id="{55643362-59A0-4367-806E-3F4B1065060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967-4B9C-8100-116F88C6714A}"/>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967-4B9C-8100-116F88C6714A}"/>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967-4B9C-8100-116F88C6714A}"/>
                </c:ext>
              </c:extLst>
            </c:dLbl>
            <c:dLbl>
              <c:idx val="13"/>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8-F967-4B9C-8100-116F88C6714A}"/>
                </c:ext>
              </c:extLst>
            </c:dLbl>
            <c:dLbl>
              <c:idx val="14"/>
              <c:tx>
                <c:rich>
                  <a:bodyPr/>
                  <a:lstStyle/>
                  <a:p>
                    <a:fld id="{0249B395-DEDF-4A0A-875B-1208CADB9C3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967-4B9C-8100-116F88C6714A}"/>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967-4B9C-8100-116F88C6714A}"/>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967-4B9C-8100-116F88C6714A}"/>
                </c:ext>
              </c:extLst>
            </c:dLbl>
            <c:dLbl>
              <c:idx val="17"/>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C-F967-4B9C-8100-116F88C6714A}"/>
                </c:ext>
              </c:extLst>
            </c:dLbl>
            <c:dLbl>
              <c:idx val="18"/>
              <c:tx>
                <c:rich>
                  <a:bodyPr/>
                  <a:lstStyle/>
                  <a:p>
                    <a:fld id="{69FF1BD4-7382-425A-B407-558795E7D3A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967-4B9C-8100-116F88C6714A}"/>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B24-47D8-9047-E38CB07CFB97}"/>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B9A-40BA-9FE8-0F3516BFB44E}"/>
                </c:ext>
              </c:extLst>
            </c:dLbl>
            <c:dLbl>
              <c:idx val="2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C-1B9A-40BA-9FE8-0F3516BFB44E}"/>
                </c:ext>
              </c:extLst>
            </c:dLbl>
            <c:dLbl>
              <c:idx val="22"/>
              <c:tx>
                <c:rich>
                  <a:bodyPr/>
                  <a:lstStyle/>
                  <a:p>
                    <a:fld id="{1F741EC8-AC56-4D07-918F-981F9494F3E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B9A-40BA-9FE8-0F3516BFB4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impacts full year 2'!$D$82:$Z$83</c:f>
              <c:multiLvlStrCache>
                <c:ptCount val="23"/>
                <c:lvl>
                  <c:pt idx="0">
                    <c:v>2021 VDO</c:v>
                  </c:pt>
                  <c:pt idx="1">
                    <c:v>Amended 2021 VDO</c:v>
                  </c:pt>
                  <c:pt idx="2">
                    <c:v>2022 VDO</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full year 2'!$D$85:$Z$85</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impacts full year 2'!$D$86:$Z$86</c15:f>
                <c15:dlblRangeCache>
                  <c:ptCount val="23"/>
                  <c:pt idx="1">
                    <c:v>#REF!</c:v>
                  </c:pt>
                  <c:pt idx="2">
                    <c:v>#REF!</c:v>
                  </c:pt>
                  <c:pt idx="5">
                    <c:v>#REF!</c:v>
                  </c:pt>
                  <c:pt idx="6">
                    <c:v>#REF!</c:v>
                  </c:pt>
                  <c:pt idx="9">
                    <c:v>#REF!</c:v>
                  </c:pt>
                  <c:pt idx="10">
                    <c:v>#REF!</c:v>
                  </c:pt>
                  <c:pt idx="13">
                    <c:v>#REF!</c:v>
                  </c:pt>
                  <c:pt idx="14">
                    <c:v>#REF!</c:v>
                  </c:pt>
                  <c:pt idx="17">
                    <c:v>#REF!</c:v>
                  </c:pt>
                  <c:pt idx="18">
                    <c:v>#REF!</c:v>
                  </c:pt>
                  <c:pt idx="21">
                    <c:v>#REF!</c:v>
                  </c:pt>
                  <c:pt idx="22">
                    <c:v>#REF!</c:v>
                  </c:pt>
                </c15:dlblRangeCache>
              </c15:datalabelsRange>
            </c:ext>
            <c:ext xmlns:c16="http://schemas.microsoft.com/office/drawing/2014/chart" uri="{C3380CC4-5D6E-409C-BE32-E72D297353CC}">
              <c16:uniqueId val="{0000001E-F967-4B9C-8100-116F88C6714A}"/>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full year'!$C$155</c:f>
          <c:strCache>
            <c:ptCount val="1"/>
            <c:pt idx="0">
              <c:v>VDO small business annual bill, Amended VDO 2021 vs Final VDO 2022,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full year'!$C$154</c:f>
              <c:strCache>
                <c:ptCount val="1"/>
                <c:pt idx="0">
                  <c:v>VDO domestic annual bill, Amended VDO 2021 vs Final VDO 2022, $</c:v>
                </c:pt>
              </c:strCache>
            </c:strRef>
          </c:tx>
          <c:spPr>
            <a:solidFill>
              <a:srgbClr val="4986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full year'!$L$152:$S$153</c:f>
              <c:multiLvlStrCache>
                <c:ptCount val="8"/>
                <c:lvl>
                  <c:pt idx="1">
                    <c:v>Amended 2021 VDO</c:v>
                  </c:pt>
                  <c:pt idx="2">
                    <c:v>Final 2022 VDO</c:v>
                  </c:pt>
                  <c:pt idx="5">
                    <c:v>Amended 2021 VDO</c:v>
                  </c:pt>
                  <c:pt idx="6">
                    <c:v>Final 2022 VDO</c:v>
                  </c:pt>
                  <c:pt idx="7">
                    <c:v> </c:v>
                  </c:pt>
                </c:lvl>
                <c:lvl>
                  <c:pt idx="0">
                    <c:v>Small business flat rate</c:v>
                  </c:pt>
                  <c:pt idx="4">
                    <c:v>Small business TOU</c:v>
                  </c:pt>
                </c:lvl>
              </c:multiLvlStrCache>
            </c:multiLvlStrRef>
          </c:cat>
          <c:val>
            <c:numRef>
              <c:f>'CH_Bill impact full year'!$L$154:$S$154</c:f>
              <c:numCache>
                <c:formatCode>"$"#,##0</c:formatCode>
                <c:ptCount val="8"/>
                <c:pt idx="1">
                  <c:v>5178.3999999999996</c:v>
                </c:pt>
                <c:pt idx="2">
                  <c:v>#N/A</c:v>
                </c:pt>
                <c:pt idx="5">
                  <c:v>4703.2</c:v>
                </c:pt>
                <c:pt idx="6">
                  <c:v>#N/A</c:v>
                </c:pt>
              </c:numCache>
            </c:numRef>
          </c:val>
          <c:extLst>
            <c:ext xmlns:c16="http://schemas.microsoft.com/office/drawing/2014/chart" uri="{C3380CC4-5D6E-409C-BE32-E72D297353CC}">
              <c16:uniqueId val="{00000000-5CC9-49FC-8DE1-C05252621624}"/>
            </c:ext>
          </c:extLst>
        </c:ser>
        <c:ser>
          <c:idx val="1"/>
          <c:order val="1"/>
          <c:tx>
            <c:strRef>
              <c:f>'CH_Bill impact full year'!$C$155</c:f>
              <c:strCache>
                <c:ptCount val="1"/>
                <c:pt idx="0">
                  <c:v>VDO small business annual bill, Amended VDO 2021 vs Final VDO 2022, $</c:v>
                </c:pt>
              </c:strCache>
            </c:strRef>
          </c:tx>
          <c:spPr>
            <a:noFill/>
            <a:ln>
              <a:noFill/>
            </a:ln>
            <a:effectLst/>
          </c:spPr>
          <c:invertIfNegative val="0"/>
          <c:dLbls>
            <c:dLbl>
              <c:idx val="0"/>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CC9-49FC-8DE1-C05252621624}"/>
                </c:ext>
              </c:extLst>
            </c:dLbl>
            <c:dLbl>
              <c:idx val="1"/>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CC9-49FC-8DE1-C05252621624}"/>
                </c:ext>
              </c:extLst>
            </c:dLbl>
            <c:dLbl>
              <c:idx val="2"/>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3-5CC9-49FC-8DE1-C05252621624}"/>
                </c:ext>
              </c:extLst>
            </c:dLbl>
            <c:dLbl>
              <c:idx val="3"/>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CC9-49FC-8DE1-C05252621624}"/>
                </c:ext>
              </c:extLst>
            </c:dLbl>
            <c:dLbl>
              <c:idx val="4"/>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CC9-49FC-8DE1-C05252621624}"/>
                </c:ext>
              </c:extLst>
            </c:dLbl>
            <c:dLbl>
              <c:idx val="5"/>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CC9-49FC-8DE1-C05252621624}"/>
                </c:ext>
              </c:extLst>
            </c:dLbl>
            <c:dLbl>
              <c:idx val="6"/>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7-5CC9-49FC-8DE1-C05252621624}"/>
                </c:ext>
              </c:extLst>
            </c:dLbl>
            <c:dLbl>
              <c:idx val="7"/>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CC9-49FC-8DE1-C0525262162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'CH_Bill impact full year'!$L$152:$S$153</c:f>
              <c:multiLvlStrCache>
                <c:ptCount val="8"/>
                <c:lvl>
                  <c:pt idx="1">
                    <c:v>Amended 2021 VDO</c:v>
                  </c:pt>
                  <c:pt idx="2">
                    <c:v>Final 2022 VDO</c:v>
                  </c:pt>
                  <c:pt idx="5">
                    <c:v>Amended 2021 VDO</c:v>
                  </c:pt>
                  <c:pt idx="6">
                    <c:v>Final 2022 VDO</c:v>
                  </c:pt>
                  <c:pt idx="7">
                    <c:v> </c:v>
                  </c:pt>
                </c:lvl>
                <c:lvl>
                  <c:pt idx="0">
                    <c:v>Small business flat rate</c:v>
                  </c:pt>
                  <c:pt idx="4">
                    <c:v>Small business TOU</c:v>
                  </c:pt>
                </c:lvl>
              </c:multiLvlStrCache>
            </c:multiLvlStrRef>
          </c:cat>
          <c:val>
            <c:numRef>
              <c:f>'CH_Bill impact full year'!$L$155:$S$155</c:f>
              <c:numCache>
                <c:formatCode>"$"#,##0</c:formatCode>
                <c:ptCount val="8"/>
                <c:pt idx="2">
                  <c:v>#N/A</c:v>
                </c:pt>
                <c:pt idx="6">
                  <c:v>#N/A</c:v>
                </c:pt>
              </c:numCache>
            </c:numRef>
          </c:val>
          <c:extLst>
            <c:ext xmlns:c15="http://schemas.microsoft.com/office/drawing/2012/chart" uri="{02D57815-91ED-43cb-92C2-25804820EDAC}">
              <c15:datalabelsRange>
                <c15:f>'CH_Bill impact full year'!$L$156:$R$156</c15:f>
                <c15:dlblRangeCache>
                  <c:ptCount val="7"/>
                  <c:pt idx="2">
                    <c:v>#N/A</c:v>
                  </c:pt>
                  <c:pt idx="6">
                    <c:v>#N/A</c:v>
                  </c:pt>
                </c15:dlblRangeCache>
              </c15:datalabelsRange>
            </c:ext>
            <c:ext xmlns:c16="http://schemas.microsoft.com/office/drawing/2014/chart" uri="{C3380CC4-5D6E-409C-BE32-E72D297353CC}">
              <c16:uniqueId val="{00000009-5CC9-49FC-8DE1-C05252621624}"/>
            </c:ext>
          </c:extLst>
        </c:ser>
        <c:dLbls>
          <c:dLblPos val="ctr"/>
          <c:showLegendKey val="0"/>
          <c:showVal val="1"/>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02820096"/>
        <c:crosses val="autoZero"/>
        <c:auto val="1"/>
        <c:lblAlgn val="ctr"/>
        <c:lblOffset val="100"/>
        <c:noMultiLvlLbl val="0"/>
      </c:catAx>
      <c:valAx>
        <c:axId val="702820096"/>
        <c:scaling>
          <c:orientation val="minMax"/>
          <c:min val="2000"/>
        </c:scaling>
        <c:delete val="1"/>
        <c:axPos val="l"/>
        <c:numFmt formatCode="&quot;$&quot;#,##0" sourceLinked="1"/>
        <c:majorTickMark val="out"/>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annual'!$C$140</c:f>
          <c:strCache>
            <c:ptCount val="1"/>
            <c:pt idx="0">
              <c:v>Domestic flat rate,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annual'!$C$140</c:f>
              <c:strCache>
                <c:ptCount val="1"/>
                <c:pt idx="0">
                  <c:v>Domestic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D652-4128-82F1-92375224D69C}"/>
              </c:ext>
            </c:extLst>
          </c:dPt>
          <c:dPt>
            <c:idx val="4"/>
            <c:invertIfNegative val="0"/>
            <c:bubble3D val="0"/>
            <c:spPr>
              <a:solidFill>
                <a:srgbClr val="4986A0"/>
              </a:solidFill>
              <a:ln>
                <a:noFill/>
              </a:ln>
              <a:effectLst/>
            </c:spPr>
            <c:extLst>
              <c:ext xmlns:c16="http://schemas.microsoft.com/office/drawing/2014/chart" uri="{C3380CC4-5D6E-409C-BE32-E72D297353CC}">
                <c16:uniqueId val="{00000003-D652-4128-82F1-92375224D69C}"/>
              </c:ext>
            </c:extLst>
          </c:dPt>
          <c:dPt>
            <c:idx val="8"/>
            <c:invertIfNegative val="0"/>
            <c:bubble3D val="0"/>
            <c:spPr>
              <a:solidFill>
                <a:srgbClr val="4986A0"/>
              </a:solidFill>
              <a:ln>
                <a:noFill/>
              </a:ln>
              <a:effectLst/>
            </c:spPr>
            <c:extLst>
              <c:ext xmlns:c16="http://schemas.microsoft.com/office/drawing/2014/chart" uri="{C3380CC4-5D6E-409C-BE32-E72D297353CC}">
                <c16:uniqueId val="{00000005-D652-4128-82F1-92375224D69C}"/>
              </c:ext>
            </c:extLst>
          </c:dPt>
          <c:dPt>
            <c:idx val="12"/>
            <c:invertIfNegative val="0"/>
            <c:bubble3D val="0"/>
            <c:spPr>
              <a:solidFill>
                <a:srgbClr val="4986A0"/>
              </a:solidFill>
              <a:ln>
                <a:noFill/>
              </a:ln>
              <a:effectLst/>
            </c:spPr>
            <c:extLst>
              <c:ext xmlns:c16="http://schemas.microsoft.com/office/drawing/2014/chart" uri="{C3380CC4-5D6E-409C-BE32-E72D297353CC}">
                <c16:uniqueId val="{00000007-D652-4128-82F1-92375224D69C}"/>
              </c:ext>
            </c:extLst>
          </c:dPt>
          <c:dPt>
            <c:idx val="16"/>
            <c:invertIfNegative val="0"/>
            <c:bubble3D val="0"/>
            <c:spPr>
              <a:solidFill>
                <a:srgbClr val="4986A0"/>
              </a:solidFill>
              <a:ln>
                <a:noFill/>
              </a:ln>
              <a:effectLst/>
            </c:spPr>
            <c:extLst>
              <c:ext xmlns:c16="http://schemas.microsoft.com/office/drawing/2014/chart" uri="{C3380CC4-5D6E-409C-BE32-E72D297353CC}">
                <c16:uniqueId val="{00000009-D652-4128-82F1-92375224D69C}"/>
              </c:ext>
            </c:extLst>
          </c:dPt>
          <c:dPt>
            <c:idx val="20"/>
            <c:invertIfNegative val="0"/>
            <c:bubble3D val="0"/>
            <c:spPr>
              <a:solidFill>
                <a:srgbClr val="4986A0"/>
              </a:solidFill>
              <a:ln>
                <a:noFill/>
              </a:ln>
              <a:effectLst/>
            </c:spPr>
            <c:extLst>
              <c:ext xmlns:c16="http://schemas.microsoft.com/office/drawing/2014/chart" uri="{C3380CC4-5D6E-409C-BE32-E72D297353CC}">
                <c16:uniqueId val="{0000000B-D652-4128-82F1-92375224D69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annual'!$D$138:$Z$139</c:f>
              <c:multiLvlStrCache>
                <c:ptCount val="23"/>
                <c:lvl>
                  <c:pt idx="1">
                    <c:v>Amended 2021 VDO</c:v>
                  </c:pt>
                  <c:pt idx="2">
                    <c:v>Draft 2022 VDO</c:v>
                  </c:pt>
                  <c:pt idx="5">
                    <c:v>Amended 2021 VDO</c:v>
                  </c:pt>
                  <c:pt idx="6">
                    <c:v>Draft 2022 VDO</c:v>
                  </c:pt>
                  <c:pt idx="9">
                    <c:v>Amended 2021 VDO</c:v>
                  </c:pt>
                  <c:pt idx="10">
                    <c:v>Draft 2022 VDO</c:v>
                  </c:pt>
                  <c:pt idx="13">
                    <c:v>Amended 2021 VDO</c:v>
                  </c:pt>
                  <c:pt idx="14">
                    <c:v>Draft 2022 VDO</c:v>
                  </c:pt>
                  <c:pt idx="17">
                    <c:v>Amended 2021 VDO</c:v>
                  </c:pt>
                  <c:pt idx="18">
                    <c:v>Draft 2022 VDO</c:v>
                  </c:pt>
                  <c:pt idx="21">
                    <c:v>Amended 2021 VDO</c:v>
                  </c:pt>
                  <c:pt idx="22">
                    <c:v>Draft 2022 VDO</c:v>
                  </c:pt>
                </c:lvl>
                <c:lvl>
                  <c:pt idx="0">
                    <c:v>AusNet Services</c:v>
                  </c:pt>
                  <c:pt idx="4">
                    <c:v>Citipower</c:v>
                  </c:pt>
                  <c:pt idx="8">
                    <c:v>Jemena</c:v>
                  </c:pt>
                  <c:pt idx="12">
                    <c:v>Powercor</c:v>
                  </c:pt>
                  <c:pt idx="16">
                    <c:v>United Energy</c:v>
                  </c:pt>
                  <c:pt idx="20">
                    <c:v>Victoria</c:v>
                  </c:pt>
                </c:lvl>
              </c:multiLvlStrCache>
            </c:multiLvlStrRef>
          </c:cat>
          <c:val>
            <c:numRef>
              <c:f>'CH_Bill impact annual'!$D$140:$Z$140</c:f>
              <c:numCache>
                <c:formatCode>"$"#,##0</c:formatCode>
                <c:ptCount val="23"/>
                <c:pt idx="0">
                  <c:v>0</c:v>
                </c:pt>
                <c:pt idx="1">
                  <c:v>1288</c:v>
                </c:pt>
                <c:pt idx="2">
                  <c:v>1288</c:v>
                </c:pt>
                <c:pt idx="4">
                  <c:v>0</c:v>
                </c:pt>
                <c:pt idx="5">
                  <c:v>1087</c:v>
                </c:pt>
                <c:pt idx="6">
                  <c:v>1087</c:v>
                </c:pt>
                <c:pt idx="8">
                  <c:v>0</c:v>
                </c:pt>
                <c:pt idx="9">
                  <c:v>1131</c:v>
                </c:pt>
                <c:pt idx="10">
                  <c:v>1131</c:v>
                </c:pt>
                <c:pt idx="12">
                  <c:v>0</c:v>
                </c:pt>
                <c:pt idx="13">
                  <c:v>1138</c:v>
                </c:pt>
                <c:pt idx="14">
                  <c:v>1138</c:v>
                </c:pt>
                <c:pt idx="16">
                  <c:v>0</c:v>
                </c:pt>
                <c:pt idx="17">
                  <c:v>1090</c:v>
                </c:pt>
                <c:pt idx="18">
                  <c:v>1090</c:v>
                </c:pt>
                <c:pt idx="20">
                  <c:v>0</c:v>
                </c:pt>
                <c:pt idx="21">
                  <c:v>1146.8</c:v>
                </c:pt>
                <c:pt idx="22">
                  <c:v>1146.8</c:v>
                </c:pt>
              </c:numCache>
            </c:numRef>
          </c:val>
          <c:extLst>
            <c:ext xmlns:c16="http://schemas.microsoft.com/office/drawing/2014/chart" uri="{C3380CC4-5D6E-409C-BE32-E72D297353CC}">
              <c16:uniqueId val="{0000000C-D652-4128-82F1-92375224D69C}"/>
            </c:ext>
          </c:extLst>
        </c:ser>
        <c:ser>
          <c:idx val="1"/>
          <c:order val="1"/>
          <c:tx>
            <c:strRef>
              <c:f>'CH_Bill impact annual'!$C$141</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652-4128-82F1-92375224D69C}"/>
                </c:ext>
              </c:extLst>
            </c:dLbl>
            <c:dLbl>
              <c:idx val="1"/>
              <c:tx>
                <c:rich>
                  <a:bodyPr/>
                  <a:lstStyle/>
                  <a:p>
                    <a:fld id="{E51208DE-5D85-4006-A716-6FCA78417B5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D652-4128-82F1-92375224D69C}"/>
                </c:ext>
              </c:extLst>
            </c:dLbl>
            <c:dLbl>
              <c:idx val="2"/>
              <c:tx>
                <c:rich>
                  <a:bodyPr/>
                  <a:lstStyle/>
                  <a:p>
                    <a:fld id="{AA58BB43-4666-4501-AFE6-E8ECF1CABE23}"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652-4128-82F1-92375224D69C}"/>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D652-4128-82F1-92375224D69C}"/>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D652-4128-82F1-92375224D69C}"/>
                </c:ext>
              </c:extLst>
            </c:dLbl>
            <c:dLbl>
              <c:idx val="5"/>
              <c:tx>
                <c:rich>
                  <a:bodyPr/>
                  <a:lstStyle/>
                  <a:p>
                    <a:fld id="{BE2B481A-5A09-4569-9DA6-72D746CAD2A9}"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D652-4128-82F1-92375224D69C}"/>
                </c:ext>
              </c:extLst>
            </c:dLbl>
            <c:dLbl>
              <c:idx val="6"/>
              <c:tx>
                <c:rich>
                  <a:bodyPr/>
                  <a:lstStyle/>
                  <a:p>
                    <a:fld id="{691A638D-0B84-4326-8A72-1296EBB3F915}"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652-4128-82F1-92375224D69C}"/>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D652-4128-82F1-92375224D69C}"/>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D652-4128-82F1-92375224D69C}"/>
                </c:ext>
              </c:extLst>
            </c:dLbl>
            <c:dLbl>
              <c:idx val="9"/>
              <c:tx>
                <c:rich>
                  <a:bodyPr/>
                  <a:lstStyle/>
                  <a:p>
                    <a:fld id="{D023EF5A-1FB9-417E-8622-6CA98571209C}"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D652-4128-82F1-92375224D69C}"/>
                </c:ext>
              </c:extLst>
            </c:dLbl>
            <c:dLbl>
              <c:idx val="10"/>
              <c:tx>
                <c:rich>
                  <a:bodyPr/>
                  <a:lstStyle/>
                  <a:p>
                    <a:fld id="{529CCFD3-21E0-4FBE-9B9E-FA3E0D3A84B1}"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652-4128-82F1-92375224D69C}"/>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D652-4128-82F1-92375224D69C}"/>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D652-4128-82F1-92375224D69C}"/>
                </c:ext>
              </c:extLst>
            </c:dLbl>
            <c:dLbl>
              <c:idx val="13"/>
              <c:tx>
                <c:rich>
                  <a:bodyPr/>
                  <a:lstStyle/>
                  <a:p>
                    <a:fld id="{8DE46BC1-6668-4851-A7AE-5D19F58D845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D652-4128-82F1-92375224D69C}"/>
                </c:ext>
              </c:extLst>
            </c:dLbl>
            <c:dLbl>
              <c:idx val="14"/>
              <c:tx>
                <c:rich>
                  <a:bodyPr/>
                  <a:lstStyle/>
                  <a:p>
                    <a:fld id="{989E4B9E-A7B8-4C4B-83FE-987A7395E791}"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652-4128-82F1-92375224D69C}"/>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D652-4128-82F1-92375224D69C}"/>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D652-4128-82F1-92375224D69C}"/>
                </c:ext>
              </c:extLst>
            </c:dLbl>
            <c:dLbl>
              <c:idx val="17"/>
              <c:tx>
                <c:rich>
                  <a:bodyPr/>
                  <a:lstStyle/>
                  <a:p>
                    <a:fld id="{14EC39A2-6A41-470E-BD67-832C2843910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D652-4128-82F1-92375224D69C}"/>
                </c:ext>
              </c:extLst>
            </c:dLbl>
            <c:dLbl>
              <c:idx val="18"/>
              <c:tx>
                <c:rich>
                  <a:bodyPr/>
                  <a:lstStyle/>
                  <a:p>
                    <a:fld id="{10A2646D-9FD4-483A-83BC-022834BDF8FE}"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652-4128-82F1-92375224D69C}"/>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D652-4128-82F1-92375224D69C}"/>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D652-4128-82F1-92375224D69C}"/>
                </c:ext>
              </c:extLst>
            </c:dLbl>
            <c:dLbl>
              <c:idx val="21"/>
              <c:tx>
                <c:rich>
                  <a:bodyPr/>
                  <a:lstStyle/>
                  <a:p>
                    <a:fld id="{D1799C76-C8C9-4CEE-8C8A-E714754D779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D652-4128-82F1-92375224D69C}"/>
                </c:ext>
              </c:extLst>
            </c:dLbl>
            <c:dLbl>
              <c:idx val="22"/>
              <c:tx>
                <c:rich>
                  <a:bodyPr/>
                  <a:lstStyle/>
                  <a:p>
                    <a:fld id="{559AE538-572E-4077-85CA-026202466EBA}"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652-4128-82F1-92375224D6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annual'!$D$138:$Z$139</c:f>
              <c:multiLvlStrCache>
                <c:ptCount val="23"/>
                <c:lvl>
                  <c:pt idx="1">
                    <c:v>Amended 2021 VDO</c:v>
                  </c:pt>
                  <c:pt idx="2">
                    <c:v>Draft 2022 VDO</c:v>
                  </c:pt>
                  <c:pt idx="5">
                    <c:v>Amended 2021 VDO</c:v>
                  </c:pt>
                  <c:pt idx="6">
                    <c:v>Draft 2022 VDO</c:v>
                  </c:pt>
                  <c:pt idx="9">
                    <c:v>Amended 2021 VDO</c:v>
                  </c:pt>
                  <c:pt idx="10">
                    <c:v>Draft 2022 VDO</c:v>
                  </c:pt>
                  <c:pt idx="13">
                    <c:v>Amended 2021 VDO</c:v>
                  </c:pt>
                  <c:pt idx="14">
                    <c:v>Draft 2022 VDO</c:v>
                  </c:pt>
                  <c:pt idx="17">
                    <c:v>Amended 2021 VDO</c:v>
                  </c:pt>
                  <c:pt idx="18">
                    <c:v>Draft 2022 VDO</c:v>
                  </c:pt>
                  <c:pt idx="21">
                    <c:v>Amended 2021 VDO</c:v>
                  </c:pt>
                  <c:pt idx="22">
                    <c:v>Draft 2022 VDO</c:v>
                  </c:pt>
                </c:lvl>
                <c:lvl>
                  <c:pt idx="0">
                    <c:v>AusNet Services</c:v>
                  </c:pt>
                  <c:pt idx="4">
                    <c:v>Citipower</c:v>
                  </c:pt>
                  <c:pt idx="8">
                    <c:v>Jemena</c:v>
                  </c:pt>
                  <c:pt idx="12">
                    <c:v>Powercor</c:v>
                  </c:pt>
                  <c:pt idx="16">
                    <c:v>United Energy</c:v>
                  </c:pt>
                  <c:pt idx="20">
                    <c:v>Victoria</c:v>
                  </c:pt>
                </c:lvl>
              </c:multiLvlStrCache>
            </c:multiLvlStrRef>
          </c:cat>
          <c:val>
            <c:numRef>
              <c:f>'CH_Bill impact annual'!$D$141:$Z$141</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 annual'!$D$142:$Z$142</c15:f>
                <c15:dlblRangeCache>
                  <c:ptCount val="23"/>
                  <c:pt idx="2">
                    <c:v>$0</c:v>
                  </c:pt>
                  <c:pt idx="6">
                    <c:v>$0</c:v>
                  </c:pt>
                  <c:pt idx="10">
                    <c:v>$0</c:v>
                  </c:pt>
                  <c:pt idx="14">
                    <c:v>$0</c:v>
                  </c:pt>
                  <c:pt idx="18">
                    <c:v>$0</c:v>
                  </c:pt>
                  <c:pt idx="22">
                    <c:v>$0</c:v>
                  </c:pt>
                </c15:dlblRangeCache>
              </c15:datalabelsRange>
            </c:ext>
            <c:ext xmlns:c16="http://schemas.microsoft.com/office/drawing/2014/chart" uri="{C3380CC4-5D6E-409C-BE32-E72D297353CC}">
              <c16:uniqueId val="{00000024-D652-4128-82F1-92375224D69C}"/>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annual'!$C$143</c:f>
          <c:strCache>
            <c:ptCount val="1"/>
            <c:pt idx="0">
              <c:v>Small business flat rate,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annual'!$C$143</c:f>
              <c:strCache>
                <c:ptCount val="1"/>
                <c:pt idx="0">
                  <c:v>Small business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D2C5-43A5-ADA9-3B2DCA19C699}"/>
              </c:ext>
            </c:extLst>
          </c:dPt>
          <c:dPt>
            <c:idx val="4"/>
            <c:invertIfNegative val="0"/>
            <c:bubble3D val="0"/>
            <c:spPr>
              <a:solidFill>
                <a:srgbClr val="4986A0"/>
              </a:solidFill>
              <a:ln>
                <a:noFill/>
              </a:ln>
              <a:effectLst/>
            </c:spPr>
            <c:extLst>
              <c:ext xmlns:c16="http://schemas.microsoft.com/office/drawing/2014/chart" uri="{C3380CC4-5D6E-409C-BE32-E72D297353CC}">
                <c16:uniqueId val="{00000003-D2C5-43A5-ADA9-3B2DCA19C699}"/>
              </c:ext>
            </c:extLst>
          </c:dPt>
          <c:dPt>
            <c:idx val="8"/>
            <c:invertIfNegative val="0"/>
            <c:bubble3D val="0"/>
            <c:spPr>
              <a:solidFill>
                <a:srgbClr val="4986A0"/>
              </a:solidFill>
              <a:ln>
                <a:noFill/>
              </a:ln>
              <a:effectLst/>
            </c:spPr>
            <c:extLst>
              <c:ext xmlns:c16="http://schemas.microsoft.com/office/drawing/2014/chart" uri="{C3380CC4-5D6E-409C-BE32-E72D297353CC}">
                <c16:uniqueId val="{00000005-D2C5-43A5-ADA9-3B2DCA19C699}"/>
              </c:ext>
            </c:extLst>
          </c:dPt>
          <c:dPt>
            <c:idx val="12"/>
            <c:invertIfNegative val="0"/>
            <c:bubble3D val="0"/>
            <c:spPr>
              <a:solidFill>
                <a:srgbClr val="4986A0"/>
              </a:solidFill>
              <a:ln>
                <a:noFill/>
              </a:ln>
              <a:effectLst/>
            </c:spPr>
            <c:extLst>
              <c:ext xmlns:c16="http://schemas.microsoft.com/office/drawing/2014/chart" uri="{C3380CC4-5D6E-409C-BE32-E72D297353CC}">
                <c16:uniqueId val="{00000007-D2C5-43A5-ADA9-3B2DCA19C699}"/>
              </c:ext>
            </c:extLst>
          </c:dPt>
          <c:dPt>
            <c:idx val="16"/>
            <c:invertIfNegative val="0"/>
            <c:bubble3D val="0"/>
            <c:spPr>
              <a:solidFill>
                <a:srgbClr val="4986A0"/>
              </a:solidFill>
              <a:ln>
                <a:noFill/>
              </a:ln>
              <a:effectLst/>
            </c:spPr>
            <c:extLst>
              <c:ext xmlns:c16="http://schemas.microsoft.com/office/drawing/2014/chart" uri="{C3380CC4-5D6E-409C-BE32-E72D297353CC}">
                <c16:uniqueId val="{00000009-D2C5-43A5-ADA9-3B2DCA19C699}"/>
              </c:ext>
            </c:extLst>
          </c:dPt>
          <c:dPt>
            <c:idx val="20"/>
            <c:invertIfNegative val="0"/>
            <c:bubble3D val="0"/>
            <c:spPr>
              <a:solidFill>
                <a:srgbClr val="4986A0"/>
              </a:solidFill>
              <a:ln>
                <a:noFill/>
              </a:ln>
              <a:effectLst/>
            </c:spPr>
            <c:extLst>
              <c:ext xmlns:c16="http://schemas.microsoft.com/office/drawing/2014/chart" uri="{C3380CC4-5D6E-409C-BE32-E72D297353CC}">
                <c16:uniqueId val="{0000000B-D2C5-43A5-ADA9-3B2DCA19C69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annual'!$D$138:$Z$139</c:f>
              <c:multiLvlStrCache>
                <c:ptCount val="23"/>
                <c:lvl>
                  <c:pt idx="1">
                    <c:v>Amended 2021 VDO</c:v>
                  </c:pt>
                  <c:pt idx="2">
                    <c:v>Draft 2022 VDO</c:v>
                  </c:pt>
                  <c:pt idx="5">
                    <c:v>Amended 2021 VDO</c:v>
                  </c:pt>
                  <c:pt idx="6">
                    <c:v>Draft 2022 VDO</c:v>
                  </c:pt>
                  <c:pt idx="9">
                    <c:v>Amended 2021 VDO</c:v>
                  </c:pt>
                  <c:pt idx="10">
                    <c:v>Draft 2022 VDO</c:v>
                  </c:pt>
                  <c:pt idx="13">
                    <c:v>Amended 2021 VDO</c:v>
                  </c:pt>
                  <c:pt idx="14">
                    <c:v>Draft 2022 VDO</c:v>
                  </c:pt>
                  <c:pt idx="17">
                    <c:v>Amended 2021 VDO</c:v>
                  </c:pt>
                  <c:pt idx="18">
                    <c:v>Draft 2022 VDO</c:v>
                  </c:pt>
                  <c:pt idx="21">
                    <c:v>Amended 2021 VDO</c:v>
                  </c:pt>
                  <c:pt idx="22">
                    <c:v>Draft 2022 VDO</c:v>
                  </c:pt>
                </c:lvl>
                <c:lvl>
                  <c:pt idx="0">
                    <c:v>AusNet Services</c:v>
                  </c:pt>
                  <c:pt idx="4">
                    <c:v>Citipower</c:v>
                  </c:pt>
                  <c:pt idx="8">
                    <c:v>Jemena</c:v>
                  </c:pt>
                  <c:pt idx="12">
                    <c:v>Powercor</c:v>
                  </c:pt>
                  <c:pt idx="16">
                    <c:v>United Energy</c:v>
                  </c:pt>
                  <c:pt idx="20">
                    <c:v>Victoria</c:v>
                  </c:pt>
                </c:lvl>
              </c:multiLvlStrCache>
            </c:multiLvlStrRef>
          </c:cat>
          <c:val>
            <c:numRef>
              <c:f>'CH_Bill impact annual'!$D$143:$Z$143</c:f>
              <c:numCache>
                <c:formatCode>"$"#,##0</c:formatCode>
                <c:ptCount val="23"/>
                <c:pt idx="0">
                  <c:v>0</c:v>
                </c:pt>
                <c:pt idx="1">
                  <c:v>6782</c:v>
                </c:pt>
                <c:pt idx="2">
                  <c:v>6782</c:v>
                </c:pt>
                <c:pt idx="4">
                  <c:v>0</c:v>
                </c:pt>
                <c:pt idx="5">
                  <c:v>4534</c:v>
                </c:pt>
                <c:pt idx="6">
                  <c:v>4534</c:v>
                </c:pt>
                <c:pt idx="8">
                  <c:v>0</c:v>
                </c:pt>
                <c:pt idx="9">
                  <c:v>5165</c:v>
                </c:pt>
                <c:pt idx="10">
                  <c:v>5165</c:v>
                </c:pt>
                <c:pt idx="12">
                  <c:v>0</c:v>
                </c:pt>
                <c:pt idx="13">
                  <c:v>4779</c:v>
                </c:pt>
                <c:pt idx="14">
                  <c:v>4779</c:v>
                </c:pt>
                <c:pt idx="16">
                  <c:v>0</c:v>
                </c:pt>
                <c:pt idx="17">
                  <c:v>4659</c:v>
                </c:pt>
                <c:pt idx="18">
                  <c:v>4659</c:v>
                </c:pt>
                <c:pt idx="20">
                  <c:v>0</c:v>
                </c:pt>
                <c:pt idx="21">
                  <c:v>5183.8</c:v>
                </c:pt>
                <c:pt idx="22">
                  <c:v>5183.8</c:v>
                </c:pt>
              </c:numCache>
            </c:numRef>
          </c:val>
          <c:extLst>
            <c:ext xmlns:c16="http://schemas.microsoft.com/office/drawing/2014/chart" uri="{C3380CC4-5D6E-409C-BE32-E72D297353CC}">
              <c16:uniqueId val="{0000000C-D2C5-43A5-ADA9-3B2DCA19C699}"/>
            </c:ext>
          </c:extLst>
        </c:ser>
        <c:ser>
          <c:idx val="1"/>
          <c:order val="1"/>
          <c:tx>
            <c:strRef>
              <c:f>'CH_Bill impact annual'!$C$144</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2C5-43A5-ADA9-3B2DCA19C699}"/>
                </c:ext>
              </c:extLst>
            </c:dLbl>
            <c:dLbl>
              <c:idx val="1"/>
              <c:tx>
                <c:rich>
                  <a:bodyPr/>
                  <a:lstStyle/>
                  <a:p>
                    <a:fld id="{C0567FFC-F6F5-47DA-B06A-177FC1AB720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D2C5-43A5-ADA9-3B2DCA19C699}"/>
                </c:ext>
              </c:extLst>
            </c:dLbl>
            <c:dLbl>
              <c:idx val="2"/>
              <c:tx>
                <c:rich>
                  <a:bodyPr/>
                  <a:lstStyle/>
                  <a:p>
                    <a:fld id="{974427CD-3399-4007-B773-013FBD45469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2C5-43A5-ADA9-3B2DCA19C699}"/>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D2C5-43A5-ADA9-3B2DCA19C699}"/>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D2C5-43A5-ADA9-3B2DCA19C699}"/>
                </c:ext>
              </c:extLst>
            </c:dLbl>
            <c:dLbl>
              <c:idx val="5"/>
              <c:tx>
                <c:rich>
                  <a:bodyPr/>
                  <a:lstStyle/>
                  <a:p>
                    <a:fld id="{73A5CE7D-FD21-4E08-88E3-14E9E7876776}"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D2C5-43A5-ADA9-3B2DCA19C699}"/>
                </c:ext>
              </c:extLst>
            </c:dLbl>
            <c:dLbl>
              <c:idx val="6"/>
              <c:tx>
                <c:rich>
                  <a:bodyPr/>
                  <a:lstStyle/>
                  <a:p>
                    <a:fld id="{E96D26CC-659C-4CA6-97EE-41663110F5D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2C5-43A5-ADA9-3B2DCA19C699}"/>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D2C5-43A5-ADA9-3B2DCA19C699}"/>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D2C5-43A5-ADA9-3B2DCA19C699}"/>
                </c:ext>
              </c:extLst>
            </c:dLbl>
            <c:dLbl>
              <c:idx val="9"/>
              <c:tx>
                <c:rich>
                  <a:bodyPr/>
                  <a:lstStyle/>
                  <a:p>
                    <a:fld id="{826186FA-7906-4454-8B6C-538A157FFA8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D2C5-43A5-ADA9-3B2DCA19C699}"/>
                </c:ext>
              </c:extLst>
            </c:dLbl>
            <c:dLbl>
              <c:idx val="10"/>
              <c:tx>
                <c:rich>
                  <a:bodyPr/>
                  <a:lstStyle/>
                  <a:p>
                    <a:fld id="{C2E85E78-B6B6-48F6-83F3-A82B4E16CD21}"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2C5-43A5-ADA9-3B2DCA19C699}"/>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D2C5-43A5-ADA9-3B2DCA19C699}"/>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D2C5-43A5-ADA9-3B2DCA19C699}"/>
                </c:ext>
              </c:extLst>
            </c:dLbl>
            <c:dLbl>
              <c:idx val="13"/>
              <c:tx>
                <c:rich>
                  <a:bodyPr/>
                  <a:lstStyle/>
                  <a:p>
                    <a:fld id="{8431D7F5-1FDF-4A3A-9D12-5E15855A4BA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D2C5-43A5-ADA9-3B2DCA19C699}"/>
                </c:ext>
              </c:extLst>
            </c:dLbl>
            <c:dLbl>
              <c:idx val="14"/>
              <c:tx>
                <c:rich>
                  <a:bodyPr/>
                  <a:lstStyle/>
                  <a:p>
                    <a:fld id="{CE6D4EE0-96DA-41E0-B991-5C5DFB9213A4}"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2C5-43A5-ADA9-3B2DCA19C699}"/>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D2C5-43A5-ADA9-3B2DCA19C699}"/>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D2C5-43A5-ADA9-3B2DCA19C699}"/>
                </c:ext>
              </c:extLst>
            </c:dLbl>
            <c:dLbl>
              <c:idx val="17"/>
              <c:tx>
                <c:rich>
                  <a:bodyPr/>
                  <a:lstStyle/>
                  <a:p>
                    <a:fld id="{3FA67940-4B5F-4AF3-AB06-2B4D93117FD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D2C5-43A5-ADA9-3B2DCA19C699}"/>
                </c:ext>
              </c:extLst>
            </c:dLbl>
            <c:dLbl>
              <c:idx val="18"/>
              <c:tx>
                <c:rich>
                  <a:bodyPr/>
                  <a:lstStyle/>
                  <a:p>
                    <a:fld id="{A46DCF8F-D2AB-43EA-849E-CFC3716232E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2C5-43A5-ADA9-3B2DCA19C699}"/>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D2C5-43A5-ADA9-3B2DCA19C699}"/>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D2C5-43A5-ADA9-3B2DCA19C699}"/>
                </c:ext>
              </c:extLst>
            </c:dLbl>
            <c:dLbl>
              <c:idx val="21"/>
              <c:tx>
                <c:rich>
                  <a:bodyPr/>
                  <a:lstStyle/>
                  <a:p>
                    <a:fld id="{C8939BE0-9E16-47A2-BB98-309D944A528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D2C5-43A5-ADA9-3B2DCA19C699}"/>
                </c:ext>
              </c:extLst>
            </c:dLbl>
            <c:dLbl>
              <c:idx val="22"/>
              <c:tx>
                <c:rich>
                  <a:bodyPr/>
                  <a:lstStyle/>
                  <a:p>
                    <a:fld id="{489C86C9-0FA7-45CB-BC67-428065EF95D2}"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2C5-43A5-ADA9-3B2DCA19C69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annual'!$D$138:$Z$139</c:f>
              <c:multiLvlStrCache>
                <c:ptCount val="23"/>
                <c:lvl>
                  <c:pt idx="1">
                    <c:v>Amended 2021 VDO</c:v>
                  </c:pt>
                  <c:pt idx="2">
                    <c:v>Draft 2022 VDO</c:v>
                  </c:pt>
                  <c:pt idx="5">
                    <c:v>Amended 2021 VDO</c:v>
                  </c:pt>
                  <c:pt idx="6">
                    <c:v>Draft 2022 VDO</c:v>
                  </c:pt>
                  <c:pt idx="9">
                    <c:v>Amended 2021 VDO</c:v>
                  </c:pt>
                  <c:pt idx="10">
                    <c:v>Draft 2022 VDO</c:v>
                  </c:pt>
                  <c:pt idx="13">
                    <c:v>Amended 2021 VDO</c:v>
                  </c:pt>
                  <c:pt idx="14">
                    <c:v>Draft 2022 VDO</c:v>
                  </c:pt>
                  <c:pt idx="17">
                    <c:v>Amended 2021 VDO</c:v>
                  </c:pt>
                  <c:pt idx="18">
                    <c:v>Draft 2022 VDO</c:v>
                  </c:pt>
                  <c:pt idx="21">
                    <c:v>Amended 2021 VDO</c:v>
                  </c:pt>
                  <c:pt idx="22">
                    <c:v>Draft 2022 VDO</c:v>
                  </c:pt>
                </c:lvl>
                <c:lvl>
                  <c:pt idx="0">
                    <c:v>AusNet Services</c:v>
                  </c:pt>
                  <c:pt idx="4">
                    <c:v>Citipower</c:v>
                  </c:pt>
                  <c:pt idx="8">
                    <c:v>Jemena</c:v>
                  </c:pt>
                  <c:pt idx="12">
                    <c:v>Powercor</c:v>
                  </c:pt>
                  <c:pt idx="16">
                    <c:v>United Energy</c:v>
                  </c:pt>
                  <c:pt idx="20">
                    <c:v>Victoria</c:v>
                  </c:pt>
                </c:lvl>
              </c:multiLvlStrCache>
            </c:multiLvlStrRef>
          </c:cat>
          <c:val>
            <c:numRef>
              <c:f>'CH_Bill impact annual'!$D$144:$Z$144</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 annual'!$D$145:$Z$145</c15:f>
                <c15:dlblRangeCache>
                  <c:ptCount val="23"/>
                  <c:pt idx="2">
                    <c:v>$0</c:v>
                  </c:pt>
                  <c:pt idx="6">
                    <c:v>$0</c:v>
                  </c:pt>
                  <c:pt idx="10">
                    <c:v>$0</c:v>
                  </c:pt>
                  <c:pt idx="14">
                    <c:v>$0</c:v>
                  </c:pt>
                  <c:pt idx="18">
                    <c:v>$0</c:v>
                  </c:pt>
                  <c:pt idx="22">
                    <c:v>$0</c:v>
                  </c:pt>
                </c15:dlblRangeCache>
              </c15:datalabelsRange>
            </c:ext>
            <c:ext xmlns:c16="http://schemas.microsoft.com/office/drawing/2014/chart" uri="{C3380CC4-5D6E-409C-BE32-E72D297353CC}">
              <c16:uniqueId val="{00000024-D2C5-43A5-ADA9-3B2DCA19C699}"/>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annual'!$C$146</c:f>
          <c:strCache>
            <c:ptCount val="1"/>
            <c:pt idx="0">
              <c:v>Domestic TOU,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annual'!$C$143</c:f>
              <c:strCache>
                <c:ptCount val="1"/>
                <c:pt idx="0">
                  <c:v>Small business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DEB0-4BDA-BE8D-0ED9373FED09}"/>
              </c:ext>
            </c:extLst>
          </c:dPt>
          <c:dPt>
            <c:idx val="4"/>
            <c:invertIfNegative val="0"/>
            <c:bubble3D val="0"/>
            <c:spPr>
              <a:solidFill>
                <a:srgbClr val="4986A0"/>
              </a:solidFill>
              <a:ln>
                <a:noFill/>
              </a:ln>
              <a:effectLst/>
            </c:spPr>
            <c:extLst>
              <c:ext xmlns:c16="http://schemas.microsoft.com/office/drawing/2014/chart" uri="{C3380CC4-5D6E-409C-BE32-E72D297353CC}">
                <c16:uniqueId val="{00000003-DEB0-4BDA-BE8D-0ED9373FED09}"/>
              </c:ext>
            </c:extLst>
          </c:dPt>
          <c:dPt>
            <c:idx val="8"/>
            <c:invertIfNegative val="0"/>
            <c:bubble3D val="0"/>
            <c:spPr>
              <a:solidFill>
                <a:srgbClr val="4986A0"/>
              </a:solidFill>
              <a:ln>
                <a:noFill/>
              </a:ln>
              <a:effectLst/>
            </c:spPr>
            <c:extLst>
              <c:ext xmlns:c16="http://schemas.microsoft.com/office/drawing/2014/chart" uri="{C3380CC4-5D6E-409C-BE32-E72D297353CC}">
                <c16:uniqueId val="{00000005-DEB0-4BDA-BE8D-0ED9373FED09}"/>
              </c:ext>
            </c:extLst>
          </c:dPt>
          <c:dPt>
            <c:idx val="12"/>
            <c:invertIfNegative val="0"/>
            <c:bubble3D val="0"/>
            <c:spPr>
              <a:solidFill>
                <a:srgbClr val="4986A0"/>
              </a:solidFill>
              <a:ln>
                <a:noFill/>
              </a:ln>
              <a:effectLst/>
            </c:spPr>
            <c:extLst>
              <c:ext xmlns:c16="http://schemas.microsoft.com/office/drawing/2014/chart" uri="{C3380CC4-5D6E-409C-BE32-E72D297353CC}">
                <c16:uniqueId val="{00000007-DEB0-4BDA-BE8D-0ED9373FED09}"/>
              </c:ext>
            </c:extLst>
          </c:dPt>
          <c:dPt>
            <c:idx val="16"/>
            <c:invertIfNegative val="0"/>
            <c:bubble3D val="0"/>
            <c:spPr>
              <a:solidFill>
                <a:srgbClr val="4986A0"/>
              </a:solidFill>
              <a:ln>
                <a:noFill/>
              </a:ln>
              <a:effectLst/>
            </c:spPr>
            <c:extLst>
              <c:ext xmlns:c16="http://schemas.microsoft.com/office/drawing/2014/chart" uri="{C3380CC4-5D6E-409C-BE32-E72D297353CC}">
                <c16:uniqueId val="{00000009-DEB0-4BDA-BE8D-0ED9373FED09}"/>
              </c:ext>
            </c:extLst>
          </c:dPt>
          <c:dPt>
            <c:idx val="20"/>
            <c:invertIfNegative val="0"/>
            <c:bubble3D val="0"/>
            <c:spPr>
              <a:solidFill>
                <a:srgbClr val="4986A0"/>
              </a:solidFill>
              <a:ln>
                <a:noFill/>
              </a:ln>
              <a:effectLst/>
            </c:spPr>
            <c:extLst>
              <c:ext xmlns:c16="http://schemas.microsoft.com/office/drawing/2014/chart" uri="{C3380CC4-5D6E-409C-BE32-E72D297353CC}">
                <c16:uniqueId val="{0000000B-DEB0-4BDA-BE8D-0ED9373FED0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annual'!$D$138:$Z$139</c:f>
              <c:multiLvlStrCache>
                <c:ptCount val="23"/>
                <c:lvl>
                  <c:pt idx="1">
                    <c:v>Amended 2021 VDO</c:v>
                  </c:pt>
                  <c:pt idx="2">
                    <c:v>Draft 2022 VDO</c:v>
                  </c:pt>
                  <c:pt idx="5">
                    <c:v>Amended 2021 VDO</c:v>
                  </c:pt>
                  <c:pt idx="6">
                    <c:v>Draft 2022 VDO</c:v>
                  </c:pt>
                  <c:pt idx="9">
                    <c:v>Amended 2021 VDO</c:v>
                  </c:pt>
                  <c:pt idx="10">
                    <c:v>Draft 2022 VDO</c:v>
                  </c:pt>
                  <c:pt idx="13">
                    <c:v>Amended 2021 VDO</c:v>
                  </c:pt>
                  <c:pt idx="14">
                    <c:v>Draft 2022 VDO</c:v>
                  </c:pt>
                  <c:pt idx="17">
                    <c:v>Amended 2021 VDO</c:v>
                  </c:pt>
                  <c:pt idx="18">
                    <c:v>Draft 2022 VDO</c:v>
                  </c:pt>
                  <c:pt idx="21">
                    <c:v>Amended 2021 VDO</c:v>
                  </c:pt>
                  <c:pt idx="22">
                    <c:v>Draft 2022 VDO</c:v>
                  </c:pt>
                </c:lvl>
                <c:lvl>
                  <c:pt idx="0">
                    <c:v>AusNet Services</c:v>
                  </c:pt>
                  <c:pt idx="4">
                    <c:v>Citipower</c:v>
                  </c:pt>
                  <c:pt idx="8">
                    <c:v>Jemena</c:v>
                  </c:pt>
                  <c:pt idx="12">
                    <c:v>Powercor</c:v>
                  </c:pt>
                  <c:pt idx="16">
                    <c:v>United Energy</c:v>
                  </c:pt>
                  <c:pt idx="20">
                    <c:v>Victoria</c:v>
                  </c:pt>
                </c:lvl>
              </c:multiLvlStrCache>
            </c:multiLvlStrRef>
          </c:cat>
          <c:val>
            <c:numRef>
              <c:f>'CH_Bill impact annual'!$D$143:$Z$143</c:f>
              <c:numCache>
                <c:formatCode>"$"#,##0</c:formatCode>
                <c:ptCount val="23"/>
                <c:pt idx="0">
                  <c:v>0</c:v>
                </c:pt>
                <c:pt idx="1">
                  <c:v>6782</c:v>
                </c:pt>
                <c:pt idx="2">
                  <c:v>6782</c:v>
                </c:pt>
                <c:pt idx="4">
                  <c:v>0</c:v>
                </c:pt>
                <c:pt idx="5">
                  <c:v>4534</c:v>
                </c:pt>
                <c:pt idx="6">
                  <c:v>4534</c:v>
                </c:pt>
                <c:pt idx="8">
                  <c:v>0</c:v>
                </c:pt>
                <c:pt idx="9">
                  <c:v>5165</c:v>
                </c:pt>
                <c:pt idx="10">
                  <c:v>5165</c:v>
                </c:pt>
                <c:pt idx="12">
                  <c:v>0</c:v>
                </c:pt>
                <c:pt idx="13">
                  <c:v>4779</c:v>
                </c:pt>
                <c:pt idx="14">
                  <c:v>4779</c:v>
                </c:pt>
                <c:pt idx="16">
                  <c:v>0</c:v>
                </c:pt>
                <c:pt idx="17">
                  <c:v>4659</c:v>
                </c:pt>
                <c:pt idx="18">
                  <c:v>4659</c:v>
                </c:pt>
                <c:pt idx="20">
                  <c:v>0</c:v>
                </c:pt>
                <c:pt idx="21">
                  <c:v>5183.8</c:v>
                </c:pt>
                <c:pt idx="22">
                  <c:v>5183.8</c:v>
                </c:pt>
              </c:numCache>
            </c:numRef>
          </c:val>
          <c:extLst>
            <c:ext xmlns:c16="http://schemas.microsoft.com/office/drawing/2014/chart" uri="{C3380CC4-5D6E-409C-BE32-E72D297353CC}">
              <c16:uniqueId val="{0000000C-DEB0-4BDA-BE8D-0ED9373FED09}"/>
            </c:ext>
          </c:extLst>
        </c:ser>
        <c:ser>
          <c:idx val="1"/>
          <c:order val="1"/>
          <c:tx>
            <c:strRef>
              <c:f>'CH_Bill impact annual'!$C$144</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EB0-4BDA-BE8D-0ED9373FED09}"/>
                </c:ext>
              </c:extLst>
            </c:dLbl>
            <c:dLbl>
              <c:idx val="1"/>
              <c:tx>
                <c:rich>
                  <a:bodyPr/>
                  <a:lstStyle/>
                  <a:p>
                    <a:fld id="{530249A7-50BC-4892-85C2-51EB1C26C285}"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DEB0-4BDA-BE8D-0ED9373FED09}"/>
                </c:ext>
              </c:extLst>
            </c:dLbl>
            <c:dLbl>
              <c:idx val="2"/>
              <c:tx>
                <c:rich>
                  <a:bodyPr/>
                  <a:lstStyle/>
                  <a:p>
                    <a:fld id="{9F48BAFE-51C7-43CB-86F4-B2863AF17B76}"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EB0-4BDA-BE8D-0ED9373FED09}"/>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DEB0-4BDA-BE8D-0ED9373FED09}"/>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DEB0-4BDA-BE8D-0ED9373FED09}"/>
                </c:ext>
              </c:extLst>
            </c:dLbl>
            <c:dLbl>
              <c:idx val="5"/>
              <c:tx>
                <c:rich>
                  <a:bodyPr/>
                  <a:lstStyle/>
                  <a:p>
                    <a:fld id="{3271B1AE-FB32-4A6C-BD16-7CF3BD1F713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DEB0-4BDA-BE8D-0ED9373FED09}"/>
                </c:ext>
              </c:extLst>
            </c:dLbl>
            <c:dLbl>
              <c:idx val="6"/>
              <c:tx>
                <c:rich>
                  <a:bodyPr/>
                  <a:lstStyle/>
                  <a:p>
                    <a:fld id="{154CDDB5-9019-43D9-9618-7110B9A08311}"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EB0-4BDA-BE8D-0ED9373FED09}"/>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DEB0-4BDA-BE8D-0ED9373FED09}"/>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DEB0-4BDA-BE8D-0ED9373FED09}"/>
                </c:ext>
              </c:extLst>
            </c:dLbl>
            <c:dLbl>
              <c:idx val="9"/>
              <c:tx>
                <c:rich>
                  <a:bodyPr/>
                  <a:lstStyle/>
                  <a:p>
                    <a:fld id="{BBD97A32-6591-4FD3-B718-0AAD1D97BE2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DEB0-4BDA-BE8D-0ED9373FED09}"/>
                </c:ext>
              </c:extLst>
            </c:dLbl>
            <c:dLbl>
              <c:idx val="10"/>
              <c:tx>
                <c:rich>
                  <a:bodyPr/>
                  <a:lstStyle/>
                  <a:p>
                    <a:fld id="{6C2B06E7-DA8E-49B8-BD9B-3BDCEE6E5802}"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EB0-4BDA-BE8D-0ED9373FED09}"/>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DEB0-4BDA-BE8D-0ED9373FED09}"/>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DEB0-4BDA-BE8D-0ED9373FED09}"/>
                </c:ext>
              </c:extLst>
            </c:dLbl>
            <c:dLbl>
              <c:idx val="13"/>
              <c:tx>
                <c:rich>
                  <a:bodyPr/>
                  <a:lstStyle/>
                  <a:p>
                    <a:fld id="{A61A3E5D-91E6-44FE-8F64-65156C8D0AF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DEB0-4BDA-BE8D-0ED9373FED09}"/>
                </c:ext>
              </c:extLst>
            </c:dLbl>
            <c:dLbl>
              <c:idx val="14"/>
              <c:tx>
                <c:rich>
                  <a:bodyPr/>
                  <a:lstStyle/>
                  <a:p>
                    <a:fld id="{775AD11D-68BF-4900-BB97-BFC6E3C4CC52}"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EB0-4BDA-BE8D-0ED9373FED09}"/>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DEB0-4BDA-BE8D-0ED9373FED09}"/>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DEB0-4BDA-BE8D-0ED9373FED09}"/>
                </c:ext>
              </c:extLst>
            </c:dLbl>
            <c:dLbl>
              <c:idx val="17"/>
              <c:tx>
                <c:rich>
                  <a:bodyPr/>
                  <a:lstStyle/>
                  <a:p>
                    <a:fld id="{DCA0DBC1-1CFC-4610-AC3A-C16DE2FCDBCE}"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DEB0-4BDA-BE8D-0ED9373FED09}"/>
                </c:ext>
              </c:extLst>
            </c:dLbl>
            <c:dLbl>
              <c:idx val="18"/>
              <c:tx>
                <c:rich>
                  <a:bodyPr/>
                  <a:lstStyle/>
                  <a:p>
                    <a:fld id="{115023B3-A525-4F2F-8087-D58DAB1C2731}"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EB0-4BDA-BE8D-0ED9373FED09}"/>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DEB0-4BDA-BE8D-0ED9373FED09}"/>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DEB0-4BDA-BE8D-0ED9373FED09}"/>
                </c:ext>
              </c:extLst>
            </c:dLbl>
            <c:dLbl>
              <c:idx val="21"/>
              <c:tx>
                <c:rich>
                  <a:bodyPr/>
                  <a:lstStyle/>
                  <a:p>
                    <a:fld id="{2FA0A36F-706E-4195-A136-B31E0F1DA9E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DEB0-4BDA-BE8D-0ED9373FED09}"/>
                </c:ext>
              </c:extLst>
            </c:dLbl>
            <c:dLbl>
              <c:idx val="22"/>
              <c:tx>
                <c:rich>
                  <a:bodyPr/>
                  <a:lstStyle/>
                  <a:p>
                    <a:fld id="{A9913CC6-45C0-45F3-A2D6-A81931B458F6}"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EB0-4BDA-BE8D-0ED9373FED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annual'!$D$138:$Z$139</c:f>
              <c:multiLvlStrCache>
                <c:ptCount val="23"/>
                <c:lvl>
                  <c:pt idx="1">
                    <c:v>Amended 2021 VDO</c:v>
                  </c:pt>
                  <c:pt idx="2">
                    <c:v>Draft 2022 VDO</c:v>
                  </c:pt>
                  <c:pt idx="5">
                    <c:v>Amended 2021 VDO</c:v>
                  </c:pt>
                  <c:pt idx="6">
                    <c:v>Draft 2022 VDO</c:v>
                  </c:pt>
                  <c:pt idx="9">
                    <c:v>Amended 2021 VDO</c:v>
                  </c:pt>
                  <c:pt idx="10">
                    <c:v>Draft 2022 VDO</c:v>
                  </c:pt>
                  <c:pt idx="13">
                    <c:v>Amended 2021 VDO</c:v>
                  </c:pt>
                  <c:pt idx="14">
                    <c:v>Draft 2022 VDO</c:v>
                  </c:pt>
                  <c:pt idx="17">
                    <c:v>Amended 2021 VDO</c:v>
                  </c:pt>
                  <c:pt idx="18">
                    <c:v>Draft 2022 VDO</c:v>
                  </c:pt>
                  <c:pt idx="21">
                    <c:v>Amended 2021 VDO</c:v>
                  </c:pt>
                  <c:pt idx="22">
                    <c:v>Draft 2022 VDO</c:v>
                  </c:pt>
                </c:lvl>
                <c:lvl>
                  <c:pt idx="0">
                    <c:v>AusNet Services</c:v>
                  </c:pt>
                  <c:pt idx="4">
                    <c:v>Citipower</c:v>
                  </c:pt>
                  <c:pt idx="8">
                    <c:v>Jemena</c:v>
                  </c:pt>
                  <c:pt idx="12">
                    <c:v>Powercor</c:v>
                  </c:pt>
                  <c:pt idx="16">
                    <c:v>United Energy</c:v>
                  </c:pt>
                  <c:pt idx="20">
                    <c:v>Victoria</c:v>
                  </c:pt>
                </c:lvl>
              </c:multiLvlStrCache>
            </c:multiLvlStrRef>
          </c:cat>
          <c:val>
            <c:numRef>
              <c:f>'CH_Bill impact annual'!$D$144:$Z$144</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 annual'!$D$148:$Z$148</c15:f>
                <c15:dlblRangeCache>
                  <c:ptCount val="23"/>
                  <c:pt idx="2">
                    <c:v>$0</c:v>
                  </c:pt>
                  <c:pt idx="6">
                    <c:v>$0</c:v>
                  </c:pt>
                  <c:pt idx="10">
                    <c:v>$0</c:v>
                  </c:pt>
                  <c:pt idx="14">
                    <c:v>$0</c:v>
                  </c:pt>
                  <c:pt idx="18">
                    <c:v>$0</c:v>
                  </c:pt>
                  <c:pt idx="22">
                    <c:v>$0</c:v>
                  </c:pt>
                </c15:dlblRangeCache>
              </c15:datalabelsRange>
            </c:ext>
            <c:ext xmlns:c16="http://schemas.microsoft.com/office/drawing/2014/chart" uri="{C3380CC4-5D6E-409C-BE32-E72D297353CC}">
              <c16:uniqueId val="{00000024-DEB0-4BDA-BE8D-0ED9373FED09}"/>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annual'!$C$149</c:f>
          <c:strCache>
            <c:ptCount val="1"/>
            <c:pt idx="0">
              <c:v>Small business flat rate,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annual'!$C$143</c:f>
              <c:strCache>
                <c:ptCount val="1"/>
                <c:pt idx="0">
                  <c:v>Small business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C06A-416B-82A4-0E5CC1C371D6}"/>
              </c:ext>
            </c:extLst>
          </c:dPt>
          <c:dPt>
            <c:idx val="4"/>
            <c:invertIfNegative val="0"/>
            <c:bubble3D val="0"/>
            <c:spPr>
              <a:solidFill>
                <a:srgbClr val="4986A0"/>
              </a:solidFill>
              <a:ln>
                <a:noFill/>
              </a:ln>
              <a:effectLst/>
            </c:spPr>
            <c:extLst>
              <c:ext xmlns:c16="http://schemas.microsoft.com/office/drawing/2014/chart" uri="{C3380CC4-5D6E-409C-BE32-E72D297353CC}">
                <c16:uniqueId val="{00000003-C06A-416B-82A4-0E5CC1C371D6}"/>
              </c:ext>
            </c:extLst>
          </c:dPt>
          <c:dPt>
            <c:idx val="8"/>
            <c:invertIfNegative val="0"/>
            <c:bubble3D val="0"/>
            <c:spPr>
              <a:solidFill>
                <a:srgbClr val="4986A0"/>
              </a:solidFill>
              <a:ln>
                <a:noFill/>
              </a:ln>
              <a:effectLst/>
            </c:spPr>
            <c:extLst>
              <c:ext xmlns:c16="http://schemas.microsoft.com/office/drawing/2014/chart" uri="{C3380CC4-5D6E-409C-BE32-E72D297353CC}">
                <c16:uniqueId val="{00000005-C06A-416B-82A4-0E5CC1C371D6}"/>
              </c:ext>
            </c:extLst>
          </c:dPt>
          <c:dPt>
            <c:idx val="12"/>
            <c:invertIfNegative val="0"/>
            <c:bubble3D val="0"/>
            <c:spPr>
              <a:solidFill>
                <a:srgbClr val="4986A0"/>
              </a:solidFill>
              <a:ln>
                <a:noFill/>
              </a:ln>
              <a:effectLst/>
            </c:spPr>
            <c:extLst>
              <c:ext xmlns:c16="http://schemas.microsoft.com/office/drawing/2014/chart" uri="{C3380CC4-5D6E-409C-BE32-E72D297353CC}">
                <c16:uniqueId val="{00000007-C06A-416B-82A4-0E5CC1C371D6}"/>
              </c:ext>
            </c:extLst>
          </c:dPt>
          <c:dPt>
            <c:idx val="16"/>
            <c:invertIfNegative val="0"/>
            <c:bubble3D val="0"/>
            <c:spPr>
              <a:solidFill>
                <a:srgbClr val="4986A0"/>
              </a:solidFill>
              <a:ln>
                <a:noFill/>
              </a:ln>
              <a:effectLst/>
            </c:spPr>
            <c:extLst>
              <c:ext xmlns:c16="http://schemas.microsoft.com/office/drawing/2014/chart" uri="{C3380CC4-5D6E-409C-BE32-E72D297353CC}">
                <c16:uniqueId val="{00000009-C06A-416B-82A4-0E5CC1C371D6}"/>
              </c:ext>
            </c:extLst>
          </c:dPt>
          <c:dPt>
            <c:idx val="20"/>
            <c:invertIfNegative val="0"/>
            <c:bubble3D val="0"/>
            <c:spPr>
              <a:solidFill>
                <a:srgbClr val="4986A0"/>
              </a:solidFill>
              <a:ln>
                <a:noFill/>
              </a:ln>
              <a:effectLst/>
            </c:spPr>
            <c:extLst>
              <c:ext xmlns:c16="http://schemas.microsoft.com/office/drawing/2014/chart" uri="{C3380CC4-5D6E-409C-BE32-E72D297353CC}">
                <c16:uniqueId val="{0000000B-C06A-416B-82A4-0E5CC1C371D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annual'!$D$138:$Z$139</c:f>
              <c:multiLvlStrCache>
                <c:ptCount val="23"/>
                <c:lvl>
                  <c:pt idx="1">
                    <c:v>Amended 2021 VDO</c:v>
                  </c:pt>
                  <c:pt idx="2">
                    <c:v>Draft 2022 VDO</c:v>
                  </c:pt>
                  <c:pt idx="5">
                    <c:v>Amended 2021 VDO</c:v>
                  </c:pt>
                  <c:pt idx="6">
                    <c:v>Draft 2022 VDO</c:v>
                  </c:pt>
                  <c:pt idx="9">
                    <c:v>Amended 2021 VDO</c:v>
                  </c:pt>
                  <c:pt idx="10">
                    <c:v>Draft 2022 VDO</c:v>
                  </c:pt>
                  <c:pt idx="13">
                    <c:v>Amended 2021 VDO</c:v>
                  </c:pt>
                  <c:pt idx="14">
                    <c:v>Draft 2022 VDO</c:v>
                  </c:pt>
                  <c:pt idx="17">
                    <c:v>Amended 2021 VDO</c:v>
                  </c:pt>
                  <c:pt idx="18">
                    <c:v>Draft 2022 VDO</c:v>
                  </c:pt>
                  <c:pt idx="21">
                    <c:v>Amended 2021 VDO</c:v>
                  </c:pt>
                  <c:pt idx="22">
                    <c:v>Draft 2022 VDO</c:v>
                  </c:pt>
                </c:lvl>
                <c:lvl>
                  <c:pt idx="0">
                    <c:v>AusNet Services</c:v>
                  </c:pt>
                  <c:pt idx="4">
                    <c:v>Citipower</c:v>
                  </c:pt>
                  <c:pt idx="8">
                    <c:v>Jemena</c:v>
                  </c:pt>
                  <c:pt idx="12">
                    <c:v>Powercor</c:v>
                  </c:pt>
                  <c:pt idx="16">
                    <c:v>United Energy</c:v>
                  </c:pt>
                  <c:pt idx="20">
                    <c:v>Victoria</c:v>
                  </c:pt>
                </c:lvl>
              </c:multiLvlStrCache>
            </c:multiLvlStrRef>
          </c:cat>
          <c:val>
            <c:numRef>
              <c:f>'CH_Bill impact annual'!$D$143:$Z$143</c:f>
              <c:numCache>
                <c:formatCode>"$"#,##0</c:formatCode>
                <c:ptCount val="23"/>
                <c:pt idx="0">
                  <c:v>0</c:v>
                </c:pt>
                <c:pt idx="1">
                  <c:v>6782</c:v>
                </c:pt>
                <c:pt idx="2">
                  <c:v>6782</c:v>
                </c:pt>
                <c:pt idx="4">
                  <c:v>0</c:v>
                </c:pt>
                <c:pt idx="5">
                  <c:v>4534</c:v>
                </c:pt>
                <c:pt idx="6">
                  <c:v>4534</c:v>
                </c:pt>
                <c:pt idx="8">
                  <c:v>0</c:v>
                </c:pt>
                <c:pt idx="9">
                  <c:v>5165</c:v>
                </c:pt>
                <c:pt idx="10">
                  <c:v>5165</c:v>
                </c:pt>
                <c:pt idx="12">
                  <c:v>0</c:v>
                </c:pt>
                <c:pt idx="13">
                  <c:v>4779</c:v>
                </c:pt>
                <c:pt idx="14">
                  <c:v>4779</c:v>
                </c:pt>
                <c:pt idx="16">
                  <c:v>0</c:v>
                </c:pt>
                <c:pt idx="17">
                  <c:v>4659</c:v>
                </c:pt>
                <c:pt idx="18">
                  <c:v>4659</c:v>
                </c:pt>
                <c:pt idx="20">
                  <c:v>0</c:v>
                </c:pt>
                <c:pt idx="21">
                  <c:v>5183.8</c:v>
                </c:pt>
                <c:pt idx="22">
                  <c:v>5183.8</c:v>
                </c:pt>
              </c:numCache>
            </c:numRef>
          </c:val>
          <c:extLst>
            <c:ext xmlns:c16="http://schemas.microsoft.com/office/drawing/2014/chart" uri="{C3380CC4-5D6E-409C-BE32-E72D297353CC}">
              <c16:uniqueId val="{0000000C-C06A-416B-82A4-0E5CC1C371D6}"/>
            </c:ext>
          </c:extLst>
        </c:ser>
        <c:ser>
          <c:idx val="1"/>
          <c:order val="1"/>
          <c:tx>
            <c:strRef>
              <c:f>'CH_Bill impact annual'!$C$144</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06A-416B-82A4-0E5CC1C371D6}"/>
                </c:ext>
              </c:extLst>
            </c:dLbl>
            <c:dLbl>
              <c:idx val="1"/>
              <c:tx>
                <c:rich>
                  <a:bodyPr/>
                  <a:lstStyle/>
                  <a:p>
                    <a:fld id="{8B0B84CD-6680-47CD-87E5-755C39F44B6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C06A-416B-82A4-0E5CC1C371D6}"/>
                </c:ext>
              </c:extLst>
            </c:dLbl>
            <c:dLbl>
              <c:idx val="2"/>
              <c:tx>
                <c:rich>
                  <a:bodyPr/>
                  <a:lstStyle/>
                  <a:p>
                    <a:fld id="{81B840E2-FFEE-4752-9C62-C64A0A37239A}"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06A-416B-82A4-0E5CC1C371D6}"/>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06A-416B-82A4-0E5CC1C371D6}"/>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06A-416B-82A4-0E5CC1C371D6}"/>
                </c:ext>
              </c:extLst>
            </c:dLbl>
            <c:dLbl>
              <c:idx val="5"/>
              <c:tx>
                <c:rich>
                  <a:bodyPr/>
                  <a:lstStyle/>
                  <a:p>
                    <a:fld id="{69B3F9D0-7B2E-4075-A066-0D107EAC74F9}"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C06A-416B-82A4-0E5CC1C371D6}"/>
                </c:ext>
              </c:extLst>
            </c:dLbl>
            <c:dLbl>
              <c:idx val="6"/>
              <c:tx>
                <c:rich>
                  <a:bodyPr/>
                  <a:lstStyle/>
                  <a:p>
                    <a:fld id="{10E46739-DF2B-4B23-808E-538F0910ED0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06A-416B-82A4-0E5CC1C371D6}"/>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06A-416B-82A4-0E5CC1C371D6}"/>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06A-416B-82A4-0E5CC1C371D6}"/>
                </c:ext>
              </c:extLst>
            </c:dLbl>
            <c:dLbl>
              <c:idx val="9"/>
              <c:tx>
                <c:rich>
                  <a:bodyPr/>
                  <a:lstStyle/>
                  <a:p>
                    <a:fld id="{3EB2F7FC-BA20-43D4-B5DD-D8319580BC2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C06A-416B-82A4-0E5CC1C371D6}"/>
                </c:ext>
              </c:extLst>
            </c:dLbl>
            <c:dLbl>
              <c:idx val="10"/>
              <c:tx>
                <c:rich>
                  <a:bodyPr/>
                  <a:lstStyle/>
                  <a:p>
                    <a:fld id="{05F3ADFA-5885-49A3-9192-526C4BA00F22}"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06A-416B-82A4-0E5CC1C371D6}"/>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06A-416B-82A4-0E5CC1C371D6}"/>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06A-416B-82A4-0E5CC1C371D6}"/>
                </c:ext>
              </c:extLst>
            </c:dLbl>
            <c:dLbl>
              <c:idx val="13"/>
              <c:tx>
                <c:rich>
                  <a:bodyPr/>
                  <a:lstStyle/>
                  <a:p>
                    <a:fld id="{0AD9FD28-532A-4584-9B5C-C160A706E609}"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C06A-416B-82A4-0E5CC1C371D6}"/>
                </c:ext>
              </c:extLst>
            </c:dLbl>
            <c:dLbl>
              <c:idx val="14"/>
              <c:tx>
                <c:rich>
                  <a:bodyPr/>
                  <a:lstStyle/>
                  <a:p>
                    <a:fld id="{7C2E6E65-C918-4545-9527-B9C804C15234}"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06A-416B-82A4-0E5CC1C371D6}"/>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06A-416B-82A4-0E5CC1C371D6}"/>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06A-416B-82A4-0E5CC1C371D6}"/>
                </c:ext>
              </c:extLst>
            </c:dLbl>
            <c:dLbl>
              <c:idx val="17"/>
              <c:tx>
                <c:rich>
                  <a:bodyPr/>
                  <a:lstStyle/>
                  <a:p>
                    <a:fld id="{91261682-7883-45B6-BC47-C97C412DD6AE}"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C06A-416B-82A4-0E5CC1C371D6}"/>
                </c:ext>
              </c:extLst>
            </c:dLbl>
            <c:dLbl>
              <c:idx val="18"/>
              <c:tx>
                <c:rich>
                  <a:bodyPr/>
                  <a:lstStyle/>
                  <a:p>
                    <a:fld id="{F94F4FCB-239E-471E-952A-1B441AFE3FA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06A-416B-82A4-0E5CC1C371D6}"/>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06A-416B-82A4-0E5CC1C371D6}"/>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06A-416B-82A4-0E5CC1C371D6}"/>
                </c:ext>
              </c:extLst>
            </c:dLbl>
            <c:dLbl>
              <c:idx val="21"/>
              <c:tx>
                <c:rich>
                  <a:bodyPr/>
                  <a:lstStyle/>
                  <a:p>
                    <a:fld id="{C508EC72-C7C9-4F73-8649-4E983CF91F24}"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C06A-416B-82A4-0E5CC1C371D6}"/>
                </c:ext>
              </c:extLst>
            </c:dLbl>
            <c:dLbl>
              <c:idx val="22"/>
              <c:tx>
                <c:rich>
                  <a:bodyPr/>
                  <a:lstStyle/>
                  <a:p>
                    <a:fld id="{38DF9E27-059B-4E45-87F3-3266F58C6CC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06A-416B-82A4-0E5CC1C371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annual'!$D$138:$Z$139</c:f>
              <c:multiLvlStrCache>
                <c:ptCount val="23"/>
                <c:lvl>
                  <c:pt idx="1">
                    <c:v>Amended 2021 VDO</c:v>
                  </c:pt>
                  <c:pt idx="2">
                    <c:v>Draft 2022 VDO</c:v>
                  </c:pt>
                  <c:pt idx="5">
                    <c:v>Amended 2021 VDO</c:v>
                  </c:pt>
                  <c:pt idx="6">
                    <c:v>Draft 2022 VDO</c:v>
                  </c:pt>
                  <c:pt idx="9">
                    <c:v>Amended 2021 VDO</c:v>
                  </c:pt>
                  <c:pt idx="10">
                    <c:v>Draft 2022 VDO</c:v>
                  </c:pt>
                  <c:pt idx="13">
                    <c:v>Amended 2021 VDO</c:v>
                  </c:pt>
                  <c:pt idx="14">
                    <c:v>Draft 2022 VDO</c:v>
                  </c:pt>
                  <c:pt idx="17">
                    <c:v>Amended 2021 VDO</c:v>
                  </c:pt>
                  <c:pt idx="18">
                    <c:v>Draft 2022 VDO</c:v>
                  </c:pt>
                  <c:pt idx="21">
                    <c:v>Amended 2021 VDO</c:v>
                  </c:pt>
                  <c:pt idx="22">
                    <c:v>Draft 2022 VDO</c:v>
                  </c:pt>
                </c:lvl>
                <c:lvl>
                  <c:pt idx="0">
                    <c:v>AusNet Services</c:v>
                  </c:pt>
                  <c:pt idx="4">
                    <c:v>Citipower</c:v>
                  </c:pt>
                  <c:pt idx="8">
                    <c:v>Jemena</c:v>
                  </c:pt>
                  <c:pt idx="12">
                    <c:v>Powercor</c:v>
                  </c:pt>
                  <c:pt idx="16">
                    <c:v>United Energy</c:v>
                  </c:pt>
                  <c:pt idx="20">
                    <c:v>Victoria</c:v>
                  </c:pt>
                </c:lvl>
              </c:multiLvlStrCache>
            </c:multiLvlStrRef>
          </c:cat>
          <c:val>
            <c:numRef>
              <c:f>'CH_Bill impact annual'!$D$144:$Z$144</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 annual'!$D$151:$Z$151</c15:f>
                <c15:dlblRangeCache>
                  <c:ptCount val="23"/>
                  <c:pt idx="2">
                    <c:v>$0</c:v>
                  </c:pt>
                  <c:pt idx="6">
                    <c:v>$0</c:v>
                  </c:pt>
                  <c:pt idx="10">
                    <c:v>$0</c:v>
                  </c:pt>
                  <c:pt idx="14">
                    <c:v>$0</c:v>
                  </c:pt>
                  <c:pt idx="18">
                    <c:v>$0</c:v>
                  </c:pt>
                  <c:pt idx="22">
                    <c:v>$0</c:v>
                  </c:pt>
                </c15:dlblRangeCache>
              </c15:datalabelsRange>
            </c:ext>
            <c:ext xmlns:c16="http://schemas.microsoft.com/office/drawing/2014/chart" uri="{C3380CC4-5D6E-409C-BE32-E72D297353CC}">
              <c16:uniqueId val="{00000024-C06A-416B-82A4-0E5CC1C371D6}"/>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annual'!$C$154</c:f>
          <c:strCache>
            <c:ptCount val="1"/>
            <c:pt idx="0">
              <c:v>VDO domestic annual bill, Amended VDO 2021 vs Draft VDO 2022,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annual'!$C$154</c:f>
              <c:strCache>
                <c:ptCount val="1"/>
                <c:pt idx="0">
                  <c:v>VDO domestic annual bill, Amended VDO 2021 vs Draft VDO 2022, $</c:v>
                </c:pt>
              </c:strCache>
            </c:strRef>
          </c:tx>
          <c:spPr>
            <a:solidFill>
              <a:srgbClr val="4986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'CH_Bill impact annual'!$D$152:$K$153</c:f>
              <c:multiLvlStrCache>
                <c:ptCount val="8"/>
                <c:lvl>
                  <c:pt idx="1">
                    <c:v>Amended 2021 VDO</c:v>
                  </c:pt>
                  <c:pt idx="2">
                    <c:v>Draft 2022 VDO</c:v>
                  </c:pt>
                  <c:pt idx="5">
                    <c:v>Amended 2021 VDO</c:v>
                  </c:pt>
                  <c:pt idx="6">
                    <c:v>Draft 2022 VDO</c:v>
                  </c:pt>
                  <c:pt idx="7">
                    <c:v> </c:v>
                  </c:pt>
                </c:lvl>
                <c:lvl>
                  <c:pt idx="0">
                    <c:v>Domestic flat rate</c:v>
                  </c:pt>
                  <c:pt idx="4">
                    <c:v>Domestic TOU</c:v>
                  </c:pt>
                </c:lvl>
              </c:multiLvlStrCache>
            </c:multiLvlStrRef>
          </c:cat>
          <c:val>
            <c:numRef>
              <c:f>'CH_Bill impact annual'!$D$154:$K$154</c:f>
              <c:numCache>
                <c:formatCode>"$"#,##0</c:formatCode>
                <c:ptCount val="8"/>
                <c:pt idx="1">
                  <c:v>1146.8</c:v>
                </c:pt>
                <c:pt idx="2">
                  <c:v>1146.8</c:v>
                </c:pt>
                <c:pt idx="5">
                  <c:v>1103</c:v>
                </c:pt>
                <c:pt idx="6">
                  <c:v>1103</c:v>
                </c:pt>
              </c:numCache>
            </c:numRef>
          </c:val>
          <c:extLst>
            <c:ext xmlns:c16="http://schemas.microsoft.com/office/drawing/2014/chart" uri="{C3380CC4-5D6E-409C-BE32-E72D297353CC}">
              <c16:uniqueId val="{00000000-840E-4170-8371-711976276AC7}"/>
            </c:ext>
          </c:extLst>
        </c:ser>
        <c:ser>
          <c:idx val="1"/>
          <c:order val="1"/>
          <c:tx>
            <c:strRef>
              <c:f>'CH_Bill impact annual'!$C$155</c:f>
              <c:strCache>
                <c:ptCount val="1"/>
                <c:pt idx="0">
                  <c:v>VDO small business annual bill, Amended VDO 2021 vs Draft VDO 2022, $</c:v>
                </c:pt>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40E-4170-8371-711976276AC7}"/>
                </c:ext>
              </c:extLst>
            </c:dLbl>
            <c:dLbl>
              <c:idx val="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40E-4170-8371-711976276AC7}"/>
                </c:ext>
              </c:extLst>
            </c:dLbl>
            <c:dLbl>
              <c:idx val="2"/>
              <c:tx>
                <c:rich>
                  <a:bodyPr/>
                  <a:lstStyle/>
                  <a:p>
                    <a:fld id="{958381FA-8EE4-4AEC-BBC8-4F156745D429}"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40E-4170-8371-711976276AC7}"/>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40E-4170-8371-711976276AC7}"/>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40E-4170-8371-711976276AC7}"/>
                </c:ext>
              </c:extLst>
            </c:dLbl>
            <c:dLbl>
              <c:idx val="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40E-4170-8371-711976276AC7}"/>
                </c:ext>
              </c:extLst>
            </c:dLbl>
            <c:dLbl>
              <c:idx val="6"/>
              <c:tx>
                <c:rich>
                  <a:bodyPr/>
                  <a:lstStyle/>
                  <a:p>
                    <a:fld id="{F22A0D3C-82D9-4276-98E2-794D309C4A65}"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40E-4170-8371-711976276AC7}"/>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40E-4170-8371-711976276AC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'CH_Bill impact annual'!$D$152:$K$153</c:f>
              <c:multiLvlStrCache>
                <c:ptCount val="8"/>
                <c:lvl>
                  <c:pt idx="1">
                    <c:v>Amended 2021 VDO</c:v>
                  </c:pt>
                  <c:pt idx="2">
                    <c:v>Draft 2022 VDO</c:v>
                  </c:pt>
                  <c:pt idx="5">
                    <c:v>Amended 2021 VDO</c:v>
                  </c:pt>
                  <c:pt idx="6">
                    <c:v>Draft 2022 VDO</c:v>
                  </c:pt>
                  <c:pt idx="7">
                    <c:v> </c:v>
                  </c:pt>
                </c:lvl>
                <c:lvl>
                  <c:pt idx="0">
                    <c:v>Domestic flat rate</c:v>
                  </c:pt>
                  <c:pt idx="4">
                    <c:v>Domestic TOU</c:v>
                  </c:pt>
                </c:lvl>
              </c:multiLvlStrCache>
            </c:multiLvlStrRef>
          </c:cat>
          <c:val>
            <c:numRef>
              <c:f>'CH_Bill impact annual'!$D$155:$K$155</c:f>
              <c:numCache>
                <c:formatCode>"$"#,##0</c:formatCode>
                <c:ptCount val="8"/>
                <c:pt idx="2">
                  <c:v>0</c:v>
                </c:pt>
                <c:pt idx="6">
                  <c:v>0</c:v>
                </c:pt>
              </c:numCache>
            </c:numRef>
          </c:val>
          <c:extLst>
            <c:ext xmlns:c15="http://schemas.microsoft.com/office/drawing/2012/chart" uri="{02D57815-91ED-43cb-92C2-25804820EDAC}">
              <c15:datalabelsRange>
                <c15:f>'CH_Bill impact annual'!$D$156:$R$156</c15:f>
                <c15:dlblRangeCache>
                  <c:ptCount val="15"/>
                  <c:pt idx="2">
                    <c:v>$0</c:v>
                  </c:pt>
                  <c:pt idx="6">
                    <c:v>$0</c:v>
                  </c:pt>
                  <c:pt idx="10">
                    <c:v>$0</c:v>
                  </c:pt>
                  <c:pt idx="14">
                    <c:v>$0</c:v>
                  </c:pt>
                </c15:dlblRangeCache>
              </c15:datalabelsRange>
            </c:ext>
            <c:ext xmlns:c16="http://schemas.microsoft.com/office/drawing/2014/chart" uri="{C3380CC4-5D6E-409C-BE32-E72D297353CC}">
              <c16:uniqueId val="{00000009-840E-4170-8371-711976276AC7}"/>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02820096"/>
        <c:crosses val="autoZero"/>
        <c:auto val="1"/>
        <c:lblAlgn val="ctr"/>
        <c:lblOffset val="100"/>
        <c:noMultiLvlLbl val="0"/>
      </c:catAx>
      <c:valAx>
        <c:axId val="702820096"/>
        <c:scaling>
          <c:orientation val="minMax"/>
          <c:min val="700"/>
        </c:scaling>
        <c:delete val="1"/>
        <c:axPos val="l"/>
        <c:numFmt formatCode="&quot;$&quot;#,##0" sourceLinked="1"/>
        <c:majorTickMark val="out"/>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annual'!$C$155</c:f>
          <c:strCache>
            <c:ptCount val="1"/>
            <c:pt idx="0">
              <c:v>VDO small business annual bill, Amended VDO 2021 vs Draft VDO 2022,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annual'!$C$154</c:f>
              <c:strCache>
                <c:ptCount val="1"/>
                <c:pt idx="0">
                  <c:v>VDO domestic annual bill, Amended VDO 2021 vs Draft VDO 2022, $</c:v>
                </c:pt>
              </c:strCache>
            </c:strRef>
          </c:tx>
          <c:spPr>
            <a:solidFill>
              <a:srgbClr val="4986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annual'!$L$152:$S$153</c:f>
              <c:multiLvlStrCache>
                <c:ptCount val="8"/>
                <c:lvl>
                  <c:pt idx="1">
                    <c:v>Amended 2021 VDO</c:v>
                  </c:pt>
                  <c:pt idx="2">
                    <c:v>Draft 2022 VDO</c:v>
                  </c:pt>
                  <c:pt idx="5">
                    <c:v>Amended 2021 VDO</c:v>
                  </c:pt>
                  <c:pt idx="6">
                    <c:v>Draft 2022 VDO</c:v>
                  </c:pt>
                  <c:pt idx="7">
                    <c:v> </c:v>
                  </c:pt>
                </c:lvl>
                <c:lvl>
                  <c:pt idx="0">
                    <c:v>Small business flat rate</c:v>
                  </c:pt>
                  <c:pt idx="4">
                    <c:v>Small business TOU</c:v>
                  </c:pt>
                </c:lvl>
              </c:multiLvlStrCache>
            </c:multiLvlStrRef>
          </c:cat>
          <c:val>
            <c:numRef>
              <c:f>'CH_Bill impact annual'!$L$154:$S$154</c:f>
              <c:numCache>
                <c:formatCode>"$"#,##0</c:formatCode>
                <c:ptCount val="8"/>
                <c:pt idx="1">
                  <c:v>5183.8</c:v>
                </c:pt>
                <c:pt idx="2">
                  <c:v>5183.8</c:v>
                </c:pt>
                <c:pt idx="5">
                  <c:v>4685</c:v>
                </c:pt>
                <c:pt idx="6">
                  <c:v>4685</c:v>
                </c:pt>
              </c:numCache>
            </c:numRef>
          </c:val>
          <c:extLst>
            <c:ext xmlns:c16="http://schemas.microsoft.com/office/drawing/2014/chart" uri="{C3380CC4-5D6E-409C-BE32-E72D297353CC}">
              <c16:uniqueId val="{00000000-D323-4451-BDF6-8D39E652B01A}"/>
            </c:ext>
          </c:extLst>
        </c:ser>
        <c:ser>
          <c:idx val="1"/>
          <c:order val="1"/>
          <c:tx>
            <c:strRef>
              <c:f>'CH_Bill impact annual'!$C$155</c:f>
              <c:strCache>
                <c:ptCount val="1"/>
                <c:pt idx="0">
                  <c:v>VDO small business annual bill, Amended VDO 2021 vs Draft VDO 2022, $</c:v>
                </c:pt>
              </c:strCache>
            </c:strRef>
          </c:tx>
          <c:spPr>
            <a:noFill/>
            <a:ln>
              <a:noFill/>
            </a:ln>
            <a:effectLst/>
          </c:spPr>
          <c:invertIfNegative val="0"/>
          <c:dLbls>
            <c:dLbl>
              <c:idx val="0"/>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323-4451-BDF6-8D39E652B01A}"/>
                </c:ext>
              </c:extLst>
            </c:dLbl>
            <c:dLbl>
              <c:idx val="1"/>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323-4451-BDF6-8D39E652B01A}"/>
                </c:ext>
              </c:extLst>
            </c:dLbl>
            <c:dLbl>
              <c:idx val="2"/>
              <c:tx>
                <c:rich>
                  <a:bodyPr/>
                  <a:lstStyle/>
                  <a:p>
                    <a:fld id="{A139406D-DFD1-4F7D-83FA-A676BC6AFD63}"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323-4451-BDF6-8D39E652B01A}"/>
                </c:ext>
              </c:extLst>
            </c:dLbl>
            <c:dLbl>
              <c:idx val="3"/>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323-4451-BDF6-8D39E652B01A}"/>
                </c:ext>
              </c:extLst>
            </c:dLbl>
            <c:dLbl>
              <c:idx val="4"/>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323-4451-BDF6-8D39E652B01A}"/>
                </c:ext>
              </c:extLst>
            </c:dLbl>
            <c:dLbl>
              <c:idx val="5"/>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323-4451-BDF6-8D39E652B01A}"/>
                </c:ext>
              </c:extLst>
            </c:dLbl>
            <c:dLbl>
              <c:idx val="6"/>
              <c:tx>
                <c:rich>
                  <a:bodyPr/>
                  <a:lstStyle/>
                  <a:p>
                    <a:fld id="{E3AF8C0F-5E2B-4101-998D-03FFECF5BC20}"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323-4451-BDF6-8D39E652B01A}"/>
                </c:ext>
              </c:extLst>
            </c:dLbl>
            <c:dLbl>
              <c:idx val="7"/>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323-4451-BDF6-8D39E652B01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'CH_Bill impact annual'!$L$152:$S$153</c:f>
              <c:multiLvlStrCache>
                <c:ptCount val="8"/>
                <c:lvl>
                  <c:pt idx="1">
                    <c:v>Amended 2021 VDO</c:v>
                  </c:pt>
                  <c:pt idx="2">
                    <c:v>Draft 2022 VDO</c:v>
                  </c:pt>
                  <c:pt idx="5">
                    <c:v>Amended 2021 VDO</c:v>
                  </c:pt>
                  <c:pt idx="6">
                    <c:v>Draft 2022 VDO</c:v>
                  </c:pt>
                  <c:pt idx="7">
                    <c:v> </c:v>
                  </c:pt>
                </c:lvl>
                <c:lvl>
                  <c:pt idx="0">
                    <c:v>Small business flat rate</c:v>
                  </c:pt>
                  <c:pt idx="4">
                    <c:v>Small business TOU</c:v>
                  </c:pt>
                </c:lvl>
              </c:multiLvlStrCache>
            </c:multiLvlStrRef>
          </c:cat>
          <c:val>
            <c:numRef>
              <c:f>'CH_Bill impact annual'!$L$155:$S$155</c:f>
              <c:numCache>
                <c:formatCode>"$"#,##0</c:formatCode>
                <c:ptCount val="8"/>
                <c:pt idx="2">
                  <c:v>0</c:v>
                </c:pt>
                <c:pt idx="6">
                  <c:v>0</c:v>
                </c:pt>
              </c:numCache>
            </c:numRef>
          </c:val>
          <c:extLst>
            <c:ext xmlns:c15="http://schemas.microsoft.com/office/drawing/2012/chart" uri="{02D57815-91ED-43cb-92C2-25804820EDAC}">
              <c15:datalabelsRange>
                <c15:f>'CH_Bill impact annual'!$L$156:$R$156</c15:f>
                <c15:dlblRangeCache>
                  <c:ptCount val="7"/>
                  <c:pt idx="2">
                    <c:v>$0</c:v>
                  </c:pt>
                  <c:pt idx="6">
                    <c:v>$0</c:v>
                  </c:pt>
                </c15:dlblRangeCache>
              </c15:datalabelsRange>
            </c:ext>
            <c:ext xmlns:c16="http://schemas.microsoft.com/office/drawing/2014/chart" uri="{C3380CC4-5D6E-409C-BE32-E72D297353CC}">
              <c16:uniqueId val="{00000009-D323-4451-BDF6-8D39E652B01A}"/>
            </c:ext>
          </c:extLst>
        </c:ser>
        <c:dLbls>
          <c:dLblPos val="ctr"/>
          <c:showLegendKey val="0"/>
          <c:showVal val="1"/>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02820096"/>
        <c:crosses val="autoZero"/>
        <c:auto val="1"/>
        <c:lblAlgn val="ctr"/>
        <c:lblOffset val="100"/>
        <c:noMultiLvlLbl val="0"/>
      </c:catAx>
      <c:valAx>
        <c:axId val="702820096"/>
        <c:scaling>
          <c:orientation val="minMax"/>
          <c:min val="2000"/>
        </c:scaling>
        <c:delete val="1"/>
        <c:axPos val="l"/>
        <c:numFmt formatCode="&quot;$&quot;#,##0" sourceLinked="1"/>
        <c:majorTickMark val="out"/>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monthly'!$C$140</c:f>
          <c:strCache>
            <c:ptCount val="1"/>
            <c:pt idx="0">
              <c:v>Domestic flat rate,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monthly'!$C$140</c:f>
              <c:strCache>
                <c:ptCount val="1"/>
                <c:pt idx="0">
                  <c:v>Domestic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9007-46C1-ADEA-2462DAE5B430}"/>
              </c:ext>
            </c:extLst>
          </c:dPt>
          <c:dPt>
            <c:idx val="4"/>
            <c:invertIfNegative val="0"/>
            <c:bubble3D val="0"/>
            <c:spPr>
              <a:solidFill>
                <a:srgbClr val="4986A0"/>
              </a:solidFill>
              <a:ln>
                <a:noFill/>
              </a:ln>
              <a:effectLst/>
            </c:spPr>
            <c:extLst>
              <c:ext xmlns:c16="http://schemas.microsoft.com/office/drawing/2014/chart" uri="{C3380CC4-5D6E-409C-BE32-E72D297353CC}">
                <c16:uniqueId val="{00000003-9007-46C1-ADEA-2462DAE5B430}"/>
              </c:ext>
            </c:extLst>
          </c:dPt>
          <c:dPt>
            <c:idx val="8"/>
            <c:invertIfNegative val="0"/>
            <c:bubble3D val="0"/>
            <c:spPr>
              <a:solidFill>
                <a:srgbClr val="4986A0"/>
              </a:solidFill>
              <a:ln>
                <a:noFill/>
              </a:ln>
              <a:effectLst/>
            </c:spPr>
            <c:extLst>
              <c:ext xmlns:c16="http://schemas.microsoft.com/office/drawing/2014/chart" uri="{C3380CC4-5D6E-409C-BE32-E72D297353CC}">
                <c16:uniqueId val="{00000005-9007-46C1-ADEA-2462DAE5B430}"/>
              </c:ext>
            </c:extLst>
          </c:dPt>
          <c:dPt>
            <c:idx val="12"/>
            <c:invertIfNegative val="0"/>
            <c:bubble3D val="0"/>
            <c:spPr>
              <a:solidFill>
                <a:srgbClr val="4986A0"/>
              </a:solidFill>
              <a:ln>
                <a:noFill/>
              </a:ln>
              <a:effectLst/>
            </c:spPr>
            <c:extLst>
              <c:ext xmlns:c16="http://schemas.microsoft.com/office/drawing/2014/chart" uri="{C3380CC4-5D6E-409C-BE32-E72D297353CC}">
                <c16:uniqueId val="{00000007-9007-46C1-ADEA-2462DAE5B430}"/>
              </c:ext>
            </c:extLst>
          </c:dPt>
          <c:dPt>
            <c:idx val="16"/>
            <c:invertIfNegative val="0"/>
            <c:bubble3D val="0"/>
            <c:spPr>
              <a:solidFill>
                <a:srgbClr val="4986A0"/>
              </a:solidFill>
              <a:ln>
                <a:noFill/>
              </a:ln>
              <a:effectLst/>
            </c:spPr>
            <c:extLst>
              <c:ext xmlns:c16="http://schemas.microsoft.com/office/drawing/2014/chart" uri="{C3380CC4-5D6E-409C-BE32-E72D297353CC}">
                <c16:uniqueId val="{00000009-9007-46C1-ADEA-2462DAE5B430}"/>
              </c:ext>
            </c:extLst>
          </c:dPt>
          <c:dPt>
            <c:idx val="20"/>
            <c:invertIfNegative val="0"/>
            <c:bubble3D val="0"/>
            <c:spPr>
              <a:solidFill>
                <a:srgbClr val="4986A0"/>
              </a:solidFill>
              <a:ln>
                <a:noFill/>
              </a:ln>
              <a:effectLst/>
            </c:spPr>
            <c:extLst>
              <c:ext xmlns:c16="http://schemas.microsoft.com/office/drawing/2014/chart" uri="{C3380CC4-5D6E-409C-BE32-E72D297353CC}">
                <c16:uniqueId val="{0000000B-9007-46C1-ADEA-2462DAE5B4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monthly'!$D$138:$Z$139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monthly'!$D$140:$Z$140</c:f>
              <c:numCache>
                <c:formatCode>"$"#,##0</c:formatCode>
                <c:ptCount val="23"/>
                <c:pt idx="0">
                  <c:v>0</c:v>
                </c:pt>
                <c:pt idx="1">
                  <c:v>107.33333333333333</c:v>
                </c:pt>
                <c:pt idx="2">
                  <c:v>107.33333333333333</c:v>
                </c:pt>
                <c:pt idx="4">
                  <c:v>0</c:v>
                </c:pt>
                <c:pt idx="5">
                  <c:v>90.583333333333329</c:v>
                </c:pt>
                <c:pt idx="6">
                  <c:v>90.583333333333329</c:v>
                </c:pt>
                <c:pt idx="8">
                  <c:v>0</c:v>
                </c:pt>
                <c:pt idx="9">
                  <c:v>94.25</c:v>
                </c:pt>
                <c:pt idx="10">
                  <c:v>94.25</c:v>
                </c:pt>
                <c:pt idx="12">
                  <c:v>0</c:v>
                </c:pt>
                <c:pt idx="13">
                  <c:v>94.833333333333329</c:v>
                </c:pt>
                <c:pt idx="14">
                  <c:v>94.833333333333329</c:v>
                </c:pt>
                <c:pt idx="16">
                  <c:v>0</c:v>
                </c:pt>
                <c:pt idx="17">
                  <c:v>90.833333333333329</c:v>
                </c:pt>
                <c:pt idx="18">
                  <c:v>90.833333333333329</c:v>
                </c:pt>
                <c:pt idx="20">
                  <c:v>0</c:v>
                </c:pt>
                <c:pt idx="21">
                  <c:v>95.566666666666663</c:v>
                </c:pt>
                <c:pt idx="22">
                  <c:v>95.566666666666663</c:v>
                </c:pt>
              </c:numCache>
            </c:numRef>
          </c:val>
          <c:extLst>
            <c:ext xmlns:c16="http://schemas.microsoft.com/office/drawing/2014/chart" uri="{C3380CC4-5D6E-409C-BE32-E72D297353CC}">
              <c16:uniqueId val="{0000000C-9007-46C1-ADEA-2462DAE5B430}"/>
            </c:ext>
          </c:extLst>
        </c:ser>
        <c:ser>
          <c:idx val="1"/>
          <c:order val="1"/>
          <c:tx>
            <c:strRef>
              <c:f>'CH_Bill impact monthly'!$C$141</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007-46C1-ADEA-2462DAE5B430}"/>
                </c:ext>
              </c:extLst>
            </c:dLbl>
            <c:dLbl>
              <c:idx val="1"/>
              <c:tx>
                <c:rich>
                  <a:bodyPr/>
                  <a:lstStyle/>
                  <a:p>
                    <a:fld id="{4D0B115D-DADB-4B88-B065-57342687112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9007-46C1-ADEA-2462DAE5B430}"/>
                </c:ext>
              </c:extLst>
            </c:dLbl>
            <c:dLbl>
              <c:idx val="2"/>
              <c:tx>
                <c:rich>
                  <a:bodyPr/>
                  <a:lstStyle/>
                  <a:p>
                    <a:fld id="{D6AD82E5-D891-4F09-94A1-62ACD93733E4}"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007-46C1-ADEA-2462DAE5B430}"/>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007-46C1-ADEA-2462DAE5B430}"/>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007-46C1-ADEA-2462DAE5B430}"/>
                </c:ext>
              </c:extLst>
            </c:dLbl>
            <c:dLbl>
              <c:idx val="5"/>
              <c:tx>
                <c:rich>
                  <a:bodyPr/>
                  <a:lstStyle/>
                  <a:p>
                    <a:fld id="{2B56453C-FC22-41C8-A4DF-BAC52FBEE59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9007-46C1-ADEA-2462DAE5B430}"/>
                </c:ext>
              </c:extLst>
            </c:dLbl>
            <c:dLbl>
              <c:idx val="6"/>
              <c:tx>
                <c:rich>
                  <a:bodyPr/>
                  <a:lstStyle/>
                  <a:p>
                    <a:fld id="{33DC510C-CAEB-4F00-9DC7-693B7FC6BC8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007-46C1-ADEA-2462DAE5B430}"/>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007-46C1-ADEA-2462DAE5B430}"/>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007-46C1-ADEA-2462DAE5B430}"/>
                </c:ext>
              </c:extLst>
            </c:dLbl>
            <c:dLbl>
              <c:idx val="9"/>
              <c:tx>
                <c:rich>
                  <a:bodyPr/>
                  <a:lstStyle/>
                  <a:p>
                    <a:fld id="{D443AE58-8997-43DB-8C16-561E19212E6E}"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9007-46C1-ADEA-2462DAE5B430}"/>
                </c:ext>
              </c:extLst>
            </c:dLbl>
            <c:dLbl>
              <c:idx val="10"/>
              <c:tx>
                <c:rich>
                  <a:bodyPr/>
                  <a:lstStyle/>
                  <a:p>
                    <a:fld id="{E67D7318-0AB5-492F-AD96-EB9E9ED9B614}"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007-46C1-ADEA-2462DAE5B430}"/>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007-46C1-ADEA-2462DAE5B430}"/>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007-46C1-ADEA-2462DAE5B430}"/>
                </c:ext>
              </c:extLst>
            </c:dLbl>
            <c:dLbl>
              <c:idx val="13"/>
              <c:tx>
                <c:rich>
                  <a:bodyPr/>
                  <a:lstStyle/>
                  <a:p>
                    <a:fld id="{F2412630-3B1E-44B3-8B64-F1DB96E08D8E}"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9007-46C1-ADEA-2462DAE5B430}"/>
                </c:ext>
              </c:extLst>
            </c:dLbl>
            <c:dLbl>
              <c:idx val="14"/>
              <c:tx>
                <c:rich>
                  <a:bodyPr/>
                  <a:lstStyle/>
                  <a:p>
                    <a:fld id="{082700FD-8A0C-4E03-A3FD-E45969DA8B9A}"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007-46C1-ADEA-2462DAE5B430}"/>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007-46C1-ADEA-2462DAE5B430}"/>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007-46C1-ADEA-2462DAE5B430}"/>
                </c:ext>
              </c:extLst>
            </c:dLbl>
            <c:dLbl>
              <c:idx val="17"/>
              <c:tx>
                <c:rich>
                  <a:bodyPr/>
                  <a:lstStyle/>
                  <a:p>
                    <a:fld id="{E51966EE-1849-42D6-A482-D55BF01EE05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9007-46C1-ADEA-2462DAE5B430}"/>
                </c:ext>
              </c:extLst>
            </c:dLbl>
            <c:dLbl>
              <c:idx val="18"/>
              <c:tx>
                <c:rich>
                  <a:bodyPr/>
                  <a:lstStyle/>
                  <a:p>
                    <a:fld id="{8F508CB4-1E3E-4CC8-81DF-D005769E910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007-46C1-ADEA-2462DAE5B430}"/>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9007-46C1-ADEA-2462DAE5B430}"/>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9007-46C1-ADEA-2462DAE5B430}"/>
                </c:ext>
              </c:extLst>
            </c:dLbl>
            <c:dLbl>
              <c:idx val="21"/>
              <c:tx>
                <c:rich>
                  <a:bodyPr/>
                  <a:lstStyle/>
                  <a:p>
                    <a:fld id="{BC5F6C6E-070F-440E-9B3B-2D698E9951D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9007-46C1-ADEA-2462DAE5B430}"/>
                </c:ext>
              </c:extLst>
            </c:dLbl>
            <c:dLbl>
              <c:idx val="22"/>
              <c:tx>
                <c:rich>
                  <a:bodyPr/>
                  <a:lstStyle/>
                  <a:p>
                    <a:fld id="{855800EB-53A9-4B90-B008-546D421DE9E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007-46C1-ADEA-2462DAE5B43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monthly'!$D$138:$Z$139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monthly'!$D$141:$Z$141</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 monthly'!$D$142:$Z$142</c15:f>
                <c15:dlblRangeCache>
                  <c:ptCount val="23"/>
                  <c:pt idx="2">
                    <c:v>$0</c:v>
                  </c:pt>
                  <c:pt idx="6">
                    <c:v>$0</c:v>
                  </c:pt>
                  <c:pt idx="10">
                    <c:v>$0</c:v>
                  </c:pt>
                  <c:pt idx="14">
                    <c:v>$0</c:v>
                  </c:pt>
                  <c:pt idx="18">
                    <c:v>$0</c:v>
                  </c:pt>
                  <c:pt idx="22">
                    <c:v>$0</c:v>
                  </c:pt>
                </c15:dlblRangeCache>
              </c15:datalabelsRange>
            </c:ext>
            <c:ext xmlns:c16="http://schemas.microsoft.com/office/drawing/2014/chart" uri="{C3380CC4-5D6E-409C-BE32-E72D297353CC}">
              <c16:uniqueId val="{00000024-9007-46C1-ADEA-2462DAE5B430}"/>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monthly'!$C$143</c:f>
          <c:strCache>
            <c:ptCount val="1"/>
            <c:pt idx="0">
              <c:v>Small business flat rate,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monthly'!$C$143</c:f>
              <c:strCache>
                <c:ptCount val="1"/>
                <c:pt idx="0">
                  <c:v>Small business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C650-4BA8-B0F1-EE274A837C55}"/>
              </c:ext>
            </c:extLst>
          </c:dPt>
          <c:dPt>
            <c:idx val="4"/>
            <c:invertIfNegative val="0"/>
            <c:bubble3D val="0"/>
            <c:spPr>
              <a:solidFill>
                <a:srgbClr val="4986A0"/>
              </a:solidFill>
              <a:ln>
                <a:noFill/>
              </a:ln>
              <a:effectLst/>
            </c:spPr>
            <c:extLst>
              <c:ext xmlns:c16="http://schemas.microsoft.com/office/drawing/2014/chart" uri="{C3380CC4-5D6E-409C-BE32-E72D297353CC}">
                <c16:uniqueId val="{00000003-C650-4BA8-B0F1-EE274A837C55}"/>
              </c:ext>
            </c:extLst>
          </c:dPt>
          <c:dPt>
            <c:idx val="8"/>
            <c:invertIfNegative val="0"/>
            <c:bubble3D val="0"/>
            <c:spPr>
              <a:solidFill>
                <a:srgbClr val="4986A0"/>
              </a:solidFill>
              <a:ln>
                <a:noFill/>
              </a:ln>
              <a:effectLst/>
            </c:spPr>
            <c:extLst>
              <c:ext xmlns:c16="http://schemas.microsoft.com/office/drawing/2014/chart" uri="{C3380CC4-5D6E-409C-BE32-E72D297353CC}">
                <c16:uniqueId val="{00000005-C650-4BA8-B0F1-EE274A837C55}"/>
              </c:ext>
            </c:extLst>
          </c:dPt>
          <c:dPt>
            <c:idx val="12"/>
            <c:invertIfNegative val="0"/>
            <c:bubble3D val="0"/>
            <c:spPr>
              <a:solidFill>
                <a:srgbClr val="4986A0"/>
              </a:solidFill>
              <a:ln>
                <a:noFill/>
              </a:ln>
              <a:effectLst/>
            </c:spPr>
            <c:extLst>
              <c:ext xmlns:c16="http://schemas.microsoft.com/office/drawing/2014/chart" uri="{C3380CC4-5D6E-409C-BE32-E72D297353CC}">
                <c16:uniqueId val="{00000007-C650-4BA8-B0F1-EE274A837C55}"/>
              </c:ext>
            </c:extLst>
          </c:dPt>
          <c:dPt>
            <c:idx val="16"/>
            <c:invertIfNegative val="0"/>
            <c:bubble3D val="0"/>
            <c:spPr>
              <a:solidFill>
                <a:srgbClr val="4986A0"/>
              </a:solidFill>
              <a:ln>
                <a:noFill/>
              </a:ln>
              <a:effectLst/>
            </c:spPr>
            <c:extLst>
              <c:ext xmlns:c16="http://schemas.microsoft.com/office/drawing/2014/chart" uri="{C3380CC4-5D6E-409C-BE32-E72D297353CC}">
                <c16:uniqueId val="{00000009-C650-4BA8-B0F1-EE274A837C55}"/>
              </c:ext>
            </c:extLst>
          </c:dPt>
          <c:dPt>
            <c:idx val="20"/>
            <c:invertIfNegative val="0"/>
            <c:bubble3D val="0"/>
            <c:spPr>
              <a:solidFill>
                <a:srgbClr val="4986A0"/>
              </a:solidFill>
              <a:ln>
                <a:noFill/>
              </a:ln>
              <a:effectLst/>
            </c:spPr>
            <c:extLst>
              <c:ext xmlns:c16="http://schemas.microsoft.com/office/drawing/2014/chart" uri="{C3380CC4-5D6E-409C-BE32-E72D297353CC}">
                <c16:uniqueId val="{0000000B-C650-4BA8-B0F1-EE274A837C5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monthly'!$D$138:$Z$139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monthly'!$D$143:$Z$143</c:f>
              <c:numCache>
                <c:formatCode>"$"#,##0</c:formatCode>
                <c:ptCount val="23"/>
                <c:pt idx="0">
                  <c:v>0</c:v>
                </c:pt>
                <c:pt idx="1">
                  <c:v>565.16666666666663</c:v>
                </c:pt>
                <c:pt idx="2">
                  <c:v>565.16666666666663</c:v>
                </c:pt>
                <c:pt idx="4">
                  <c:v>0</c:v>
                </c:pt>
                <c:pt idx="5">
                  <c:v>377.83333333333331</c:v>
                </c:pt>
                <c:pt idx="6">
                  <c:v>377.83333333333331</c:v>
                </c:pt>
                <c:pt idx="8">
                  <c:v>0</c:v>
                </c:pt>
                <c:pt idx="9">
                  <c:v>430.41666666666669</c:v>
                </c:pt>
                <c:pt idx="10">
                  <c:v>430.41666666666669</c:v>
                </c:pt>
                <c:pt idx="12">
                  <c:v>0</c:v>
                </c:pt>
                <c:pt idx="13">
                  <c:v>398.25</c:v>
                </c:pt>
                <c:pt idx="14">
                  <c:v>398.25</c:v>
                </c:pt>
                <c:pt idx="16">
                  <c:v>0</c:v>
                </c:pt>
                <c:pt idx="17">
                  <c:v>388.25</c:v>
                </c:pt>
                <c:pt idx="18">
                  <c:v>388.25</c:v>
                </c:pt>
                <c:pt idx="20">
                  <c:v>0</c:v>
                </c:pt>
                <c:pt idx="21">
                  <c:v>431.98333333333335</c:v>
                </c:pt>
                <c:pt idx="22">
                  <c:v>431.98333333333335</c:v>
                </c:pt>
              </c:numCache>
            </c:numRef>
          </c:val>
          <c:extLst>
            <c:ext xmlns:c16="http://schemas.microsoft.com/office/drawing/2014/chart" uri="{C3380CC4-5D6E-409C-BE32-E72D297353CC}">
              <c16:uniqueId val="{0000000C-C650-4BA8-B0F1-EE274A837C55}"/>
            </c:ext>
          </c:extLst>
        </c:ser>
        <c:ser>
          <c:idx val="1"/>
          <c:order val="1"/>
          <c:tx>
            <c:strRef>
              <c:f>'CH_Bill impact monthly'!$C$144</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650-4BA8-B0F1-EE274A837C55}"/>
                </c:ext>
              </c:extLst>
            </c:dLbl>
            <c:dLbl>
              <c:idx val="1"/>
              <c:tx>
                <c:rich>
                  <a:bodyPr/>
                  <a:lstStyle/>
                  <a:p>
                    <a:fld id="{F63CAA81-5791-486A-A1D9-9BEB9FBFA242}"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C650-4BA8-B0F1-EE274A837C55}"/>
                </c:ext>
              </c:extLst>
            </c:dLbl>
            <c:dLbl>
              <c:idx val="2"/>
              <c:tx>
                <c:rich>
                  <a:bodyPr/>
                  <a:lstStyle/>
                  <a:p>
                    <a:fld id="{03FE2BFE-4A9F-46D4-9261-8F5A2AE34F8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650-4BA8-B0F1-EE274A837C55}"/>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650-4BA8-B0F1-EE274A837C55}"/>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650-4BA8-B0F1-EE274A837C55}"/>
                </c:ext>
              </c:extLst>
            </c:dLbl>
            <c:dLbl>
              <c:idx val="5"/>
              <c:tx>
                <c:rich>
                  <a:bodyPr/>
                  <a:lstStyle/>
                  <a:p>
                    <a:fld id="{93A60F42-3E76-4428-B490-E8753C4534F3}"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C650-4BA8-B0F1-EE274A837C55}"/>
                </c:ext>
              </c:extLst>
            </c:dLbl>
            <c:dLbl>
              <c:idx val="6"/>
              <c:tx>
                <c:rich>
                  <a:bodyPr/>
                  <a:lstStyle/>
                  <a:p>
                    <a:fld id="{630440C2-24D0-4F51-92C3-F14221EC3A5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650-4BA8-B0F1-EE274A837C55}"/>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650-4BA8-B0F1-EE274A837C55}"/>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650-4BA8-B0F1-EE274A837C55}"/>
                </c:ext>
              </c:extLst>
            </c:dLbl>
            <c:dLbl>
              <c:idx val="9"/>
              <c:tx>
                <c:rich>
                  <a:bodyPr/>
                  <a:lstStyle/>
                  <a:p>
                    <a:fld id="{37982D23-5E75-4F5E-BF92-30DF79B2862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C650-4BA8-B0F1-EE274A837C55}"/>
                </c:ext>
              </c:extLst>
            </c:dLbl>
            <c:dLbl>
              <c:idx val="10"/>
              <c:tx>
                <c:rich>
                  <a:bodyPr/>
                  <a:lstStyle/>
                  <a:p>
                    <a:fld id="{F324F236-778E-4F61-BBC2-FADA3AADE1A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650-4BA8-B0F1-EE274A837C55}"/>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650-4BA8-B0F1-EE274A837C55}"/>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650-4BA8-B0F1-EE274A837C55}"/>
                </c:ext>
              </c:extLst>
            </c:dLbl>
            <c:dLbl>
              <c:idx val="13"/>
              <c:tx>
                <c:rich>
                  <a:bodyPr/>
                  <a:lstStyle/>
                  <a:p>
                    <a:fld id="{33B519D1-60BA-49D1-B0E3-A436F139C22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C650-4BA8-B0F1-EE274A837C55}"/>
                </c:ext>
              </c:extLst>
            </c:dLbl>
            <c:dLbl>
              <c:idx val="14"/>
              <c:tx>
                <c:rich>
                  <a:bodyPr/>
                  <a:lstStyle/>
                  <a:p>
                    <a:fld id="{04F0D88A-CBAD-43A5-A097-BD7D90F14362}"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650-4BA8-B0F1-EE274A837C55}"/>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650-4BA8-B0F1-EE274A837C55}"/>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650-4BA8-B0F1-EE274A837C55}"/>
                </c:ext>
              </c:extLst>
            </c:dLbl>
            <c:dLbl>
              <c:idx val="17"/>
              <c:tx>
                <c:rich>
                  <a:bodyPr/>
                  <a:lstStyle/>
                  <a:p>
                    <a:fld id="{59976339-AD8D-44F4-ACF5-2017AEA23C7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C650-4BA8-B0F1-EE274A837C55}"/>
                </c:ext>
              </c:extLst>
            </c:dLbl>
            <c:dLbl>
              <c:idx val="18"/>
              <c:tx>
                <c:rich>
                  <a:bodyPr/>
                  <a:lstStyle/>
                  <a:p>
                    <a:fld id="{463B14DF-98C4-4000-AC5D-AB216611272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650-4BA8-B0F1-EE274A837C55}"/>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650-4BA8-B0F1-EE274A837C55}"/>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650-4BA8-B0F1-EE274A837C55}"/>
                </c:ext>
              </c:extLst>
            </c:dLbl>
            <c:dLbl>
              <c:idx val="21"/>
              <c:tx>
                <c:rich>
                  <a:bodyPr/>
                  <a:lstStyle/>
                  <a:p>
                    <a:fld id="{9C6949F0-5D7C-43DA-9F8A-1BD90565D3DD}"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C650-4BA8-B0F1-EE274A837C55}"/>
                </c:ext>
              </c:extLst>
            </c:dLbl>
            <c:dLbl>
              <c:idx val="22"/>
              <c:tx>
                <c:rich>
                  <a:bodyPr/>
                  <a:lstStyle/>
                  <a:p>
                    <a:fld id="{17F0F3FF-3C39-42F9-AF56-66D442A454E6}"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650-4BA8-B0F1-EE274A837C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monthly'!$D$138:$Z$139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monthly'!$D$144:$Z$144</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 monthly'!$D$145:$Z$145</c15:f>
                <c15:dlblRangeCache>
                  <c:ptCount val="23"/>
                  <c:pt idx="2">
                    <c:v>$0</c:v>
                  </c:pt>
                  <c:pt idx="6">
                    <c:v>$0</c:v>
                  </c:pt>
                  <c:pt idx="10">
                    <c:v>$0</c:v>
                  </c:pt>
                  <c:pt idx="14">
                    <c:v>$0</c:v>
                  </c:pt>
                  <c:pt idx="18">
                    <c:v>$0</c:v>
                  </c:pt>
                  <c:pt idx="22">
                    <c:v>$0</c:v>
                  </c:pt>
                </c15:dlblRangeCache>
              </c15:datalabelsRange>
            </c:ext>
            <c:ext xmlns:c16="http://schemas.microsoft.com/office/drawing/2014/chart" uri="{C3380CC4-5D6E-409C-BE32-E72D297353CC}">
              <c16:uniqueId val="{00000024-C650-4BA8-B0F1-EE274A837C55}"/>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monthly'!$C$146</c:f>
          <c:strCache>
            <c:ptCount val="1"/>
            <c:pt idx="0">
              <c:v>Domestic TOU,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monthly'!$C$143</c:f>
              <c:strCache>
                <c:ptCount val="1"/>
                <c:pt idx="0">
                  <c:v>Small business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2BDE-4EE4-B424-BFC32E243FEB}"/>
              </c:ext>
            </c:extLst>
          </c:dPt>
          <c:dPt>
            <c:idx val="4"/>
            <c:invertIfNegative val="0"/>
            <c:bubble3D val="0"/>
            <c:spPr>
              <a:solidFill>
                <a:srgbClr val="4986A0"/>
              </a:solidFill>
              <a:ln>
                <a:noFill/>
              </a:ln>
              <a:effectLst/>
            </c:spPr>
            <c:extLst>
              <c:ext xmlns:c16="http://schemas.microsoft.com/office/drawing/2014/chart" uri="{C3380CC4-5D6E-409C-BE32-E72D297353CC}">
                <c16:uniqueId val="{00000003-2BDE-4EE4-B424-BFC32E243FEB}"/>
              </c:ext>
            </c:extLst>
          </c:dPt>
          <c:dPt>
            <c:idx val="8"/>
            <c:invertIfNegative val="0"/>
            <c:bubble3D val="0"/>
            <c:spPr>
              <a:solidFill>
                <a:srgbClr val="4986A0"/>
              </a:solidFill>
              <a:ln>
                <a:noFill/>
              </a:ln>
              <a:effectLst/>
            </c:spPr>
            <c:extLst>
              <c:ext xmlns:c16="http://schemas.microsoft.com/office/drawing/2014/chart" uri="{C3380CC4-5D6E-409C-BE32-E72D297353CC}">
                <c16:uniqueId val="{00000005-2BDE-4EE4-B424-BFC32E243FEB}"/>
              </c:ext>
            </c:extLst>
          </c:dPt>
          <c:dPt>
            <c:idx val="12"/>
            <c:invertIfNegative val="0"/>
            <c:bubble3D val="0"/>
            <c:spPr>
              <a:solidFill>
                <a:srgbClr val="4986A0"/>
              </a:solidFill>
              <a:ln>
                <a:noFill/>
              </a:ln>
              <a:effectLst/>
            </c:spPr>
            <c:extLst>
              <c:ext xmlns:c16="http://schemas.microsoft.com/office/drawing/2014/chart" uri="{C3380CC4-5D6E-409C-BE32-E72D297353CC}">
                <c16:uniqueId val="{00000007-2BDE-4EE4-B424-BFC32E243FEB}"/>
              </c:ext>
            </c:extLst>
          </c:dPt>
          <c:dPt>
            <c:idx val="16"/>
            <c:invertIfNegative val="0"/>
            <c:bubble3D val="0"/>
            <c:spPr>
              <a:solidFill>
                <a:srgbClr val="4986A0"/>
              </a:solidFill>
              <a:ln>
                <a:noFill/>
              </a:ln>
              <a:effectLst/>
            </c:spPr>
            <c:extLst>
              <c:ext xmlns:c16="http://schemas.microsoft.com/office/drawing/2014/chart" uri="{C3380CC4-5D6E-409C-BE32-E72D297353CC}">
                <c16:uniqueId val="{00000009-2BDE-4EE4-B424-BFC32E243FEB}"/>
              </c:ext>
            </c:extLst>
          </c:dPt>
          <c:dPt>
            <c:idx val="20"/>
            <c:invertIfNegative val="0"/>
            <c:bubble3D val="0"/>
            <c:spPr>
              <a:solidFill>
                <a:srgbClr val="4986A0"/>
              </a:solidFill>
              <a:ln>
                <a:noFill/>
              </a:ln>
              <a:effectLst/>
            </c:spPr>
            <c:extLst>
              <c:ext xmlns:c16="http://schemas.microsoft.com/office/drawing/2014/chart" uri="{C3380CC4-5D6E-409C-BE32-E72D297353CC}">
                <c16:uniqueId val="{0000000B-2BDE-4EE4-B424-BFC32E243FE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monthly'!$D$138:$Z$139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monthly'!$D$143:$Z$143</c:f>
              <c:numCache>
                <c:formatCode>"$"#,##0</c:formatCode>
                <c:ptCount val="23"/>
                <c:pt idx="0">
                  <c:v>0</c:v>
                </c:pt>
                <c:pt idx="1">
                  <c:v>565.16666666666663</c:v>
                </c:pt>
                <c:pt idx="2">
                  <c:v>565.16666666666663</c:v>
                </c:pt>
                <c:pt idx="4">
                  <c:v>0</c:v>
                </c:pt>
                <c:pt idx="5">
                  <c:v>377.83333333333331</c:v>
                </c:pt>
                <c:pt idx="6">
                  <c:v>377.83333333333331</c:v>
                </c:pt>
                <c:pt idx="8">
                  <c:v>0</c:v>
                </c:pt>
                <c:pt idx="9">
                  <c:v>430.41666666666669</c:v>
                </c:pt>
                <c:pt idx="10">
                  <c:v>430.41666666666669</c:v>
                </c:pt>
                <c:pt idx="12">
                  <c:v>0</c:v>
                </c:pt>
                <c:pt idx="13">
                  <c:v>398.25</c:v>
                </c:pt>
                <c:pt idx="14">
                  <c:v>398.25</c:v>
                </c:pt>
                <c:pt idx="16">
                  <c:v>0</c:v>
                </c:pt>
                <c:pt idx="17">
                  <c:v>388.25</c:v>
                </c:pt>
                <c:pt idx="18">
                  <c:v>388.25</c:v>
                </c:pt>
                <c:pt idx="20">
                  <c:v>0</c:v>
                </c:pt>
                <c:pt idx="21">
                  <c:v>431.98333333333335</c:v>
                </c:pt>
                <c:pt idx="22">
                  <c:v>431.98333333333335</c:v>
                </c:pt>
              </c:numCache>
            </c:numRef>
          </c:val>
          <c:extLst>
            <c:ext xmlns:c16="http://schemas.microsoft.com/office/drawing/2014/chart" uri="{C3380CC4-5D6E-409C-BE32-E72D297353CC}">
              <c16:uniqueId val="{0000000C-2BDE-4EE4-B424-BFC32E243FEB}"/>
            </c:ext>
          </c:extLst>
        </c:ser>
        <c:ser>
          <c:idx val="1"/>
          <c:order val="1"/>
          <c:tx>
            <c:strRef>
              <c:f>'CH_Bill impact monthly'!$C$144</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DE-4EE4-B424-BFC32E243FEB}"/>
                </c:ext>
              </c:extLst>
            </c:dLbl>
            <c:dLbl>
              <c:idx val="1"/>
              <c:tx>
                <c:rich>
                  <a:bodyPr/>
                  <a:lstStyle/>
                  <a:p>
                    <a:fld id="{695A062E-D0C8-45FF-AE34-2523355F79AA}"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2BDE-4EE4-B424-BFC32E243FEB}"/>
                </c:ext>
              </c:extLst>
            </c:dLbl>
            <c:dLbl>
              <c:idx val="2"/>
              <c:tx>
                <c:rich>
                  <a:bodyPr/>
                  <a:lstStyle/>
                  <a:p>
                    <a:fld id="{A871606B-4D84-4C35-91E7-68C00E79493E}"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BDE-4EE4-B424-BFC32E243FEB}"/>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DE-4EE4-B424-BFC32E243FEB}"/>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DE-4EE4-B424-BFC32E243FEB}"/>
                </c:ext>
              </c:extLst>
            </c:dLbl>
            <c:dLbl>
              <c:idx val="5"/>
              <c:tx>
                <c:rich>
                  <a:bodyPr/>
                  <a:lstStyle/>
                  <a:p>
                    <a:fld id="{CDAE8453-BE02-4745-BA3B-FC6BFC15D2D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2BDE-4EE4-B424-BFC32E243FEB}"/>
                </c:ext>
              </c:extLst>
            </c:dLbl>
            <c:dLbl>
              <c:idx val="6"/>
              <c:tx>
                <c:rich>
                  <a:bodyPr/>
                  <a:lstStyle/>
                  <a:p>
                    <a:fld id="{34D3BFB4-9F0F-4CB4-9EB1-6AE503127B6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BDE-4EE4-B424-BFC32E243FEB}"/>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DE-4EE4-B424-BFC32E243FEB}"/>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DE-4EE4-B424-BFC32E243FEB}"/>
                </c:ext>
              </c:extLst>
            </c:dLbl>
            <c:dLbl>
              <c:idx val="9"/>
              <c:tx>
                <c:rich>
                  <a:bodyPr/>
                  <a:lstStyle/>
                  <a:p>
                    <a:fld id="{BE8EC8DC-0DFD-485A-B6E5-F6E41BCFE24C}"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2BDE-4EE4-B424-BFC32E243FEB}"/>
                </c:ext>
              </c:extLst>
            </c:dLbl>
            <c:dLbl>
              <c:idx val="10"/>
              <c:tx>
                <c:rich>
                  <a:bodyPr/>
                  <a:lstStyle/>
                  <a:p>
                    <a:fld id="{44FE93D7-0B73-4E5E-85CA-A8EC1779EA86}"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BDE-4EE4-B424-BFC32E243FEB}"/>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DE-4EE4-B424-BFC32E243FEB}"/>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DE-4EE4-B424-BFC32E243FEB}"/>
                </c:ext>
              </c:extLst>
            </c:dLbl>
            <c:dLbl>
              <c:idx val="13"/>
              <c:tx>
                <c:rich>
                  <a:bodyPr/>
                  <a:lstStyle/>
                  <a:p>
                    <a:fld id="{7FADBA93-70E4-4DBE-BBE6-1F607B51EE7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2BDE-4EE4-B424-BFC32E243FEB}"/>
                </c:ext>
              </c:extLst>
            </c:dLbl>
            <c:dLbl>
              <c:idx val="14"/>
              <c:tx>
                <c:rich>
                  <a:bodyPr/>
                  <a:lstStyle/>
                  <a:p>
                    <a:fld id="{AC94F27C-DAE7-4340-AB40-1113BF057656}"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BDE-4EE4-B424-BFC32E243FEB}"/>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DE-4EE4-B424-BFC32E243FEB}"/>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DE-4EE4-B424-BFC32E243FEB}"/>
                </c:ext>
              </c:extLst>
            </c:dLbl>
            <c:dLbl>
              <c:idx val="17"/>
              <c:tx>
                <c:rich>
                  <a:bodyPr/>
                  <a:lstStyle/>
                  <a:p>
                    <a:fld id="{232A6712-BCD2-4FE4-AA9F-8975711CCDA1}"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2BDE-4EE4-B424-BFC32E243FEB}"/>
                </c:ext>
              </c:extLst>
            </c:dLbl>
            <c:dLbl>
              <c:idx val="18"/>
              <c:tx>
                <c:rich>
                  <a:bodyPr/>
                  <a:lstStyle/>
                  <a:p>
                    <a:fld id="{DC64EADE-F60B-429D-8AC7-BE8126ADC589}"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BDE-4EE4-B424-BFC32E243FEB}"/>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BDE-4EE4-B424-BFC32E243FEB}"/>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BDE-4EE4-B424-BFC32E243FEB}"/>
                </c:ext>
              </c:extLst>
            </c:dLbl>
            <c:dLbl>
              <c:idx val="21"/>
              <c:tx>
                <c:rich>
                  <a:bodyPr/>
                  <a:lstStyle/>
                  <a:p>
                    <a:fld id="{101B6A71-F4FB-4753-975F-FAC47E08610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2BDE-4EE4-B424-BFC32E243FEB}"/>
                </c:ext>
              </c:extLst>
            </c:dLbl>
            <c:dLbl>
              <c:idx val="22"/>
              <c:tx>
                <c:rich>
                  <a:bodyPr/>
                  <a:lstStyle/>
                  <a:p>
                    <a:fld id="{1FA2C5AE-A251-44F4-9E92-BD5090784B52}"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BDE-4EE4-B424-BFC32E243F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monthly'!$D$138:$Z$139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monthly'!$D$144:$Z$144</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 monthly'!$D$148:$Z$148</c15:f>
                <c15:dlblRangeCache>
                  <c:ptCount val="23"/>
                  <c:pt idx="2">
                    <c:v>$0</c:v>
                  </c:pt>
                  <c:pt idx="6">
                    <c:v>$0</c:v>
                  </c:pt>
                  <c:pt idx="10">
                    <c:v>$0</c:v>
                  </c:pt>
                  <c:pt idx="14">
                    <c:v>$0</c:v>
                  </c:pt>
                  <c:pt idx="18">
                    <c:v>$0</c:v>
                  </c:pt>
                  <c:pt idx="22">
                    <c:v>$0</c:v>
                  </c:pt>
                </c15:dlblRangeCache>
              </c15:datalabelsRange>
            </c:ext>
            <c:ext xmlns:c16="http://schemas.microsoft.com/office/drawing/2014/chart" uri="{C3380CC4-5D6E-409C-BE32-E72D297353CC}">
              <c16:uniqueId val="{00000024-2BDE-4EE4-B424-BFC32E243FEB}"/>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impacts full year 2'!$C$87</c:f>
          <c:strCache>
            <c:ptCount val="1"/>
            <c:pt idx="0">
              <c:v>Small business bills,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impacts full year 2'!$C$87</c:f>
              <c:strCache>
                <c:ptCount val="1"/>
                <c:pt idx="0">
                  <c:v>Small business bills, indicative, $/year</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967-4B9C-8100-116F88C6714A}"/>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3-F967-4B9C-8100-116F88C6714A}"/>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5-F967-4B9C-8100-116F88C6714A}"/>
              </c:ext>
            </c:extLst>
          </c:dPt>
          <c:dPt>
            <c:idx val="12"/>
            <c:invertIfNegative val="0"/>
            <c:bubble3D val="0"/>
            <c:spPr>
              <a:solidFill>
                <a:schemeClr val="accent1"/>
              </a:solidFill>
              <a:ln>
                <a:noFill/>
              </a:ln>
              <a:effectLst/>
            </c:spPr>
            <c:extLst>
              <c:ext xmlns:c16="http://schemas.microsoft.com/office/drawing/2014/chart" uri="{C3380CC4-5D6E-409C-BE32-E72D297353CC}">
                <c16:uniqueId val="{00000007-F967-4B9C-8100-116F88C6714A}"/>
              </c:ext>
            </c:extLst>
          </c:dPt>
          <c:dPt>
            <c:idx val="16"/>
            <c:invertIfNegative val="0"/>
            <c:bubble3D val="0"/>
            <c:spPr>
              <a:solidFill>
                <a:schemeClr val="accent1"/>
              </a:solidFill>
              <a:ln>
                <a:noFill/>
              </a:ln>
              <a:effectLst/>
            </c:spPr>
            <c:extLst>
              <c:ext xmlns:c16="http://schemas.microsoft.com/office/drawing/2014/chart" uri="{C3380CC4-5D6E-409C-BE32-E72D297353CC}">
                <c16:uniqueId val="{00000009-BB4F-4B22-B383-5A28E3E279FF}"/>
              </c:ext>
            </c:extLst>
          </c:dPt>
          <c:dPt>
            <c:idx val="20"/>
            <c:invertIfNegative val="0"/>
            <c:bubble3D val="0"/>
            <c:spPr>
              <a:solidFill>
                <a:schemeClr val="accent1"/>
              </a:solidFill>
              <a:ln>
                <a:noFill/>
              </a:ln>
              <a:effectLst/>
            </c:spPr>
            <c:extLst>
              <c:ext xmlns:c16="http://schemas.microsoft.com/office/drawing/2014/chart" uri="{C3380CC4-5D6E-409C-BE32-E72D297353CC}">
                <c16:uniqueId val="{0000000E-FB61-45C7-834C-140DB6A8321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impacts full year 2'!$D$82:$Z$83</c:f>
              <c:multiLvlStrCache>
                <c:ptCount val="23"/>
                <c:lvl>
                  <c:pt idx="0">
                    <c:v>2021 VDO</c:v>
                  </c:pt>
                  <c:pt idx="1">
                    <c:v>Amended 2021 VDO</c:v>
                  </c:pt>
                  <c:pt idx="2">
                    <c:v>2022 VDO</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full year 2'!$D$87:$Z$87</c:f>
              <c:numCache>
                <c:formatCode>#,##0</c:formatCode>
                <c:ptCount val="23"/>
                <c:pt idx="0">
                  <c:v>0</c:v>
                </c:pt>
                <c:pt idx="1">
                  <c:v>0</c:v>
                </c:pt>
                <c:pt idx="2">
                  <c:v>0</c:v>
                </c:pt>
                <c:pt idx="4">
                  <c:v>0</c:v>
                </c:pt>
                <c:pt idx="5">
                  <c:v>0</c:v>
                </c:pt>
                <c:pt idx="6">
                  <c:v>0</c:v>
                </c:pt>
                <c:pt idx="8">
                  <c:v>0</c:v>
                </c:pt>
                <c:pt idx="9">
                  <c:v>0</c:v>
                </c:pt>
                <c:pt idx="10">
                  <c:v>0</c:v>
                </c:pt>
                <c:pt idx="12">
                  <c:v>0</c:v>
                </c:pt>
                <c:pt idx="13">
                  <c:v>0</c:v>
                </c:pt>
                <c:pt idx="14">
                  <c:v>0</c:v>
                </c:pt>
                <c:pt idx="16">
                  <c:v>0</c:v>
                </c:pt>
                <c:pt idx="17">
                  <c:v>0</c:v>
                </c:pt>
                <c:pt idx="18">
                  <c:v>0</c:v>
                </c:pt>
                <c:pt idx="20">
                  <c:v>0</c:v>
                </c:pt>
                <c:pt idx="21">
                  <c:v>0</c:v>
                </c:pt>
                <c:pt idx="22">
                  <c:v>0</c:v>
                </c:pt>
              </c:numCache>
            </c:numRef>
          </c:val>
          <c:extLst>
            <c:ext xmlns:c16="http://schemas.microsoft.com/office/drawing/2014/chart" uri="{C3380CC4-5D6E-409C-BE32-E72D297353CC}">
              <c16:uniqueId val="{0000000A-F967-4B9C-8100-116F88C6714A}"/>
            </c:ext>
          </c:extLst>
        </c:ser>
        <c:ser>
          <c:idx val="1"/>
          <c:order val="1"/>
          <c:tx>
            <c:strRef>
              <c:f>'CH_Bill impacts full year 2'!$C$88</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967-4B9C-8100-116F88C6714A}"/>
                </c:ext>
              </c:extLst>
            </c:dLbl>
            <c:dLbl>
              <c:idx val="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C-F967-4B9C-8100-116F88C6714A}"/>
                </c:ext>
              </c:extLst>
            </c:dLbl>
            <c:dLbl>
              <c:idx val="2"/>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D-F967-4B9C-8100-116F88C6714A}"/>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967-4B9C-8100-116F88C6714A}"/>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967-4B9C-8100-116F88C6714A}"/>
                </c:ext>
              </c:extLst>
            </c:dLbl>
            <c:dLbl>
              <c:idx val="5"/>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0-F967-4B9C-8100-116F88C6714A}"/>
                </c:ext>
              </c:extLst>
            </c:dLbl>
            <c:dLbl>
              <c:idx val="6"/>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1-F967-4B9C-8100-116F88C6714A}"/>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967-4B9C-8100-116F88C6714A}"/>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967-4B9C-8100-116F88C6714A}"/>
                </c:ext>
              </c:extLst>
            </c:dLbl>
            <c:dLbl>
              <c:idx val="9"/>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4-F967-4B9C-8100-116F88C6714A}"/>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5-F967-4B9C-8100-116F88C6714A}"/>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967-4B9C-8100-116F88C6714A}"/>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967-4B9C-8100-116F88C6714A}"/>
                </c:ext>
              </c:extLst>
            </c:dLbl>
            <c:dLbl>
              <c:idx val="13"/>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8-F967-4B9C-8100-116F88C6714A}"/>
                </c:ext>
              </c:extLst>
            </c:dLbl>
            <c:dLbl>
              <c:idx val="14"/>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9-F967-4B9C-8100-116F88C6714A}"/>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967-4B9C-8100-116F88C6714A}"/>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967-4B9C-8100-116F88C6714A}"/>
                </c:ext>
              </c:extLst>
            </c:dLbl>
            <c:dLbl>
              <c:idx val="17"/>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C-F967-4B9C-8100-116F88C6714A}"/>
                </c:ext>
              </c:extLst>
            </c:dLbl>
            <c:dLbl>
              <c:idx val="18"/>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D-F967-4B9C-8100-116F88C6714A}"/>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08C-4ED8-BFA6-8CBCBD53B3C1}"/>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B61-45C7-834C-140DB6A83212}"/>
                </c:ext>
              </c:extLst>
            </c:dLbl>
            <c:dLbl>
              <c:idx val="2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C-FB61-45C7-834C-140DB6A83212}"/>
                </c:ext>
              </c:extLst>
            </c:dLbl>
            <c:dLbl>
              <c:idx val="22"/>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D-FB61-45C7-834C-140DB6A832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impacts full year 2'!$D$82:$Z$83</c:f>
              <c:multiLvlStrCache>
                <c:ptCount val="23"/>
                <c:lvl>
                  <c:pt idx="0">
                    <c:v>2021 VDO</c:v>
                  </c:pt>
                  <c:pt idx="1">
                    <c:v>Amended 2021 VDO</c:v>
                  </c:pt>
                  <c:pt idx="2">
                    <c:v>2022 VDO</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full year 2'!$D$88:$Z$88</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impacts full year 2'!$D$89:$Z$89</c15:f>
                <c15:dlblRangeCache>
                  <c:ptCount val="23"/>
                  <c:pt idx="1">
                    <c:v>#REF!</c:v>
                  </c:pt>
                  <c:pt idx="2">
                    <c:v>#REF!</c:v>
                  </c:pt>
                  <c:pt idx="5">
                    <c:v>#REF!</c:v>
                  </c:pt>
                  <c:pt idx="6">
                    <c:v>#REF!</c:v>
                  </c:pt>
                  <c:pt idx="9">
                    <c:v>#REF!</c:v>
                  </c:pt>
                  <c:pt idx="10">
                    <c:v>#REF!</c:v>
                  </c:pt>
                  <c:pt idx="13">
                    <c:v>#REF!</c:v>
                  </c:pt>
                  <c:pt idx="14">
                    <c:v>#REF!</c:v>
                  </c:pt>
                  <c:pt idx="17">
                    <c:v>#REF!</c:v>
                  </c:pt>
                  <c:pt idx="18">
                    <c:v>#REF!</c:v>
                  </c:pt>
                  <c:pt idx="21">
                    <c:v>#REF!</c:v>
                  </c:pt>
                  <c:pt idx="22">
                    <c:v>#REF!</c:v>
                  </c:pt>
                </c15:dlblRangeCache>
              </c15:datalabelsRange>
            </c:ext>
            <c:ext xmlns:c16="http://schemas.microsoft.com/office/drawing/2014/chart" uri="{C3380CC4-5D6E-409C-BE32-E72D297353CC}">
              <c16:uniqueId val="{0000001E-F967-4B9C-8100-116F88C6714A}"/>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monthly'!$C$149</c:f>
          <c:strCache>
            <c:ptCount val="1"/>
            <c:pt idx="0">
              <c:v>Small business flat rate, indicative,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monthly'!$C$143</c:f>
              <c:strCache>
                <c:ptCount val="1"/>
                <c:pt idx="0">
                  <c:v>Small business flat rate, indicative, $/year</c:v>
                </c:pt>
              </c:strCache>
            </c:strRef>
          </c:tx>
          <c:spPr>
            <a:solidFill>
              <a:srgbClr val="4986A0"/>
            </a:solidFill>
            <a:ln>
              <a:noFill/>
            </a:ln>
            <a:effectLst/>
          </c:spPr>
          <c:invertIfNegative val="0"/>
          <c:dPt>
            <c:idx val="0"/>
            <c:invertIfNegative val="0"/>
            <c:bubble3D val="0"/>
            <c:spPr>
              <a:solidFill>
                <a:srgbClr val="4986A0"/>
              </a:solidFill>
              <a:ln>
                <a:noFill/>
              </a:ln>
              <a:effectLst/>
            </c:spPr>
            <c:extLst>
              <c:ext xmlns:c16="http://schemas.microsoft.com/office/drawing/2014/chart" uri="{C3380CC4-5D6E-409C-BE32-E72D297353CC}">
                <c16:uniqueId val="{00000001-A3FC-4504-B34F-50386C897845}"/>
              </c:ext>
            </c:extLst>
          </c:dPt>
          <c:dPt>
            <c:idx val="4"/>
            <c:invertIfNegative val="0"/>
            <c:bubble3D val="0"/>
            <c:spPr>
              <a:solidFill>
                <a:srgbClr val="4986A0"/>
              </a:solidFill>
              <a:ln>
                <a:noFill/>
              </a:ln>
              <a:effectLst/>
            </c:spPr>
            <c:extLst>
              <c:ext xmlns:c16="http://schemas.microsoft.com/office/drawing/2014/chart" uri="{C3380CC4-5D6E-409C-BE32-E72D297353CC}">
                <c16:uniqueId val="{00000003-A3FC-4504-B34F-50386C897845}"/>
              </c:ext>
            </c:extLst>
          </c:dPt>
          <c:dPt>
            <c:idx val="8"/>
            <c:invertIfNegative val="0"/>
            <c:bubble3D val="0"/>
            <c:spPr>
              <a:solidFill>
                <a:srgbClr val="4986A0"/>
              </a:solidFill>
              <a:ln>
                <a:noFill/>
              </a:ln>
              <a:effectLst/>
            </c:spPr>
            <c:extLst>
              <c:ext xmlns:c16="http://schemas.microsoft.com/office/drawing/2014/chart" uri="{C3380CC4-5D6E-409C-BE32-E72D297353CC}">
                <c16:uniqueId val="{00000005-A3FC-4504-B34F-50386C897845}"/>
              </c:ext>
            </c:extLst>
          </c:dPt>
          <c:dPt>
            <c:idx val="12"/>
            <c:invertIfNegative val="0"/>
            <c:bubble3D val="0"/>
            <c:spPr>
              <a:solidFill>
                <a:srgbClr val="4986A0"/>
              </a:solidFill>
              <a:ln>
                <a:noFill/>
              </a:ln>
              <a:effectLst/>
            </c:spPr>
            <c:extLst>
              <c:ext xmlns:c16="http://schemas.microsoft.com/office/drawing/2014/chart" uri="{C3380CC4-5D6E-409C-BE32-E72D297353CC}">
                <c16:uniqueId val="{00000007-A3FC-4504-B34F-50386C897845}"/>
              </c:ext>
            </c:extLst>
          </c:dPt>
          <c:dPt>
            <c:idx val="16"/>
            <c:invertIfNegative val="0"/>
            <c:bubble3D val="0"/>
            <c:spPr>
              <a:solidFill>
                <a:srgbClr val="4986A0"/>
              </a:solidFill>
              <a:ln>
                <a:noFill/>
              </a:ln>
              <a:effectLst/>
            </c:spPr>
            <c:extLst>
              <c:ext xmlns:c16="http://schemas.microsoft.com/office/drawing/2014/chart" uri="{C3380CC4-5D6E-409C-BE32-E72D297353CC}">
                <c16:uniqueId val="{00000009-A3FC-4504-B34F-50386C897845}"/>
              </c:ext>
            </c:extLst>
          </c:dPt>
          <c:dPt>
            <c:idx val="20"/>
            <c:invertIfNegative val="0"/>
            <c:bubble3D val="0"/>
            <c:spPr>
              <a:solidFill>
                <a:srgbClr val="4986A0"/>
              </a:solidFill>
              <a:ln>
                <a:noFill/>
              </a:ln>
              <a:effectLst/>
            </c:spPr>
            <c:extLst>
              <c:ext xmlns:c16="http://schemas.microsoft.com/office/drawing/2014/chart" uri="{C3380CC4-5D6E-409C-BE32-E72D297353CC}">
                <c16:uniqueId val="{0000000B-A3FC-4504-B34F-50386C89784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monthly'!$D$138:$Z$139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monthly'!$D$143:$Z$143</c:f>
              <c:numCache>
                <c:formatCode>"$"#,##0</c:formatCode>
                <c:ptCount val="23"/>
                <c:pt idx="0">
                  <c:v>0</c:v>
                </c:pt>
                <c:pt idx="1">
                  <c:v>565.16666666666663</c:v>
                </c:pt>
                <c:pt idx="2">
                  <c:v>565.16666666666663</c:v>
                </c:pt>
                <c:pt idx="4">
                  <c:v>0</c:v>
                </c:pt>
                <c:pt idx="5">
                  <c:v>377.83333333333331</c:v>
                </c:pt>
                <c:pt idx="6">
                  <c:v>377.83333333333331</c:v>
                </c:pt>
                <c:pt idx="8">
                  <c:v>0</c:v>
                </c:pt>
                <c:pt idx="9">
                  <c:v>430.41666666666669</c:v>
                </c:pt>
                <c:pt idx="10">
                  <c:v>430.41666666666669</c:v>
                </c:pt>
                <c:pt idx="12">
                  <c:v>0</c:v>
                </c:pt>
                <c:pt idx="13">
                  <c:v>398.25</c:v>
                </c:pt>
                <c:pt idx="14">
                  <c:v>398.25</c:v>
                </c:pt>
                <c:pt idx="16">
                  <c:v>0</c:v>
                </c:pt>
                <c:pt idx="17">
                  <c:v>388.25</c:v>
                </c:pt>
                <c:pt idx="18">
                  <c:v>388.25</c:v>
                </c:pt>
                <c:pt idx="20">
                  <c:v>0</c:v>
                </c:pt>
                <c:pt idx="21">
                  <c:v>431.98333333333335</c:v>
                </c:pt>
                <c:pt idx="22">
                  <c:v>431.98333333333335</c:v>
                </c:pt>
              </c:numCache>
            </c:numRef>
          </c:val>
          <c:extLst>
            <c:ext xmlns:c16="http://schemas.microsoft.com/office/drawing/2014/chart" uri="{C3380CC4-5D6E-409C-BE32-E72D297353CC}">
              <c16:uniqueId val="{0000000C-A3FC-4504-B34F-50386C897845}"/>
            </c:ext>
          </c:extLst>
        </c:ser>
        <c:ser>
          <c:idx val="1"/>
          <c:order val="1"/>
          <c:tx>
            <c:strRef>
              <c:f>'CH_Bill impact monthly'!$C$144</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3FC-4504-B34F-50386C897845}"/>
                </c:ext>
              </c:extLst>
            </c:dLbl>
            <c:dLbl>
              <c:idx val="1"/>
              <c:tx>
                <c:rich>
                  <a:bodyPr/>
                  <a:lstStyle/>
                  <a:p>
                    <a:fld id="{AB743BD2-C5F7-41CC-8D20-2654873E09B6}"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A3FC-4504-B34F-50386C897845}"/>
                </c:ext>
              </c:extLst>
            </c:dLbl>
            <c:dLbl>
              <c:idx val="2"/>
              <c:tx>
                <c:rich>
                  <a:bodyPr/>
                  <a:lstStyle/>
                  <a:p>
                    <a:fld id="{7F4A82E8-31C7-4B1C-892E-3B49A128293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3FC-4504-B34F-50386C897845}"/>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3FC-4504-B34F-50386C897845}"/>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3FC-4504-B34F-50386C897845}"/>
                </c:ext>
              </c:extLst>
            </c:dLbl>
            <c:dLbl>
              <c:idx val="5"/>
              <c:tx>
                <c:rich>
                  <a:bodyPr/>
                  <a:lstStyle/>
                  <a:p>
                    <a:fld id="{74C8B57B-40DF-4206-A876-E990DE4A09E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A3FC-4504-B34F-50386C897845}"/>
                </c:ext>
              </c:extLst>
            </c:dLbl>
            <c:dLbl>
              <c:idx val="6"/>
              <c:tx>
                <c:rich>
                  <a:bodyPr/>
                  <a:lstStyle/>
                  <a:p>
                    <a:fld id="{76325A3D-5196-4158-9BFB-849675021AE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3FC-4504-B34F-50386C897845}"/>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3FC-4504-B34F-50386C897845}"/>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3FC-4504-B34F-50386C897845}"/>
                </c:ext>
              </c:extLst>
            </c:dLbl>
            <c:dLbl>
              <c:idx val="9"/>
              <c:tx>
                <c:rich>
                  <a:bodyPr/>
                  <a:lstStyle/>
                  <a:p>
                    <a:fld id="{D480F266-D925-4E54-AC86-E521AABE4BD9}"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A3FC-4504-B34F-50386C897845}"/>
                </c:ext>
              </c:extLst>
            </c:dLbl>
            <c:dLbl>
              <c:idx val="10"/>
              <c:tx>
                <c:rich>
                  <a:bodyPr/>
                  <a:lstStyle/>
                  <a:p>
                    <a:fld id="{8CD7C64E-584A-4455-A83A-4427E3BBB889}"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3FC-4504-B34F-50386C897845}"/>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3FC-4504-B34F-50386C897845}"/>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3FC-4504-B34F-50386C897845}"/>
                </c:ext>
              </c:extLst>
            </c:dLbl>
            <c:dLbl>
              <c:idx val="13"/>
              <c:tx>
                <c:rich>
                  <a:bodyPr/>
                  <a:lstStyle/>
                  <a:p>
                    <a:fld id="{D13C2A71-D325-408F-99BA-91578633E7D4}"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A3FC-4504-B34F-50386C897845}"/>
                </c:ext>
              </c:extLst>
            </c:dLbl>
            <c:dLbl>
              <c:idx val="14"/>
              <c:tx>
                <c:rich>
                  <a:bodyPr/>
                  <a:lstStyle/>
                  <a:p>
                    <a:fld id="{F44D3C1D-AF00-45D8-AFE1-76A884E06553}"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3FC-4504-B34F-50386C897845}"/>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3FC-4504-B34F-50386C897845}"/>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3FC-4504-B34F-50386C897845}"/>
                </c:ext>
              </c:extLst>
            </c:dLbl>
            <c:dLbl>
              <c:idx val="17"/>
              <c:tx>
                <c:rich>
                  <a:bodyPr/>
                  <a:lstStyle/>
                  <a:p>
                    <a:fld id="{D1B600FB-6033-42EF-91CE-CEA7B2B7F8B3}"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A3FC-4504-B34F-50386C897845}"/>
                </c:ext>
              </c:extLst>
            </c:dLbl>
            <c:dLbl>
              <c:idx val="18"/>
              <c:tx>
                <c:rich>
                  <a:bodyPr/>
                  <a:lstStyle/>
                  <a:p>
                    <a:fld id="{52CDBEF9-A13E-4790-AA4C-E6F43711FC7E}"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3FC-4504-B34F-50386C897845}"/>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3FC-4504-B34F-50386C897845}"/>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3FC-4504-B34F-50386C897845}"/>
                </c:ext>
              </c:extLst>
            </c:dLbl>
            <c:dLbl>
              <c:idx val="21"/>
              <c:tx>
                <c:rich>
                  <a:bodyPr/>
                  <a:lstStyle/>
                  <a:p>
                    <a:fld id="{5737A69A-3FFA-48AD-9079-25F6EDDB3E73}"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A3FC-4504-B34F-50386C897845}"/>
                </c:ext>
              </c:extLst>
            </c:dLbl>
            <c:dLbl>
              <c:idx val="22"/>
              <c:tx>
                <c:rich>
                  <a:bodyPr/>
                  <a:lstStyle/>
                  <a:p>
                    <a:fld id="{D7F67059-E08E-4A39-B5FF-ED8B2443352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3FC-4504-B34F-50386C8978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 monthly'!$D$138:$Z$139</c:f>
              <c:multiLvlStrCache>
                <c:ptCount val="23"/>
                <c:lvl>
                  <c:pt idx="1">
                    <c:v>Amended 2021 VDO</c:v>
                  </c:pt>
                  <c:pt idx="2">
                    <c:v>Final 2022 VDO</c:v>
                  </c:pt>
                  <c:pt idx="5">
                    <c:v>Amended 2021 VDO</c:v>
                  </c:pt>
                  <c:pt idx="6">
                    <c:v>Final 2022 VDO</c:v>
                  </c:pt>
                  <c:pt idx="9">
                    <c:v>Amended 2021 VDO</c:v>
                  </c:pt>
                  <c:pt idx="10">
                    <c:v>Final 2022 VDO</c:v>
                  </c:pt>
                  <c:pt idx="13">
                    <c:v>Amended 2021 VDO</c:v>
                  </c:pt>
                  <c:pt idx="14">
                    <c:v>Final 2022 VDO</c:v>
                  </c:pt>
                  <c:pt idx="17">
                    <c:v>Amended 2021 VDO</c:v>
                  </c:pt>
                  <c:pt idx="18">
                    <c:v>Final 2022 VDO</c:v>
                  </c:pt>
                  <c:pt idx="21">
                    <c:v>Amended 2021 VDO</c:v>
                  </c:pt>
                  <c:pt idx="22">
                    <c:v>Final 2022 VDO</c:v>
                  </c:pt>
                </c:lvl>
                <c:lvl>
                  <c:pt idx="0">
                    <c:v>AusNet Services</c:v>
                  </c:pt>
                  <c:pt idx="4">
                    <c:v>Citipower</c:v>
                  </c:pt>
                  <c:pt idx="8">
                    <c:v>Jemena</c:v>
                  </c:pt>
                  <c:pt idx="12">
                    <c:v>Powercor</c:v>
                  </c:pt>
                  <c:pt idx="16">
                    <c:v>United Energy</c:v>
                  </c:pt>
                  <c:pt idx="20">
                    <c:v>Victoria</c:v>
                  </c:pt>
                </c:lvl>
              </c:multiLvlStrCache>
            </c:multiLvlStrRef>
          </c:cat>
          <c:val>
            <c:numRef>
              <c:f>'CH_Bill impact monthly'!$D$144:$Z$144</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 monthly'!$D$151:$Z$151</c15:f>
                <c15:dlblRangeCache>
                  <c:ptCount val="23"/>
                  <c:pt idx="2">
                    <c:v>$0</c:v>
                  </c:pt>
                  <c:pt idx="6">
                    <c:v>$0</c:v>
                  </c:pt>
                  <c:pt idx="10">
                    <c:v>$0</c:v>
                  </c:pt>
                  <c:pt idx="14">
                    <c:v>$0</c:v>
                  </c:pt>
                  <c:pt idx="18">
                    <c:v>$0</c:v>
                  </c:pt>
                  <c:pt idx="22">
                    <c:v>$390</c:v>
                  </c:pt>
                </c15:dlblRangeCache>
              </c15:datalabelsRange>
            </c:ext>
            <c:ext xmlns:c16="http://schemas.microsoft.com/office/drawing/2014/chart" uri="{C3380CC4-5D6E-409C-BE32-E72D297353CC}">
              <c16:uniqueId val="{00000024-A3FC-4504-B34F-50386C897845}"/>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quot;$&quot;#,##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monthly'!$C$154</c:f>
          <c:strCache>
            <c:ptCount val="1"/>
            <c:pt idx="0">
              <c:v>VDO domestic monthly bill, Amended VDO 2021 vs Final VDO 2022,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monthly'!$C$154</c:f>
              <c:strCache>
                <c:ptCount val="1"/>
                <c:pt idx="0">
                  <c:v>VDO domestic monthly bill, Amended VDO 2021 vs Final VDO 2022, $</c:v>
                </c:pt>
              </c:strCache>
            </c:strRef>
          </c:tx>
          <c:spPr>
            <a:solidFill>
              <a:srgbClr val="4986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'CH_Bill impact monthly'!$D$152:$K$153</c:f>
              <c:multiLvlStrCache>
                <c:ptCount val="8"/>
                <c:lvl>
                  <c:pt idx="1">
                    <c:v>Amended 2021 VDO</c:v>
                  </c:pt>
                  <c:pt idx="2">
                    <c:v>Final 2022 VDO</c:v>
                  </c:pt>
                  <c:pt idx="5">
                    <c:v>Amended 2021 VDO</c:v>
                  </c:pt>
                  <c:pt idx="6">
                    <c:v>Final 2022 VDO</c:v>
                  </c:pt>
                  <c:pt idx="7">
                    <c:v> </c:v>
                  </c:pt>
                </c:lvl>
                <c:lvl>
                  <c:pt idx="0">
                    <c:v>Domestic flat rate</c:v>
                  </c:pt>
                  <c:pt idx="4">
                    <c:v>Domestic TOU</c:v>
                  </c:pt>
                </c:lvl>
              </c:multiLvlStrCache>
            </c:multiLvlStrRef>
          </c:cat>
          <c:val>
            <c:numRef>
              <c:f>'CH_Bill impact monthly'!$D$154:$K$154</c:f>
              <c:numCache>
                <c:formatCode>"$"#,##0</c:formatCode>
                <c:ptCount val="8"/>
                <c:pt idx="1">
                  <c:v>95.566666666666663</c:v>
                </c:pt>
                <c:pt idx="2">
                  <c:v>95.566666666666663</c:v>
                </c:pt>
                <c:pt idx="5">
                  <c:v>91.916666666666671</c:v>
                </c:pt>
                <c:pt idx="6">
                  <c:v>91.916666666666671</c:v>
                </c:pt>
              </c:numCache>
            </c:numRef>
          </c:val>
          <c:extLst>
            <c:ext xmlns:c16="http://schemas.microsoft.com/office/drawing/2014/chart" uri="{C3380CC4-5D6E-409C-BE32-E72D297353CC}">
              <c16:uniqueId val="{00000000-D27D-4BD1-AA6C-810F6211A839}"/>
            </c:ext>
          </c:extLst>
        </c:ser>
        <c:ser>
          <c:idx val="1"/>
          <c:order val="1"/>
          <c:tx>
            <c:strRef>
              <c:f>'CH_Bill impact monthly'!$C$155</c:f>
              <c:strCache>
                <c:ptCount val="1"/>
                <c:pt idx="0">
                  <c:v>VDO small business monthly bill, Amended VDO 2021 vs Final VDO 2022, $</c:v>
                </c:pt>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7D-4BD1-AA6C-810F6211A839}"/>
                </c:ext>
              </c:extLst>
            </c:dLbl>
            <c:dLbl>
              <c:idx val="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D-4BD1-AA6C-810F6211A839}"/>
                </c:ext>
              </c:extLst>
            </c:dLbl>
            <c:dLbl>
              <c:idx val="2"/>
              <c:tx>
                <c:rich>
                  <a:bodyPr/>
                  <a:lstStyle/>
                  <a:p>
                    <a:fld id="{094CE527-D1EF-4E61-A04B-41D6196A309F}"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27D-4BD1-AA6C-810F6211A839}"/>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D-4BD1-AA6C-810F6211A839}"/>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D-4BD1-AA6C-810F6211A839}"/>
                </c:ext>
              </c:extLst>
            </c:dLbl>
            <c:dLbl>
              <c:idx val="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D-4BD1-AA6C-810F6211A839}"/>
                </c:ext>
              </c:extLst>
            </c:dLbl>
            <c:dLbl>
              <c:idx val="6"/>
              <c:tx>
                <c:rich>
                  <a:bodyPr/>
                  <a:lstStyle/>
                  <a:p>
                    <a:fld id="{A3AF08CA-FEEE-4E81-9C26-F563F4A311AB}"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27D-4BD1-AA6C-810F6211A839}"/>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D-4BD1-AA6C-810F6211A83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'CH_Bill impact monthly'!$D$152:$K$153</c:f>
              <c:multiLvlStrCache>
                <c:ptCount val="8"/>
                <c:lvl>
                  <c:pt idx="1">
                    <c:v>Amended 2021 VDO</c:v>
                  </c:pt>
                  <c:pt idx="2">
                    <c:v>Final 2022 VDO</c:v>
                  </c:pt>
                  <c:pt idx="5">
                    <c:v>Amended 2021 VDO</c:v>
                  </c:pt>
                  <c:pt idx="6">
                    <c:v>Final 2022 VDO</c:v>
                  </c:pt>
                  <c:pt idx="7">
                    <c:v> </c:v>
                  </c:pt>
                </c:lvl>
                <c:lvl>
                  <c:pt idx="0">
                    <c:v>Domestic flat rate</c:v>
                  </c:pt>
                  <c:pt idx="4">
                    <c:v>Domestic TOU</c:v>
                  </c:pt>
                </c:lvl>
              </c:multiLvlStrCache>
            </c:multiLvlStrRef>
          </c:cat>
          <c:val>
            <c:numRef>
              <c:f>'CH_Bill impact monthly'!$D$155:$K$155</c:f>
              <c:numCache>
                <c:formatCode>"$"#,##0</c:formatCode>
                <c:ptCount val="8"/>
                <c:pt idx="2">
                  <c:v>0</c:v>
                </c:pt>
                <c:pt idx="6">
                  <c:v>0</c:v>
                </c:pt>
              </c:numCache>
            </c:numRef>
          </c:val>
          <c:extLst>
            <c:ext xmlns:c15="http://schemas.microsoft.com/office/drawing/2012/chart" uri="{02D57815-91ED-43cb-92C2-25804820EDAC}">
              <c15:datalabelsRange>
                <c15:f>'CH_Bill impact monthly'!$D$156:$R$156</c15:f>
                <c15:dlblRangeCache>
                  <c:ptCount val="15"/>
                  <c:pt idx="2">
                    <c:v>$0</c:v>
                  </c:pt>
                  <c:pt idx="6">
                    <c:v>$0</c:v>
                  </c:pt>
                  <c:pt idx="10">
                    <c:v>$0</c:v>
                  </c:pt>
                  <c:pt idx="14">
                    <c:v>$0</c:v>
                  </c:pt>
                </c15:dlblRangeCache>
              </c15:datalabelsRange>
            </c:ext>
            <c:ext xmlns:c16="http://schemas.microsoft.com/office/drawing/2014/chart" uri="{C3380CC4-5D6E-409C-BE32-E72D297353CC}">
              <c16:uniqueId val="{00000009-D27D-4BD1-AA6C-810F6211A839}"/>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02820096"/>
        <c:crosses val="autoZero"/>
        <c:auto val="1"/>
        <c:lblAlgn val="ctr"/>
        <c:lblOffset val="100"/>
        <c:noMultiLvlLbl val="0"/>
      </c:catAx>
      <c:valAx>
        <c:axId val="702820096"/>
        <c:scaling>
          <c:orientation val="minMax"/>
          <c:min val="60"/>
        </c:scaling>
        <c:delete val="1"/>
        <c:axPos val="l"/>
        <c:numFmt formatCode="&quot;$&quot;#,##0" sourceLinked="1"/>
        <c:majorTickMark val="out"/>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 monthly'!$C$155</c:f>
          <c:strCache>
            <c:ptCount val="1"/>
            <c:pt idx="0">
              <c:v>VDO small business monthly bill, Amended VDO 2021 vs Final VDO 2022,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 monthly'!$C$154</c:f>
              <c:strCache>
                <c:ptCount val="1"/>
                <c:pt idx="0">
                  <c:v>VDO domestic monthly bill, Amended VDO 2021 vs Final VDO 2022, $</c:v>
                </c:pt>
              </c:strCache>
            </c:strRef>
          </c:tx>
          <c:spPr>
            <a:solidFill>
              <a:srgbClr val="4986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 monthly'!$L$152:$S$153</c:f>
              <c:multiLvlStrCache>
                <c:ptCount val="8"/>
                <c:lvl>
                  <c:pt idx="1">
                    <c:v>Amended 2021 VDO</c:v>
                  </c:pt>
                  <c:pt idx="2">
                    <c:v>Final 2022 VDO</c:v>
                  </c:pt>
                  <c:pt idx="5">
                    <c:v>Amended 2021 VDO</c:v>
                  </c:pt>
                  <c:pt idx="6">
                    <c:v>Final 2022 VDO</c:v>
                  </c:pt>
                  <c:pt idx="7">
                    <c:v> </c:v>
                  </c:pt>
                </c:lvl>
                <c:lvl>
                  <c:pt idx="0">
                    <c:v>Small business flat rate</c:v>
                  </c:pt>
                  <c:pt idx="4">
                    <c:v>Small business TOU</c:v>
                  </c:pt>
                </c:lvl>
              </c:multiLvlStrCache>
            </c:multiLvlStrRef>
          </c:cat>
          <c:val>
            <c:numRef>
              <c:f>'CH_Bill impact monthly'!$L$154:$S$154</c:f>
              <c:numCache>
                <c:formatCode>"$"#,##0</c:formatCode>
                <c:ptCount val="8"/>
                <c:pt idx="1">
                  <c:v>431.98333333333335</c:v>
                </c:pt>
                <c:pt idx="2">
                  <c:v>431.98333333333335</c:v>
                </c:pt>
                <c:pt idx="5">
                  <c:v>390.41666666666669</c:v>
                </c:pt>
                <c:pt idx="6">
                  <c:v>390.41666666666669</c:v>
                </c:pt>
              </c:numCache>
            </c:numRef>
          </c:val>
          <c:extLst>
            <c:ext xmlns:c16="http://schemas.microsoft.com/office/drawing/2014/chart" uri="{C3380CC4-5D6E-409C-BE32-E72D297353CC}">
              <c16:uniqueId val="{00000000-0766-40CB-B282-51EE98807176}"/>
            </c:ext>
          </c:extLst>
        </c:ser>
        <c:ser>
          <c:idx val="1"/>
          <c:order val="1"/>
          <c:tx>
            <c:strRef>
              <c:f>'CH_Bill impact monthly'!$C$155</c:f>
              <c:strCache>
                <c:ptCount val="1"/>
                <c:pt idx="0">
                  <c:v>VDO small business monthly bill, Amended VDO 2021 vs Final VDO 2022, $</c:v>
                </c:pt>
              </c:strCache>
            </c:strRef>
          </c:tx>
          <c:spPr>
            <a:noFill/>
            <a:ln>
              <a:noFill/>
            </a:ln>
            <a:effectLst/>
          </c:spPr>
          <c:invertIfNegative val="0"/>
          <c:dLbls>
            <c:dLbl>
              <c:idx val="0"/>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766-40CB-B282-51EE98807176}"/>
                </c:ext>
              </c:extLst>
            </c:dLbl>
            <c:dLbl>
              <c:idx val="1"/>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66-40CB-B282-51EE98807176}"/>
                </c:ext>
              </c:extLst>
            </c:dLbl>
            <c:dLbl>
              <c:idx val="2"/>
              <c:tx>
                <c:rich>
                  <a:bodyPr/>
                  <a:lstStyle/>
                  <a:p>
                    <a:fld id="{97B60FBF-C413-457C-B9F2-EBBEDF7B2213}"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766-40CB-B282-51EE98807176}"/>
                </c:ext>
              </c:extLst>
            </c:dLbl>
            <c:dLbl>
              <c:idx val="3"/>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66-40CB-B282-51EE98807176}"/>
                </c:ext>
              </c:extLst>
            </c:dLbl>
            <c:dLbl>
              <c:idx val="4"/>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66-40CB-B282-51EE98807176}"/>
                </c:ext>
              </c:extLst>
            </c:dLbl>
            <c:dLbl>
              <c:idx val="5"/>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66-40CB-B282-51EE98807176}"/>
                </c:ext>
              </c:extLst>
            </c:dLbl>
            <c:dLbl>
              <c:idx val="6"/>
              <c:tx>
                <c:rich>
                  <a:bodyPr/>
                  <a:lstStyle/>
                  <a:p>
                    <a:fld id="{F7D64345-F700-45D7-B44A-EF3FEB7497E5}"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766-40CB-B282-51EE98807176}"/>
                </c:ext>
              </c:extLst>
            </c:dLbl>
            <c:dLbl>
              <c:idx val="7"/>
              <c:tx>
                <c:rich>
                  <a:bodyPr/>
                  <a:lstStyle/>
                  <a:p>
                    <a:endParaRPr lang="en-AU"/>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766-40CB-B282-51EE9880717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'CH_Bill impact monthly'!$L$152:$S$153</c:f>
              <c:multiLvlStrCache>
                <c:ptCount val="8"/>
                <c:lvl>
                  <c:pt idx="1">
                    <c:v>Amended 2021 VDO</c:v>
                  </c:pt>
                  <c:pt idx="2">
                    <c:v>Final 2022 VDO</c:v>
                  </c:pt>
                  <c:pt idx="5">
                    <c:v>Amended 2021 VDO</c:v>
                  </c:pt>
                  <c:pt idx="6">
                    <c:v>Final 2022 VDO</c:v>
                  </c:pt>
                  <c:pt idx="7">
                    <c:v> </c:v>
                  </c:pt>
                </c:lvl>
                <c:lvl>
                  <c:pt idx="0">
                    <c:v>Small business flat rate</c:v>
                  </c:pt>
                  <c:pt idx="4">
                    <c:v>Small business TOU</c:v>
                  </c:pt>
                </c:lvl>
              </c:multiLvlStrCache>
            </c:multiLvlStrRef>
          </c:cat>
          <c:val>
            <c:numRef>
              <c:f>'CH_Bill impact monthly'!$L$155:$S$155</c:f>
              <c:numCache>
                <c:formatCode>"$"#,##0</c:formatCode>
                <c:ptCount val="8"/>
                <c:pt idx="2">
                  <c:v>0</c:v>
                </c:pt>
                <c:pt idx="6">
                  <c:v>0</c:v>
                </c:pt>
              </c:numCache>
            </c:numRef>
          </c:val>
          <c:extLst>
            <c:ext xmlns:c15="http://schemas.microsoft.com/office/drawing/2012/chart" uri="{02D57815-91ED-43cb-92C2-25804820EDAC}">
              <c15:datalabelsRange>
                <c15:f>'CH_Bill impact monthly'!$L$156:$R$156</c15:f>
                <c15:dlblRangeCache>
                  <c:ptCount val="7"/>
                  <c:pt idx="2">
                    <c:v>$0</c:v>
                  </c:pt>
                  <c:pt idx="6">
                    <c:v>$0</c:v>
                  </c:pt>
                </c15:dlblRangeCache>
              </c15:datalabelsRange>
            </c:ext>
            <c:ext xmlns:c16="http://schemas.microsoft.com/office/drawing/2014/chart" uri="{C3380CC4-5D6E-409C-BE32-E72D297353CC}">
              <c16:uniqueId val="{00000009-0766-40CB-B282-51EE98807176}"/>
            </c:ext>
          </c:extLst>
        </c:ser>
        <c:dLbls>
          <c:dLblPos val="ctr"/>
          <c:showLegendKey val="0"/>
          <c:showVal val="1"/>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02820096"/>
        <c:crosses val="autoZero"/>
        <c:auto val="1"/>
        <c:lblAlgn val="ctr"/>
        <c:lblOffset val="100"/>
        <c:noMultiLvlLbl val="0"/>
      </c:catAx>
      <c:valAx>
        <c:axId val="702820096"/>
        <c:scaling>
          <c:orientation val="minMax"/>
          <c:min val="200"/>
        </c:scaling>
        <c:delete val="1"/>
        <c:axPos val="l"/>
        <c:numFmt formatCode="&quot;$&quot;#,##0" sourceLinked="1"/>
        <c:majorTickMark val="out"/>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CH_CostElements_Anytime!$D$102</c:f>
              <c:strCache>
                <c:ptCount val="1"/>
                <c:pt idx="0">
                  <c:v>VDO 2021 Variation - Final</c:v>
                </c:pt>
              </c:strCache>
            </c:strRef>
          </c:tx>
          <c:spPr>
            <a:solidFill>
              <a:srgbClr val="7F7F7F">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7F7F7F"/>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CH_CostElements_Anytime!$E$52:$O$52</c:f>
              <c:strCache>
                <c:ptCount val="11"/>
                <c:pt idx="0">
                  <c:v>Total</c:v>
                </c:pt>
                <c:pt idx="1">
                  <c:v>Wholesale</c:v>
                </c:pt>
                <c:pt idx="2">
                  <c:v>Network</c:v>
                </c:pt>
                <c:pt idx="3">
                  <c:v>Network true up</c:v>
                </c:pt>
                <c:pt idx="4">
                  <c:v>Retail</c:v>
                </c:pt>
                <c:pt idx="5">
                  <c:v>Environmental schemes</c:v>
                </c:pt>
                <c:pt idx="6">
                  <c:v>Environmental true up</c:v>
                </c:pt>
                <c:pt idx="7">
                  <c:v>FiT</c:v>
                </c:pt>
                <c:pt idx="8">
                  <c:v>Other</c:v>
                </c:pt>
                <c:pt idx="9">
                  <c:v>Retail margin</c:v>
                </c:pt>
                <c:pt idx="10">
                  <c:v>GST</c:v>
                </c:pt>
              </c:strCache>
            </c:strRef>
          </c:cat>
          <c:val>
            <c:numRef>
              <c:f>CH_CostElements_Anytime!$E$102:$O$102</c:f>
              <c:numCache>
                <c:formatCode>"$"#,##0_);[Red]\("$"#,##0\)</c:formatCode>
                <c:ptCount val="11"/>
                <c:pt idx="0">
                  <c:v>1411.3749513429952</c:v>
                </c:pt>
                <c:pt idx="1">
                  <c:v>399.43883000330271</c:v>
                </c:pt>
                <c:pt idx="2">
                  <c:v>510.78450000000009</c:v>
                </c:pt>
                <c:pt idx="3">
                  <c:v>0</c:v>
                </c:pt>
                <c:pt idx="4">
                  <c:v>181.75878095302619</c:v>
                </c:pt>
                <c:pt idx="5">
                  <c:v>97.928093250321623</c:v>
                </c:pt>
                <c:pt idx="6">
                  <c:v>0</c:v>
                </c:pt>
                <c:pt idx="7">
                  <c:v>10.849248189087444</c:v>
                </c:pt>
                <c:pt idx="8">
                  <c:v>9.2255887062436805</c:v>
                </c:pt>
                <c:pt idx="9">
                  <c:v>73.083096482559682</c:v>
                </c:pt>
                <c:pt idx="10">
                  <c:v>128.30681375845415</c:v>
                </c:pt>
              </c:numCache>
            </c:numRef>
          </c:val>
          <c:extLst>
            <c:ext xmlns:c16="http://schemas.microsoft.com/office/drawing/2014/chart" uri="{C3380CC4-5D6E-409C-BE32-E72D297353CC}">
              <c16:uniqueId val="{00000002-E383-4390-A988-C6681F9C7A4F}"/>
            </c:ext>
          </c:extLst>
        </c:ser>
        <c:ser>
          <c:idx val="1"/>
          <c:order val="1"/>
          <c:tx>
            <c:strRef>
              <c:f>CH_CostElements_Anytime!$D$110</c:f>
              <c:strCache>
                <c:ptCount val="1"/>
                <c:pt idx="0">
                  <c:v>VDO 2022 - Final</c:v>
                </c:pt>
              </c:strCache>
            </c:strRef>
          </c:tx>
          <c:spPr>
            <a:solidFill>
              <a:srgbClr val="236192"/>
            </a:solidFill>
            <a:ln>
              <a:noFill/>
            </a:ln>
            <a:effectLst/>
          </c:spPr>
          <c:invertIfNegative val="0"/>
          <c:dLbls>
            <c:dLbl>
              <c:idx val="0"/>
              <c:tx>
                <c:rich>
                  <a:bodyPr/>
                  <a:lstStyle/>
                  <a:p>
                    <a:fld id="{B5CBC207-149C-4B3F-879A-0080D58557AB}" type="CELLRANGE">
                      <a:rPr lang="en-US"/>
                      <a:pPr/>
                      <a:t>[CELLRANGE]</a:t>
                    </a:fld>
                    <a:endParaRPr lang="en-US" baseline="0"/>
                  </a:p>
                  <a:p>
                    <a:fld id="{26E2B9DE-8588-4E7D-9230-9F3596EA5F1D}" type="VALUE">
                      <a:rPr lang="en-US"/>
                      <a:pPr/>
                      <a:t>[VALUE]</a:t>
                    </a:fld>
                    <a:endParaRPr lang="en-AU"/>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383-4390-A988-C6681F9C7A4F}"/>
                </c:ext>
              </c:extLst>
            </c:dLbl>
            <c:dLbl>
              <c:idx val="1"/>
              <c:tx>
                <c:rich>
                  <a:bodyPr/>
                  <a:lstStyle/>
                  <a:p>
                    <a:fld id="{17121DEF-C01D-40BD-8570-C9E491D40BFE}" type="CELLRANGE">
                      <a:rPr lang="en-US"/>
                      <a:pPr/>
                      <a:t>[CELLRANGE]</a:t>
                    </a:fld>
                    <a:endParaRPr lang="en-US" baseline="0"/>
                  </a:p>
                  <a:p>
                    <a:fld id="{D5F3A100-279C-40B6-8639-0C3642BA58BC}" type="VALUE">
                      <a:rPr lang="en-US"/>
                      <a:pPr/>
                      <a:t>[VALUE]</a:t>
                    </a:fld>
                    <a:endParaRPr lang="en-AU"/>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383-4390-A988-C6681F9C7A4F}"/>
                </c:ext>
              </c:extLst>
            </c:dLbl>
            <c:dLbl>
              <c:idx val="2"/>
              <c:tx>
                <c:rich>
                  <a:bodyPr/>
                  <a:lstStyle/>
                  <a:p>
                    <a:fld id="{CE5E98F2-8754-4923-8C74-5924DBA01956}" type="CELLRANGE">
                      <a:rPr lang="en-US"/>
                      <a:pPr/>
                      <a:t>[CELLRANGE]</a:t>
                    </a:fld>
                    <a:endParaRPr lang="en-US" baseline="0"/>
                  </a:p>
                  <a:p>
                    <a:fld id="{412D137C-5E2C-43F1-A810-0AF1729CE243}" type="VALUE">
                      <a:rPr lang="en-US"/>
                      <a:pPr/>
                      <a:t>[VALUE]</a:t>
                    </a:fld>
                    <a:endParaRPr lang="en-AU"/>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383-4390-A988-C6681F9C7A4F}"/>
                </c:ext>
              </c:extLst>
            </c:dLbl>
            <c:dLbl>
              <c:idx val="3"/>
              <c:tx>
                <c:rich>
                  <a:bodyPr/>
                  <a:lstStyle/>
                  <a:p>
                    <a:fld id="{511B5E2C-BDAA-4E9F-8477-64A8A6E6CDB8}" type="CELLRANGE">
                      <a:rPr lang="en-US"/>
                      <a:pPr/>
                      <a:t>[CELLRANGE]</a:t>
                    </a:fld>
                    <a:endParaRPr lang="en-US" baseline="0"/>
                  </a:p>
                  <a:p>
                    <a:fld id="{B80A0DEF-E43C-4F75-A4AD-FEC15619DE50}" type="VALUE">
                      <a:rPr lang="en-US"/>
                      <a:pPr/>
                      <a:t>[VALUE]</a:t>
                    </a:fld>
                    <a:endParaRPr lang="en-AU"/>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383-4390-A988-C6681F9C7A4F}"/>
                </c:ext>
              </c:extLst>
            </c:dLbl>
            <c:dLbl>
              <c:idx val="4"/>
              <c:tx>
                <c:rich>
                  <a:bodyPr/>
                  <a:lstStyle/>
                  <a:p>
                    <a:fld id="{ED4E7B00-05B6-473B-9499-BD84F6CBA830}" type="CELLRANGE">
                      <a:rPr lang="en-US"/>
                      <a:pPr/>
                      <a:t>[CELLRANGE]</a:t>
                    </a:fld>
                    <a:endParaRPr lang="en-US" baseline="0"/>
                  </a:p>
                  <a:p>
                    <a:fld id="{8A8C3B0A-3F54-4BEE-9F7B-A564EB1DC2E7}" type="VALUE">
                      <a:rPr lang="en-US"/>
                      <a:pPr/>
                      <a:t>[VALUE]</a:t>
                    </a:fld>
                    <a:endParaRPr lang="en-AU"/>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E383-4390-A988-C6681F9C7A4F}"/>
                </c:ext>
              </c:extLst>
            </c:dLbl>
            <c:dLbl>
              <c:idx val="5"/>
              <c:tx>
                <c:rich>
                  <a:bodyPr/>
                  <a:lstStyle/>
                  <a:p>
                    <a:fld id="{619A4AAE-D4FC-4E31-B81C-19244D96C969}" type="CELLRANGE">
                      <a:rPr lang="en-US"/>
                      <a:pPr/>
                      <a:t>[CELLRANGE]</a:t>
                    </a:fld>
                    <a:endParaRPr lang="en-US" baseline="0"/>
                  </a:p>
                  <a:p>
                    <a:fld id="{EFE5B8C5-BA8A-4910-9A51-D42FC0C2F4A2}" type="VALUE">
                      <a:rPr lang="en-US"/>
                      <a:pPr/>
                      <a:t>[VALUE]</a:t>
                    </a:fld>
                    <a:endParaRPr lang="en-AU"/>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383-4390-A988-C6681F9C7A4F}"/>
                </c:ext>
              </c:extLst>
            </c:dLbl>
            <c:dLbl>
              <c:idx val="6"/>
              <c:tx>
                <c:rich>
                  <a:bodyPr/>
                  <a:lstStyle/>
                  <a:p>
                    <a:fld id="{0CEE4A50-50CC-44F7-8778-9A8DED2BFD0B}" type="CELLRANGE">
                      <a:rPr lang="en-US"/>
                      <a:pPr/>
                      <a:t>[CELLRANGE]</a:t>
                    </a:fld>
                    <a:endParaRPr lang="en-US" baseline="0"/>
                  </a:p>
                  <a:p>
                    <a:fld id="{2124BB6E-FE04-4CF0-BDC5-886F1458361E}" type="VALUE">
                      <a:rPr lang="en-US"/>
                      <a:pPr/>
                      <a:t>[VALUE]</a:t>
                    </a:fld>
                    <a:endParaRPr lang="en-AU"/>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383-4390-A988-C6681F9C7A4F}"/>
                </c:ext>
              </c:extLst>
            </c:dLbl>
            <c:dLbl>
              <c:idx val="7"/>
              <c:tx>
                <c:rich>
                  <a:bodyPr/>
                  <a:lstStyle/>
                  <a:p>
                    <a:fld id="{512BD022-4B98-427E-9367-21455B5B939E}" type="CELLRANGE">
                      <a:rPr lang="en-US"/>
                      <a:pPr/>
                      <a:t>[CELLRANGE]</a:t>
                    </a:fld>
                    <a:endParaRPr lang="en-US" baseline="0"/>
                  </a:p>
                  <a:p>
                    <a:fld id="{E63CCFB0-FD9F-40AB-A70A-B4A3D0DFFEC1}" type="VALUE">
                      <a:rPr lang="en-US"/>
                      <a:pPr/>
                      <a:t>[VALUE]</a:t>
                    </a:fld>
                    <a:endParaRPr lang="en-AU"/>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83-4390-A988-C6681F9C7A4F}"/>
                </c:ext>
              </c:extLst>
            </c:dLbl>
            <c:dLbl>
              <c:idx val="8"/>
              <c:tx>
                <c:rich>
                  <a:bodyPr/>
                  <a:lstStyle/>
                  <a:p>
                    <a:fld id="{331799F1-2F49-46AC-A204-984A7C120B3F}" type="CELLRANGE">
                      <a:rPr lang="en-US"/>
                      <a:pPr/>
                      <a:t>[CELLRANGE]</a:t>
                    </a:fld>
                    <a:endParaRPr lang="en-US" baseline="0"/>
                  </a:p>
                  <a:p>
                    <a:fld id="{559E43DE-90D8-4259-BF32-9F0250CF8D53}" type="VALUE">
                      <a:rPr lang="en-US"/>
                      <a:pPr/>
                      <a:t>[VALUE]</a:t>
                    </a:fld>
                    <a:endParaRPr lang="en-AU"/>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383-4390-A988-C6681F9C7A4F}"/>
                </c:ext>
              </c:extLst>
            </c:dLbl>
            <c:dLbl>
              <c:idx val="9"/>
              <c:tx>
                <c:rich>
                  <a:bodyPr/>
                  <a:lstStyle/>
                  <a:p>
                    <a:fld id="{3824876D-1D39-4A6F-B718-222ACACA8FA6}" type="CELLRANGE">
                      <a:rPr lang="en-US"/>
                      <a:pPr/>
                      <a:t>[CELLRANGE]</a:t>
                    </a:fld>
                    <a:endParaRPr lang="en-US" baseline="0"/>
                  </a:p>
                  <a:p>
                    <a:fld id="{F58F0238-4302-45B4-8276-DFBA7A3E243A}" type="VALUE">
                      <a:rPr lang="en-US"/>
                      <a:pPr/>
                      <a:t>[VALUE]</a:t>
                    </a:fld>
                    <a:endParaRPr lang="en-AU"/>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383-4390-A988-C6681F9C7A4F}"/>
                </c:ext>
              </c:extLst>
            </c:dLbl>
            <c:dLbl>
              <c:idx val="10"/>
              <c:tx>
                <c:rich>
                  <a:bodyPr/>
                  <a:lstStyle/>
                  <a:p>
                    <a:fld id="{F9469822-5618-4FB9-8765-9068418FC578}" type="CELLRANGE">
                      <a:rPr lang="en-US"/>
                      <a:pPr/>
                      <a:t>[CELLRANGE]</a:t>
                    </a:fld>
                    <a:endParaRPr lang="en-US" baseline="0"/>
                  </a:p>
                  <a:p>
                    <a:fld id="{4CDE321D-DC21-4FDD-B28D-B6EB8DEAAC69}" type="VALUE">
                      <a:rPr lang="en-US"/>
                      <a:pPr/>
                      <a:t>[VALUE]</a:t>
                    </a:fld>
                    <a:endParaRPr lang="en-AU"/>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383-4390-A988-C6681F9C7A4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236192"/>
                    </a:solidFill>
                    <a:latin typeface="+mn-lt"/>
                    <a:ea typeface="+mn-ea"/>
                    <a:cs typeface="+mn-cs"/>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val>
            <c:numRef>
              <c:f>CH_CostElements_Anytime!$E$110:$O$110</c:f>
              <c:numCache>
                <c:formatCode>"$"#,##0_);[Red]\("$"#,##0\)</c:formatCode>
                <c:ptCount val="11"/>
                <c:pt idx="0">
                  <c:v>1342</c:v>
                </c:pt>
                <c:pt idx="1">
                  <c:v>303.14242733766685</c:v>
                </c:pt>
                <c:pt idx="2">
                  <c:v>510.78450000000009</c:v>
                </c:pt>
                <c:pt idx="3">
                  <c:v>12.530679555985406</c:v>
                </c:pt>
                <c:pt idx="4">
                  <c:v>181.37562065040649</c:v>
                </c:pt>
                <c:pt idx="5">
                  <c:v>111.91513786511329</c:v>
                </c:pt>
                <c:pt idx="6">
                  <c:v>13.079870942258086</c:v>
                </c:pt>
                <c:pt idx="7">
                  <c:v>13.337821545021233</c:v>
                </c:pt>
                <c:pt idx="8">
                  <c:v>7.8241710885950742</c:v>
                </c:pt>
                <c:pt idx="9">
                  <c:v>68.154132580602891</c:v>
                </c:pt>
                <c:pt idx="10">
                  <c:v>119.65338110674058</c:v>
                </c:pt>
              </c:numCache>
            </c:numRef>
          </c:val>
          <c:extLst>
            <c:ext xmlns:c15="http://schemas.microsoft.com/office/drawing/2012/chart" uri="{02D57815-91ED-43cb-92C2-25804820EDAC}">
              <c15:datalabelsRange>
                <c15:f>CH_CostElements_Anytime!$E$118:$O$118</c15:f>
                <c15:dlblRangeCache>
                  <c:ptCount val="11"/>
                  <c:pt idx="0">
                    <c:v>-4.9%</c:v>
                  </c:pt>
                  <c:pt idx="1">
                    <c:v>-6.8%</c:v>
                  </c:pt>
                  <c:pt idx="2">
                    <c:v>0.0%</c:v>
                  </c:pt>
                  <c:pt idx="3">
                    <c:v>0.9%</c:v>
                  </c:pt>
                  <c:pt idx="4">
                    <c:v>0.0%</c:v>
                  </c:pt>
                  <c:pt idx="5">
                    <c:v>1.0%</c:v>
                  </c:pt>
                  <c:pt idx="6">
                    <c:v>0.9%</c:v>
                  </c:pt>
                  <c:pt idx="7">
                    <c:v>0.2%</c:v>
                  </c:pt>
                  <c:pt idx="8">
                    <c:v>-0.1%</c:v>
                  </c:pt>
                  <c:pt idx="9">
                    <c:v>-0.3%</c:v>
                  </c:pt>
                  <c:pt idx="10">
                    <c:v>-0.6%</c:v>
                  </c:pt>
                </c15:dlblRangeCache>
              </c15:datalabelsRange>
            </c:ext>
            <c:ext xmlns:c16="http://schemas.microsoft.com/office/drawing/2014/chart" uri="{C3380CC4-5D6E-409C-BE32-E72D297353CC}">
              <c16:uniqueId val="{00000003-E383-4390-A988-C6681F9C7A4F}"/>
            </c:ext>
          </c:extLst>
        </c:ser>
        <c:dLbls>
          <c:showLegendKey val="0"/>
          <c:showVal val="0"/>
          <c:showCatName val="0"/>
          <c:showSerName val="0"/>
          <c:showPercent val="0"/>
          <c:showBubbleSize val="0"/>
        </c:dLbls>
        <c:gapWidth val="50"/>
        <c:overlap val="-5"/>
        <c:axId val="1384032960"/>
        <c:axId val="1384034600"/>
      </c:barChart>
      <c:catAx>
        <c:axId val="138403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4034600"/>
        <c:crosses val="autoZero"/>
        <c:auto val="1"/>
        <c:lblAlgn val="ctr"/>
        <c:lblOffset val="100"/>
        <c:noMultiLvlLbl val="0"/>
      </c:catAx>
      <c:valAx>
        <c:axId val="1384034600"/>
        <c:scaling>
          <c:orientation val="minMax"/>
        </c:scaling>
        <c:delete val="1"/>
        <c:axPos val="l"/>
        <c:numFmt formatCode="&quot;$&quot;#,##0_);[Red]\(&quot;$&quot;#,##0\)" sourceLinked="1"/>
        <c:majorTickMark val="none"/>
        <c:minorTickMark val="none"/>
        <c:tickLblPos val="nextTo"/>
        <c:crossAx val="1384032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impacts half year'!$C$90</c:f>
          <c:strCache>
            <c:ptCount val="1"/>
            <c:pt idx="0">
              <c:v>Domestic bills for half year, indicative,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impacts half year'!$C$90</c:f>
              <c:strCache>
                <c:ptCount val="1"/>
                <c:pt idx="0">
                  <c:v>Domestic bills for half year, indicative, $</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4E05-4366-83D5-80E885EA7A60}"/>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3-4E05-4366-83D5-80E885EA7A60}"/>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5-4E05-4366-83D5-80E885EA7A60}"/>
              </c:ext>
            </c:extLst>
          </c:dPt>
          <c:dPt>
            <c:idx val="12"/>
            <c:invertIfNegative val="0"/>
            <c:bubble3D val="0"/>
            <c:spPr>
              <a:solidFill>
                <a:schemeClr val="accent1"/>
              </a:solidFill>
              <a:ln>
                <a:noFill/>
              </a:ln>
              <a:effectLst/>
            </c:spPr>
            <c:extLst>
              <c:ext xmlns:c16="http://schemas.microsoft.com/office/drawing/2014/chart" uri="{C3380CC4-5D6E-409C-BE32-E72D297353CC}">
                <c16:uniqueId val="{00000007-4E05-4366-83D5-80E885EA7A60}"/>
              </c:ext>
            </c:extLst>
          </c:dPt>
          <c:dPt>
            <c:idx val="16"/>
            <c:invertIfNegative val="0"/>
            <c:bubble3D val="0"/>
            <c:spPr>
              <a:solidFill>
                <a:schemeClr val="accent1"/>
              </a:solidFill>
              <a:ln>
                <a:noFill/>
              </a:ln>
              <a:effectLst/>
            </c:spPr>
            <c:extLst>
              <c:ext xmlns:c16="http://schemas.microsoft.com/office/drawing/2014/chart" uri="{C3380CC4-5D6E-409C-BE32-E72D297353CC}">
                <c16:uniqueId val="{00000009-4E05-4366-83D5-80E885EA7A60}"/>
              </c:ext>
            </c:extLst>
          </c:dPt>
          <c:dPt>
            <c:idx val="20"/>
            <c:invertIfNegative val="0"/>
            <c:bubble3D val="0"/>
            <c:spPr>
              <a:solidFill>
                <a:schemeClr val="accent1"/>
              </a:solidFill>
              <a:ln>
                <a:noFill/>
              </a:ln>
              <a:effectLst/>
            </c:spPr>
            <c:extLst>
              <c:ext xmlns:c16="http://schemas.microsoft.com/office/drawing/2014/chart" uri="{C3380CC4-5D6E-409C-BE32-E72D297353CC}">
                <c16:uniqueId val="{0000000F-8C14-4ED2-B2C2-3E7226BDEC3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impacts half year'!$D$88:$Z$89</c:f>
              <c:multiLvlStrCache>
                <c:ptCount val="23"/>
                <c:lvl>
                  <c:pt idx="0">
                    <c:v>H1 2021 (VDO)</c:v>
                  </c:pt>
                  <c:pt idx="1">
                    <c:v>H2 2021 (Variation - flat)</c:v>
                  </c:pt>
                  <c:pt idx="2">
                    <c:v>H2 2021 (Variation - ToU)</c:v>
                  </c:pt>
                  <c:pt idx="4">
                    <c:v>H1 2021 (VDO)</c:v>
                  </c:pt>
                  <c:pt idx="5">
                    <c:v>H2 2021 (Variation - flat)</c:v>
                  </c:pt>
                  <c:pt idx="6">
                    <c:v>H2 2021 (Variation - ToU)</c:v>
                  </c:pt>
                  <c:pt idx="8">
                    <c:v>H1 2021 (VDO)</c:v>
                  </c:pt>
                  <c:pt idx="9">
                    <c:v>H2 2021 (Variation - flat)</c:v>
                  </c:pt>
                  <c:pt idx="10">
                    <c:v>H2 2021 (Variation - ToU)</c:v>
                  </c:pt>
                  <c:pt idx="12">
                    <c:v>H1 2021 (VDO)</c:v>
                  </c:pt>
                  <c:pt idx="13">
                    <c:v>H2 2021 (Variation - flat)</c:v>
                  </c:pt>
                  <c:pt idx="14">
                    <c:v>H2 2021 (Variation - ToU)</c:v>
                  </c:pt>
                  <c:pt idx="16">
                    <c:v>H1 2021 (VDO)</c:v>
                  </c:pt>
                  <c:pt idx="17">
                    <c:v>H2 2021 (Variation - flat)</c:v>
                  </c:pt>
                  <c:pt idx="18">
                    <c:v>H2 2021 (Variation - ToU)</c:v>
                  </c:pt>
                  <c:pt idx="20">
                    <c:v>H1 2021 (VDO)</c:v>
                  </c:pt>
                  <c:pt idx="21">
                    <c:v>H2 2021 (Variation - flat)</c:v>
                  </c:pt>
                  <c:pt idx="22">
                    <c:v>H2 2021 (Variation - ToU)</c:v>
                  </c:pt>
                </c:lvl>
                <c:lvl>
                  <c:pt idx="0">
                    <c:v>AusNet Services</c:v>
                  </c:pt>
                  <c:pt idx="4">
                    <c:v>Citipower</c:v>
                  </c:pt>
                  <c:pt idx="8">
                    <c:v>Jemena</c:v>
                  </c:pt>
                  <c:pt idx="12">
                    <c:v>Powercor</c:v>
                  </c:pt>
                  <c:pt idx="16">
                    <c:v>United Energy</c:v>
                  </c:pt>
                  <c:pt idx="20">
                    <c:v>Victoria</c:v>
                  </c:pt>
                </c:lvl>
              </c:multiLvlStrCache>
            </c:multiLvlStrRef>
          </c:cat>
          <c:val>
            <c:numRef>
              <c:f>'CH_Bill impacts half year'!$D$90:$Z$90</c:f>
              <c:numCache>
                <c:formatCode>#,##0</c:formatCode>
                <c:ptCount val="23"/>
                <c:pt idx="0">
                  <c:v>0</c:v>
                </c:pt>
                <c:pt idx="1">
                  <c:v>0</c:v>
                </c:pt>
                <c:pt idx="2">
                  <c:v>0</c:v>
                </c:pt>
                <c:pt idx="4">
                  <c:v>0</c:v>
                </c:pt>
                <c:pt idx="5">
                  <c:v>0</c:v>
                </c:pt>
                <c:pt idx="6">
                  <c:v>0</c:v>
                </c:pt>
                <c:pt idx="8">
                  <c:v>0</c:v>
                </c:pt>
                <c:pt idx="9">
                  <c:v>0</c:v>
                </c:pt>
                <c:pt idx="10">
                  <c:v>0</c:v>
                </c:pt>
                <c:pt idx="12">
                  <c:v>0</c:v>
                </c:pt>
                <c:pt idx="13">
                  <c:v>0</c:v>
                </c:pt>
                <c:pt idx="14">
                  <c:v>0</c:v>
                </c:pt>
                <c:pt idx="16">
                  <c:v>0</c:v>
                </c:pt>
                <c:pt idx="17">
                  <c:v>0</c:v>
                </c:pt>
                <c:pt idx="18">
                  <c:v>0</c:v>
                </c:pt>
                <c:pt idx="20">
                  <c:v>0</c:v>
                </c:pt>
                <c:pt idx="21">
                  <c:v>0</c:v>
                </c:pt>
                <c:pt idx="22">
                  <c:v>0</c:v>
                </c:pt>
              </c:numCache>
            </c:numRef>
          </c:val>
          <c:extLst>
            <c:ext xmlns:c16="http://schemas.microsoft.com/office/drawing/2014/chart" uri="{C3380CC4-5D6E-409C-BE32-E72D297353CC}">
              <c16:uniqueId val="{0000000A-4E05-4366-83D5-80E885EA7A60}"/>
            </c:ext>
          </c:extLst>
        </c:ser>
        <c:ser>
          <c:idx val="1"/>
          <c:order val="1"/>
          <c:tx>
            <c:strRef>
              <c:f>'CH_Bill impacts half year'!$C$91</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E05-4366-83D5-80E885EA7A60}"/>
                </c:ext>
              </c:extLst>
            </c:dLbl>
            <c:dLbl>
              <c:idx val="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C-4E05-4366-83D5-80E885EA7A60}"/>
                </c:ext>
              </c:extLst>
            </c:dLbl>
            <c:dLbl>
              <c:idx val="2"/>
              <c:tx>
                <c:rich>
                  <a:bodyPr/>
                  <a:lstStyle/>
                  <a:p>
                    <a:fld id="{33DC288A-7113-405D-BF54-990B6B775F25}"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E05-4366-83D5-80E885EA7A60}"/>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E05-4366-83D5-80E885EA7A60}"/>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E05-4366-83D5-80E885EA7A60}"/>
                </c:ext>
              </c:extLst>
            </c:dLbl>
            <c:dLbl>
              <c:idx val="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0-4E05-4366-83D5-80E885EA7A60}"/>
                </c:ext>
              </c:extLst>
            </c:dLbl>
            <c:dLbl>
              <c:idx val="6"/>
              <c:tx>
                <c:rich>
                  <a:bodyPr/>
                  <a:lstStyle/>
                  <a:p>
                    <a:fld id="{63D568A7-EA77-49F0-A303-93E8F5DFE6F4}"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E05-4366-83D5-80E885EA7A60}"/>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E05-4366-83D5-80E885EA7A60}"/>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E05-4366-83D5-80E885EA7A60}"/>
                </c:ext>
              </c:extLst>
            </c:dLbl>
            <c:dLbl>
              <c:idx val="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4-4E05-4366-83D5-80E885EA7A60}"/>
                </c:ext>
              </c:extLst>
            </c:dLbl>
            <c:dLbl>
              <c:idx val="10"/>
              <c:tx>
                <c:rich>
                  <a:bodyPr/>
                  <a:lstStyle/>
                  <a:p>
                    <a:fld id="{49D92E2D-0257-4DD1-AD7E-7DD0B7CA4BA1}"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E05-4366-83D5-80E885EA7A60}"/>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E05-4366-83D5-80E885EA7A60}"/>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E05-4366-83D5-80E885EA7A60}"/>
                </c:ext>
              </c:extLst>
            </c:dLbl>
            <c:dLbl>
              <c:idx val="1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8-4E05-4366-83D5-80E885EA7A60}"/>
                </c:ext>
              </c:extLst>
            </c:dLbl>
            <c:dLbl>
              <c:idx val="14"/>
              <c:tx>
                <c:rich>
                  <a:bodyPr/>
                  <a:lstStyle/>
                  <a:p>
                    <a:fld id="{FAABA1EF-5C1F-4277-B7DB-3F88A8C4EBF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E05-4366-83D5-80E885EA7A60}"/>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E05-4366-83D5-80E885EA7A60}"/>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E05-4366-83D5-80E885EA7A60}"/>
                </c:ext>
              </c:extLst>
            </c:dLbl>
            <c:dLbl>
              <c:idx val="1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C-4E05-4366-83D5-80E885EA7A60}"/>
                </c:ext>
              </c:extLst>
            </c:dLbl>
            <c:dLbl>
              <c:idx val="18"/>
              <c:tx>
                <c:rich>
                  <a:bodyPr/>
                  <a:lstStyle/>
                  <a:p>
                    <a:fld id="{FA827AC8-99F7-40CC-904E-73D83F46C9B7}"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E05-4366-83D5-80E885EA7A60}"/>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C14-4ED2-B2C2-3E7226BDEC30}"/>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C14-4ED2-B2C2-3E7226BDEC30}"/>
                </c:ext>
              </c:extLst>
            </c:dLbl>
            <c:dLbl>
              <c:idx val="2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D-8C14-4ED2-B2C2-3E7226BDEC30}"/>
                </c:ext>
              </c:extLst>
            </c:dLbl>
            <c:dLbl>
              <c:idx val="22"/>
              <c:tx>
                <c:rich>
                  <a:bodyPr/>
                  <a:lstStyle/>
                  <a:p>
                    <a:fld id="{325E4B16-6231-4FC2-98C9-C2B543399E51}"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C14-4ED2-B2C2-3E7226BDEC3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lumMod val="7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impacts half year'!$D$88:$Z$89</c:f>
              <c:multiLvlStrCache>
                <c:ptCount val="23"/>
                <c:lvl>
                  <c:pt idx="0">
                    <c:v>H1 2021 (VDO)</c:v>
                  </c:pt>
                  <c:pt idx="1">
                    <c:v>H2 2021 (Variation - flat)</c:v>
                  </c:pt>
                  <c:pt idx="2">
                    <c:v>H2 2021 (Variation - ToU)</c:v>
                  </c:pt>
                  <c:pt idx="4">
                    <c:v>H1 2021 (VDO)</c:v>
                  </c:pt>
                  <c:pt idx="5">
                    <c:v>H2 2021 (Variation - flat)</c:v>
                  </c:pt>
                  <c:pt idx="6">
                    <c:v>H2 2021 (Variation - ToU)</c:v>
                  </c:pt>
                  <c:pt idx="8">
                    <c:v>H1 2021 (VDO)</c:v>
                  </c:pt>
                  <c:pt idx="9">
                    <c:v>H2 2021 (Variation - flat)</c:v>
                  </c:pt>
                  <c:pt idx="10">
                    <c:v>H2 2021 (Variation - ToU)</c:v>
                  </c:pt>
                  <c:pt idx="12">
                    <c:v>H1 2021 (VDO)</c:v>
                  </c:pt>
                  <c:pt idx="13">
                    <c:v>H2 2021 (Variation - flat)</c:v>
                  </c:pt>
                  <c:pt idx="14">
                    <c:v>H2 2021 (Variation - ToU)</c:v>
                  </c:pt>
                  <c:pt idx="16">
                    <c:v>H1 2021 (VDO)</c:v>
                  </c:pt>
                  <c:pt idx="17">
                    <c:v>H2 2021 (Variation - flat)</c:v>
                  </c:pt>
                  <c:pt idx="18">
                    <c:v>H2 2021 (Variation - ToU)</c:v>
                  </c:pt>
                  <c:pt idx="20">
                    <c:v>H1 2021 (VDO)</c:v>
                  </c:pt>
                  <c:pt idx="21">
                    <c:v>H2 2021 (Variation - flat)</c:v>
                  </c:pt>
                  <c:pt idx="22">
                    <c:v>H2 2021 (Variation - ToU)</c:v>
                  </c:pt>
                </c:lvl>
                <c:lvl>
                  <c:pt idx="0">
                    <c:v>AusNet Services</c:v>
                  </c:pt>
                  <c:pt idx="4">
                    <c:v>Citipower</c:v>
                  </c:pt>
                  <c:pt idx="8">
                    <c:v>Jemena</c:v>
                  </c:pt>
                  <c:pt idx="12">
                    <c:v>Powercor</c:v>
                  </c:pt>
                  <c:pt idx="16">
                    <c:v>United Energy</c:v>
                  </c:pt>
                  <c:pt idx="20">
                    <c:v>Victoria</c:v>
                  </c:pt>
                </c:lvl>
              </c:multiLvlStrCache>
            </c:multiLvlStrRef>
          </c:cat>
          <c:val>
            <c:numRef>
              <c:f>'CH_Bill impacts half year'!$D$91:$Z$91</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impacts half year'!$D$92:$Z$92</c15:f>
                <c15:dlblRangeCache>
                  <c:ptCount val="23"/>
                  <c:pt idx="1">
                    <c:v>#REF!</c:v>
                  </c:pt>
                  <c:pt idx="2">
                    <c:v>#REF!</c:v>
                  </c:pt>
                  <c:pt idx="5">
                    <c:v>#REF!</c:v>
                  </c:pt>
                  <c:pt idx="6">
                    <c:v>#REF!</c:v>
                  </c:pt>
                  <c:pt idx="9">
                    <c:v>#REF!</c:v>
                  </c:pt>
                  <c:pt idx="10">
                    <c:v>#REF!</c:v>
                  </c:pt>
                  <c:pt idx="13">
                    <c:v>#REF!</c:v>
                  </c:pt>
                  <c:pt idx="14">
                    <c:v>#REF!</c:v>
                  </c:pt>
                  <c:pt idx="17">
                    <c:v>#REF!</c:v>
                  </c:pt>
                  <c:pt idx="18">
                    <c:v>#REF!</c:v>
                  </c:pt>
                  <c:pt idx="21">
                    <c:v>#REF!</c:v>
                  </c:pt>
                  <c:pt idx="22">
                    <c:v>#REF!</c:v>
                  </c:pt>
                </c15:dlblRangeCache>
              </c15:datalabelsRange>
            </c:ext>
            <c:ext xmlns:c16="http://schemas.microsoft.com/office/drawing/2014/chart" uri="{C3380CC4-5D6E-409C-BE32-E72D297353CC}">
              <c16:uniqueId val="{0000001E-4E05-4366-83D5-80E885EA7A60}"/>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impacts half year'!$C$93</c:f>
          <c:strCache>
            <c:ptCount val="1"/>
            <c:pt idx="0">
              <c:v>Small business bills for half year, indicative, $</c:v>
            </c:pt>
          </c:strCache>
        </c:strRef>
      </c:tx>
      <c:overlay val="0"/>
      <c:spPr>
        <a:noFill/>
        <a:ln>
          <a:noFill/>
        </a:ln>
        <a:effectLst/>
      </c:spPr>
      <c:txPr>
        <a:bodyPr rot="0" spcFirstLastPara="1" vertOverflow="ellipsis" vert="horz" wrap="square" anchor="ctr" anchorCtr="1"/>
        <a:lstStyle/>
        <a:p>
          <a:pPr algn="l">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impacts half year'!$C$93</c:f>
              <c:strCache>
                <c:ptCount val="1"/>
                <c:pt idx="0">
                  <c:v>Small business bills for half year, indicative, $</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77D6-4E03-8D46-FC4862BA19AE}"/>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3-77D6-4E03-8D46-FC4862BA19AE}"/>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5-77D6-4E03-8D46-FC4862BA19AE}"/>
              </c:ext>
            </c:extLst>
          </c:dPt>
          <c:dPt>
            <c:idx val="12"/>
            <c:invertIfNegative val="0"/>
            <c:bubble3D val="0"/>
            <c:spPr>
              <a:solidFill>
                <a:schemeClr val="accent1"/>
              </a:solidFill>
              <a:ln>
                <a:noFill/>
              </a:ln>
              <a:effectLst/>
            </c:spPr>
            <c:extLst>
              <c:ext xmlns:c16="http://schemas.microsoft.com/office/drawing/2014/chart" uri="{C3380CC4-5D6E-409C-BE32-E72D297353CC}">
                <c16:uniqueId val="{00000007-77D6-4E03-8D46-FC4862BA19AE}"/>
              </c:ext>
            </c:extLst>
          </c:dPt>
          <c:dPt>
            <c:idx val="16"/>
            <c:invertIfNegative val="0"/>
            <c:bubble3D val="0"/>
            <c:spPr>
              <a:solidFill>
                <a:schemeClr val="accent1"/>
              </a:solidFill>
              <a:ln>
                <a:noFill/>
              </a:ln>
              <a:effectLst/>
            </c:spPr>
            <c:extLst>
              <c:ext xmlns:c16="http://schemas.microsoft.com/office/drawing/2014/chart" uri="{C3380CC4-5D6E-409C-BE32-E72D297353CC}">
                <c16:uniqueId val="{00000009-77D6-4E03-8D46-FC4862BA19AE}"/>
              </c:ext>
            </c:extLst>
          </c:dPt>
          <c:dPt>
            <c:idx val="20"/>
            <c:invertIfNegative val="0"/>
            <c:bubble3D val="0"/>
            <c:spPr>
              <a:solidFill>
                <a:schemeClr val="accent1"/>
              </a:solidFill>
              <a:ln>
                <a:noFill/>
              </a:ln>
              <a:effectLst/>
            </c:spPr>
            <c:extLst>
              <c:ext xmlns:c16="http://schemas.microsoft.com/office/drawing/2014/chart" uri="{C3380CC4-5D6E-409C-BE32-E72D297353CC}">
                <c16:uniqueId val="{0000000F-DA49-4407-9DBD-4B453E88994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impacts half year'!$D$88:$Z$89</c:f>
              <c:multiLvlStrCache>
                <c:ptCount val="23"/>
                <c:lvl>
                  <c:pt idx="0">
                    <c:v>H1 2021 (VDO)</c:v>
                  </c:pt>
                  <c:pt idx="1">
                    <c:v>H2 2021 (Variation - flat)</c:v>
                  </c:pt>
                  <c:pt idx="2">
                    <c:v>H2 2021 (Variation - ToU)</c:v>
                  </c:pt>
                  <c:pt idx="4">
                    <c:v>H1 2021 (VDO)</c:v>
                  </c:pt>
                  <c:pt idx="5">
                    <c:v>H2 2021 (Variation - flat)</c:v>
                  </c:pt>
                  <c:pt idx="6">
                    <c:v>H2 2021 (Variation - ToU)</c:v>
                  </c:pt>
                  <c:pt idx="8">
                    <c:v>H1 2021 (VDO)</c:v>
                  </c:pt>
                  <c:pt idx="9">
                    <c:v>H2 2021 (Variation - flat)</c:v>
                  </c:pt>
                  <c:pt idx="10">
                    <c:v>H2 2021 (Variation - ToU)</c:v>
                  </c:pt>
                  <c:pt idx="12">
                    <c:v>H1 2021 (VDO)</c:v>
                  </c:pt>
                  <c:pt idx="13">
                    <c:v>H2 2021 (Variation - flat)</c:v>
                  </c:pt>
                  <c:pt idx="14">
                    <c:v>H2 2021 (Variation - ToU)</c:v>
                  </c:pt>
                  <c:pt idx="16">
                    <c:v>H1 2021 (VDO)</c:v>
                  </c:pt>
                  <c:pt idx="17">
                    <c:v>H2 2021 (Variation - flat)</c:v>
                  </c:pt>
                  <c:pt idx="18">
                    <c:v>H2 2021 (Variation - ToU)</c:v>
                  </c:pt>
                  <c:pt idx="20">
                    <c:v>H1 2021 (VDO)</c:v>
                  </c:pt>
                  <c:pt idx="21">
                    <c:v>H2 2021 (Variation - flat)</c:v>
                  </c:pt>
                  <c:pt idx="22">
                    <c:v>H2 2021 (Variation - ToU)</c:v>
                  </c:pt>
                </c:lvl>
                <c:lvl>
                  <c:pt idx="0">
                    <c:v>AusNet Services</c:v>
                  </c:pt>
                  <c:pt idx="4">
                    <c:v>Citipower</c:v>
                  </c:pt>
                  <c:pt idx="8">
                    <c:v>Jemena</c:v>
                  </c:pt>
                  <c:pt idx="12">
                    <c:v>Powercor</c:v>
                  </c:pt>
                  <c:pt idx="16">
                    <c:v>United Energy</c:v>
                  </c:pt>
                  <c:pt idx="20">
                    <c:v>Victoria</c:v>
                  </c:pt>
                </c:lvl>
              </c:multiLvlStrCache>
            </c:multiLvlStrRef>
          </c:cat>
          <c:val>
            <c:numRef>
              <c:f>'CH_Bill impacts half year'!$D$93:$Z$93</c:f>
              <c:numCache>
                <c:formatCode>#,##0</c:formatCode>
                <c:ptCount val="23"/>
                <c:pt idx="0">
                  <c:v>0</c:v>
                </c:pt>
                <c:pt idx="1">
                  <c:v>0</c:v>
                </c:pt>
                <c:pt idx="2">
                  <c:v>0</c:v>
                </c:pt>
                <c:pt idx="4">
                  <c:v>0</c:v>
                </c:pt>
                <c:pt idx="5">
                  <c:v>0</c:v>
                </c:pt>
                <c:pt idx="6">
                  <c:v>0</c:v>
                </c:pt>
                <c:pt idx="8">
                  <c:v>0</c:v>
                </c:pt>
                <c:pt idx="9">
                  <c:v>0</c:v>
                </c:pt>
                <c:pt idx="10">
                  <c:v>0</c:v>
                </c:pt>
                <c:pt idx="12">
                  <c:v>0</c:v>
                </c:pt>
                <c:pt idx="13">
                  <c:v>0</c:v>
                </c:pt>
                <c:pt idx="14">
                  <c:v>0</c:v>
                </c:pt>
                <c:pt idx="16">
                  <c:v>0</c:v>
                </c:pt>
                <c:pt idx="17">
                  <c:v>0</c:v>
                </c:pt>
                <c:pt idx="18">
                  <c:v>0</c:v>
                </c:pt>
                <c:pt idx="20">
                  <c:v>0</c:v>
                </c:pt>
                <c:pt idx="21">
                  <c:v>0</c:v>
                </c:pt>
                <c:pt idx="22">
                  <c:v>0</c:v>
                </c:pt>
              </c:numCache>
            </c:numRef>
          </c:val>
          <c:extLst>
            <c:ext xmlns:c16="http://schemas.microsoft.com/office/drawing/2014/chart" uri="{C3380CC4-5D6E-409C-BE32-E72D297353CC}">
              <c16:uniqueId val="{0000000A-77D6-4E03-8D46-FC4862BA19AE}"/>
            </c:ext>
          </c:extLst>
        </c:ser>
        <c:ser>
          <c:idx val="1"/>
          <c:order val="1"/>
          <c:tx>
            <c:strRef>
              <c:f>'CH_Bill impacts half year'!$C$94</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D6-4E03-8D46-FC4862BA19AE}"/>
                </c:ext>
              </c:extLst>
            </c:dLbl>
            <c:dLbl>
              <c:idx val="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C-77D6-4E03-8D46-FC4862BA19AE}"/>
                </c:ext>
              </c:extLst>
            </c:dLbl>
            <c:dLbl>
              <c:idx val="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D-77D6-4E03-8D46-FC4862BA19AE}"/>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D6-4E03-8D46-FC4862BA19AE}"/>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D6-4E03-8D46-FC4862BA19AE}"/>
                </c:ext>
              </c:extLst>
            </c:dLbl>
            <c:dLbl>
              <c:idx val="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0-77D6-4E03-8D46-FC4862BA19AE}"/>
                </c:ext>
              </c:extLst>
            </c:dLbl>
            <c:dLbl>
              <c:idx val="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1-77D6-4E03-8D46-FC4862BA19AE}"/>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7D6-4E03-8D46-FC4862BA19AE}"/>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7D6-4E03-8D46-FC4862BA19AE}"/>
                </c:ext>
              </c:extLst>
            </c:dLbl>
            <c:dLbl>
              <c:idx val="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4-77D6-4E03-8D46-FC4862BA19AE}"/>
                </c:ext>
              </c:extLst>
            </c:dLbl>
            <c:dLbl>
              <c:idx val="1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5-77D6-4E03-8D46-FC4862BA19AE}"/>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7D6-4E03-8D46-FC4862BA19AE}"/>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7D6-4E03-8D46-FC4862BA19AE}"/>
                </c:ext>
              </c:extLst>
            </c:dLbl>
            <c:dLbl>
              <c:idx val="1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8-77D6-4E03-8D46-FC4862BA19AE}"/>
                </c:ext>
              </c:extLst>
            </c:dLbl>
            <c:dLbl>
              <c:idx val="1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9-77D6-4E03-8D46-FC4862BA19AE}"/>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7D6-4E03-8D46-FC4862BA19AE}"/>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7D6-4E03-8D46-FC4862BA19AE}"/>
                </c:ext>
              </c:extLst>
            </c:dLbl>
            <c:dLbl>
              <c:idx val="1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C-77D6-4E03-8D46-FC4862BA19AE}"/>
                </c:ext>
              </c:extLst>
            </c:dLbl>
            <c:dLbl>
              <c:idx val="1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D-77D6-4E03-8D46-FC4862BA19AE}"/>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A49-4407-9DBD-4B453E889943}"/>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A49-4407-9DBD-4B453E889943}"/>
                </c:ext>
              </c:extLst>
            </c:dLbl>
            <c:dLbl>
              <c:idx val="2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D-DA49-4407-9DBD-4B453E889943}"/>
                </c:ext>
              </c:extLst>
            </c:dLbl>
            <c:dLbl>
              <c:idx val="2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E-DA49-4407-9DBD-4B453E88994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lumMod val="7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impacts half year'!$D$88:$Z$89</c:f>
              <c:multiLvlStrCache>
                <c:ptCount val="23"/>
                <c:lvl>
                  <c:pt idx="0">
                    <c:v>H1 2021 (VDO)</c:v>
                  </c:pt>
                  <c:pt idx="1">
                    <c:v>H2 2021 (Variation - flat)</c:v>
                  </c:pt>
                  <c:pt idx="2">
                    <c:v>H2 2021 (Variation - ToU)</c:v>
                  </c:pt>
                  <c:pt idx="4">
                    <c:v>H1 2021 (VDO)</c:v>
                  </c:pt>
                  <c:pt idx="5">
                    <c:v>H2 2021 (Variation - flat)</c:v>
                  </c:pt>
                  <c:pt idx="6">
                    <c:v>H2 2021 (Variation - ToU)</c:v>
                  </c:pt>
                  <c:pt idx="8">
                    <c:v>H1 2021 (VDO)</c:v>
                  </c:pt>
                  <c:pt idx="9">
                    <c:v>H2 2021 (Variation - flat)</c:v>
                  </c:pt>
                  <c:pt idx="10">
                    <c:v>H2 2021 (Variation - ToU)</c:v>
                  </c:pt>
                  <c:pt idx="12">
                    <c:v>H1 2021 (VDO)</c:v>
                  </c:pt>
                  <c:pt idx="13">
                    <c:v>H2 2021 (Variation - flat)</c:v>
                  </c:pt>
                  <c:pt idx="14">
                    <c:v>H2 2021 (Variation - ToU)</c:v>
                  </c:pt>
                  <c:pt idx="16">
                    <c:v>H1 2021 (VDO)</c:v>
                  </c:pt>
                  <c:pt idx="17">
                    <c:v>H2 2021 (Variation - flat)</c:v>
                  </c:pt>
                  <c:pt idx="18">
                    <c:v>H2 2021 (Variation - ToU)</c:v>
                  </c:pt>
                  <c:pt idx="20">
                    <c:v>H1 2021 (VDO)</c:v>
                  </c:pt>
                  <c:pt idx="21">
                    <c:v>H2 2021 (Variation - flat)</c:v>
                  </c:pt>
                  <c:pt idx="22">
                    <c:v>H2 2021 (Variation - ToU)</c:v>
                  </c:pt>
                </c:lvl>
                <c:lvl>
                  <c:pt idx="0">
                    <c:v>AusNet Services</c:v>
                  </c:pt>
                  <c:pt idx="4">
                    <c:v>Citipower</c:v>
                  </c:pt>
                  <c:pt idx="8">
                    <c:v>Jemena</c:v>
                  </c:pt>
                  <c:pt idx="12">
                    <c:v>Powercor</c:v>
                  </c:pt>
                  <c:pt idx="16">
                    <c:v>United Energy</c:v>
                  </c:pt>
                  <c:pt idx="20">
                    <c:v>Victoria</c:v>
                  </c:pt>
                </c:lvl>
              </c:multiLvlStrCache>
            </c:multiLvlStrRef>
          </c:cat>
          <c:val>
            <c:numRef>
              <c:f>'CH_Bill impacts half year'!$D$94:$Z$94</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impacts half year'!$D$95:$Z$95</c15:f>
                <c15:dlblRangeCache>
                  <c:ptCount val="23"/>
                  <c:pt idx="1">
                    <c:v>#REF!</c:v>
                  </c:pt>
                  <c:pt idx="2">
                    <c:v>#REF!</c:v>
                  </c:pt>
                  <c:pt idx="5">
                    <c:v>#REF!</c:v>
                  </c:pt>
                  <c:pt idx="6">
                    <c:v>#REF!</c:v>
                  </c:pt>
                  <c:pt idx="9">
                    <c:v>#REF!</c:v>
                  </c:pt>
                  <c:pt idx="10">
                    <c:v>#REF!</c:v>
                  </c:pt>
                  <c:pt idx="13">
                    <c:v>#REF!</c:v>
                  </c:pt>
                  <c:pt idx="14">
                    <c:v>#REF!</c:v>
                  </c:pt>
                  <c:pt idx="17">
                    <c:v>#REF!</c:v>
                  </c:pt>
                  <c:pt idx="18">
                    <c:v>#REF!</c:v>
                  </c:pt>
                  <c:pt idx="21">
                    <c:v>#REF!</c:v>
                  </c:pt>
                  <c:pt idx="22">
                    <c:v>#REF!</c:v>
                  </c:pt>
                </c15:dlblRangeCache>
              </c15:datalabelsRange>
            </c:ext>
            <c:ext xmlns:c16="http://schemas.microsoft.com/office/drawing/2014/chart" uri="{C3380CC4-5D6E-409C-BE32-E72D297353CC}">
              <c16:uniqueId val="{0000001E-77D6-4E03-8D46-FC4862BA19AE}"/>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impacts 4 monthly'!$C$90</c:f>
          <c:strCache>
            <c:ptCount val="1"/>
            <c:pt idx="0">
              <c:v>Domestic bills for 4 months, indicative,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impacts 4 monthly'!$C$90</c:f>
              <c:strCache>
                <c:ptCount val="1"/>
                <c:pt idx="0">
                  <c:v>Domestic bills for 4 months, indicative, $</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69-44D1-A369-F235C87E9CF0}"/>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3-0069-44D1-A369-F235C87E9CF0}"/>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5-0069-44D1-A369-F235C87E9CF0}"/>
              </c:ext>
            </c:extLst>
          </c:dPt>
          <c:dPt>
            <c:idx val="12"/>
            <c:invertIfNegative val="0"/>
            <c:bubble3D val="0"/>
            <c:spPr>
              <a:solidFill>
                <a:schemeClr val="accent1"/>
              </a:solidFill>
              <a:ln>
                <a:noFill/>
              </a:ln>
              <a:effectLst/>
            </c:spPr>
            <c:extLst>
              <c:ext xmlns:c16="http://schemas.microsoft.com/office/drawing/2014/chart" uri="{C3380CC4-5D6E-409C-BE32-E72D297353CC}">
                <c16:uniqueId val="{00000007-0069-44D1-A369-F235C87E9CF0}"/>
              </c:ext>
            </c:extLst>
          </c:dPt>
          <c:dPt>
            <c:idx val="16"/>
            <c:invertIfNegative val="0"/>
            <c:bubble3D val="0"/>
            <c:spPr>
              <a:solidFill>
                <a:schemeClr val="accent1"/>
              </a:solidFill>
              <a:ln>
                <a:noFill/>
              </a:ln>
              <a:effectLst/>
            </c:spPr>
            <c:extLst>
              <c:ext xmlns:c16="http://schemas.microsoft.com/office/drawing/2014/chart" uri="{C3380CC4-5D6E-409C-BE32-E72D297353CC}">
                <c16:uniqueId val="{00000009-0069-44D1-A369-F235C87E9CF0}"/>
              </c:ext>
            </c:extLst>
          </c:dPt>
          <c:dPt>
            <c:idx val="20"/>
            <c:invertIfNegative val="0"/>
            <c:bubble3D val="0"/>
            <c:spPr>
              <a:solidFill>
                <a:schemeClr val="accent1"/>
              </a:solidFill>
              <a:ln>
                <a:noFill/>
              </a:ln>
              <a:effectLst/>
            </c:spPr>
            <c:extLst>
              <c:ext xmlns:c16="http://schemas.microsoft.com/office/drawing/2014/chart" uri="{C3380CC4-5D6E-409C-BE32-E72D297353CC}">
                <c16:uniqueId val="{0000000B-0069-44D1-A369-F235C87E9CF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impacts 4 monthly'!$D$88:$Z$89</c:f>
              <c:multiLvlStrCache>
                <c:ptCount val="23"/>
                <c:lvl>
                  <c:pt idx="0">
                    <c:v>2021 VDO</c:v>
                  </c:pt>
                  <c:pt idx="1">
                    <c:v>Amended 2021 VDO - flat</c:v>
                  </c:pt>
                  <c:pt idx="2">
                    <c:v>Amended 2021 VDO - ToU</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4 monthly'!$D$90:$Z$90</c:f>
              <c:numCache>
                <c:formatCode>#,##0</c:formatCode>
                <c:ptCount val="23"/>
                <c:pt idx="0">
                  <c:v>0</c:v>
                </c:pt>
                <c:pt idx="1">
                  <c:v>0</c:v>
                </c:pt>
                <c:pt idx="2">
                  <c:v>0</c:v>
                </c:pt>
                <c:pt idx="4">
                  <c:v>0</c:v>
                </c:pt>
                <c:pt idx="5">
                  <c:v>0</c:v>
                </c:pt>
                <c:pt idx="6">
                  <c:v>0</c:v>
                </c:pt>
                <c:pt idx="8">
                  <c:v>0</c:v>
                </c:pt>
                <c:pt idx="9">
                  <c:v>0</c:v>
                </c:pt>
                <c:pt idx="10">
                  <c:v>0</c:v>
                </c:pt>
                <c:pt idx="12">
                  <c:v>0</c:v>
                </c:pt>
                <c:pt idx="13">
                  <c:v>0</c:v>
                </c:pt>
                <c:pt idx="14">
                  <c:v>0</c:v>
                </c:pt>
                <c:pt idx="16">
                  <c:v>0</c:v>
                </c:pt>
                <c:pt idx="17">
                  <c:v>0</c:v>
                </c:pt>
                <c:pt idx="18">
                  <c:v>0</c:v>
                </c:pt>
                <c:pt idx="20">
                  <c:v>0</c:v>
                </c:pt>
                <c:pt idx="21">
                  <c:v>0</c:v>
                </c:pt>
                <c:pt idx="22">
                  <c:v>0</c:v>
                </c:pt>
              </c:numCache>
            </c:numRef>
          </c:val>
          <c:extLst>
            <c:ext xmlns:c16="http://schemas.microsoft.com/office/drawing/2014/chart" uri="{C3380CC4-5D6E-409C-BE32-E72D297353CC}">
              <c16:uniqueId val="{0000000C-0069-44D1-A369-F235C87E9CF0}"/>
            </c:ext>
          </c:extLst>
        </c:ser>
        <c:ser>
          <c:idx val="1"/>
          <c:order val="1"/>
          <c:tx>
            <c:strRef>
              <c:f>'CH_Bill impacts 4 monthly'!$C$91</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069-44D1-A369-F235C87E9CF0}"/>
                </c:ext>
              </c:extLst>
            </c:dLbl>
            <c:dLbl>
              <c:idx val="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E-0069-44D1-A369-F235C87E9CF0}"/>
                </c:ext>
              </c:extLst>
            </c:dLbl>
            <c:dLbl>
              <c:idx val="2"/>
              <c:tx>
                <c:rich>
                  <a:bodyPr/>
                  <a:lstStyle/>
                  <a:p>
                    <a:fld id="{9C2054BE-E978-406B-B912-1D33AA6DAA69}"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069-44D1-A369-F235C87E9CF0}"/>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069-44D1-A369-F235C87E9CF0}"/>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069-44D1-A369-F235C87E9CF0}"/>
                </c:ext>
              </c:extLst>
            </c:dLbl>
            <c:dLbl>
              <c:idx val="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2-0069-44D1-A369-F235C87E9CF0}"/>
                </c:ext>
              </c:extLst>
            </c:dLbl>
            <c:dLbl>
              <c:idx val="6"/>
              <c:tx>
                <c:rich>
                  <a:bodyPr/>
                  <a:lstStyle/>
                  <a:p>
                    <a:fld id="{D2699DAC-648D-4A84-9A51-C19FF9E9B5FC}"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069-44D1-A369-F235C87E9CF0}"/>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069-44D1-A369-F235C87E9CF0}"/>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069-44D1-A369-F235C87E9CF0}"/>
                </c:ext>
              </c:extLst>
            </c:dLbl>
            <c:dLbl>
              <c:idx val="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6-0069-44D1-A369-F235C87E9CF0}"/>
                </c:ext>
              </c:extLst>
            </c:dLbl>
            <c:dLbl>
              <c:idx val="10"/>
              <c:tx>
                <c:rich>
                  <a:bodyPr/>
                  <a:lstStyle/>
                  <a:p>
                    <a:fld id="{8D81B010-6F3C-4AAF-8B0A-3853E68AF1FA}"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069-44D1-A369-F235C87E9CF0}"/>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069-44D1-A369-F235C87E9CF0}"/>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069-44D1-A369-F235C87E9CF0}"/>
                </c:ext>
              </c:extLst>
            </c:dLbl>
            <c:dLbl>
              <c:idx val="1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A-0069-44D1-A369-F235C87E9CF0}"/>
                </c:ext>
              </c:extLst>
            </c:dLbl>
            <c:dLbl>
              <c:idx val="14"/>
              <c:tx>
                <c:rich>
                  <a:bodyPr/>
                  <a:lstStyle/>
                  <a:p>
                    <a:fld id="{2D4DD0AB-25CC-4F5A-A117-EF8CBB42CD0C}"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069-44D1-A369-F235C87E9CF0}"/>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069-44D1-A369-F235C87E9CF0}"/>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069-44D1-A369-F235C87E9CF0}"/>
                </c:ext>
              </c:extLst>
            </c:dLbl>
            <c:dLbl>
              <c:idx val="1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E-0069-44D1-A369-F235C87E9CF0}"/>
                </c:ext>
              </c:extLst>
            </c:dLbl>
            <c:dLbl>
              <c:idx val="18"/>
              <c:tx>
                <c:rich>
                  <a:bodyPr/>
                  <a:lstStyle/>
                  <a:p>
                    <a:fld id="{4516ADBE-610D-448A-9CD5-B6E96E1D2430}"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069-44D1-A369-F235C87E9CF0}"/>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069-44D1-A369-F235C87E9CF0}"/>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069-44D1-A369-F235C87E9CF0}"/>
                </c:ext>
              </c:extLst>
            </c:dLbl>
            <c:dLbl>
              <c:idx val="2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2-0069-44D1-A369-F235C87E9CF0}"/>
                </c:ext>
              </c:extLst>
            </c:dLbl>
            <c:dLbl>
              <c:idx val="22"/>
              <c:tx>
                <c:rich>
                  <a:bodyPr/>
                  <a:lstStyle/>
                  <a:p>
                    <a:fld id="{A0C73E68-8968-43B8-8720-8AFCBEF9BEE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069-44D1-A369-F235C87E9CF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lumMod val="7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impacts 4 monthly'!$D$88:$Z$89</c:f>
              <c:multiLvlStrCache>
                <c:ptCount val="23"/>
                <c:lvl>
                  <c:pt idx="0">
                    <c:v>2021 VDO</c:v>
                  </c:pt>
                  <c:pt idx="1">
                    <c:v>Amended 2021 VDO - flat</c:v>
                  </c:pt>
                  <c:pt idx="2">
                    <c:v>Amended 2021 VDO - ToU</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4 monthly'!$D$91:$Z$91</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impacts 4 monthly'!$D$92:$Z$92</c15:f>
                <c15:dlblRangeCache>
                  <c:ptCount val="23"/>
                  <c:pt idx="1">
                    <c:v>#REF!</c:v>
                  </c:pt>
                  <c:pt idx="2">
                    <c:v>#REF!</c:v>
                  </c:pt>
                  <c:pt idx="5">
                    <c:v>#REF!</c:v>
                  </c:pt>
                  <c:pt idx="6">
                    <c:v>#REF!</c:v>
                  </c:pt>
                  <c:pt idx="9">
                    <c:v>#REF!</c:v>
                  </c:pt>
                  <c:pt idx="10">
                    <c:v>#REF!</c:v>
                  </c:pt>
                  <c:pt idx="13">
                    <c:v>#REF!</c:v>
                  </c:pt>
                  <c:pt idx="14">
                    <c:v>#REF!</c:v>
                  </c:pt>
                  <c:pt idx="17">
                    <c:v>#REF!</c:v>
                  </c:pt>
                  <c:pt idx="18">
                    <c:v>#REF!</c:v>
                  </c:pt>
                  <c:pt idx="21">
                    <c:v>#REF!</c:v>
                  </c:pt>
                  <c:pt idx="22">
                    <c:v>#REF!</c:v>
                  </c:pt>
                </c15:dlblRangeCache>
              </c15:datalabelsRange>
            </c:ext>
            <c:ext xmlns:c16="http://schemas.microsoft.com/office/drawing/2014/chart" uri="{C3380CC4-5D6E-409C-BE32-E72D297353CC}">
              <c16:uniqueId val="{00000024-0069-44D1-A369-F235C87E9CF0}"/>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impacts 4 monthly'!$C$93</c:f>
          <c:strCache>
            <c:ptCount val="1"/>
            <c:pt idx="0">
              <c:v>Small business bills for 4 months, indicative, $</c:v>
            </c:pt>
          </c:strCache>
        </c:strRef>
      </c:tx>
      <c:overlay val="0"/>
      <c:spPr>
        <a:noFill/>
        <a:ln>
          <a:noFill/>
        </a:ln>
        <a:effectLst/>
      </c:spPr>
      <c:txPr>
        <a:bodyPr rot="0" spcFirstLastPara="1" vertOverflow="ellipsis" vert="horz" wrap="square" anchor="ctr" anchorCtr="1"/>
        <a:lstStyle/>
        <a:p>
          <a:pPr algn="l">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'CH_Bill impacts 4 monthly'!$C$93</c:f>
              <c:strCache>
                <c:ptCount val="1"/>
                <c:pt idx="0">
                  <c:v>Small business bills for 4 months, indicative, $</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44-4FA2-9BD6-2B0E40533C29}"/>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3-DB44-4FA2-9BD6-2B0E40533C29}"/>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5-DB44-4FA2-9BD6-2B0E40533C29}"/>
              </c:ext>
            </c:extLst>
          </c:dPt>
          <c:dPt>
            <c:idx val="12"/>
            <c:invertIfNegative val="0"/>
            <c:bubble3D val="0"/>
            <c:spPr>
              <a:solidFill>
                <a:schemeClr val="accent1"/>
              </a:solidFill>
              <a:ln>
                <a:noFill/>
              </a:ln>
              <a:effectLst/>
            </c:spPr>
            <c:extLst>
              <c:ext xmlns:c16="http://schemas.microsoft.com/office/drawing/2014/chart" uri="{C3380CC4-5D6E-409C-BE32-E72D297353CC}">
                <c16:uniqueId val="{00000007-DB44-4FA2-9BD6-2B0E40533C29}"/>
              </c:ext>
            </c:extLst>
          </c:dPt>
          <c:dPt>
            <c:idx val="16"/>
            <c:invertIfNegative val="0"/>
            <c:bubble3D val="0"/>
            <c:spPr>
              <a:solidFill>
                <a:schemeClr val="accent1"/>
              </a:solidFill>
              <a:ln>
                <a:noFill/>
              </a:ln>
              <a:effectLst/>
            </c:spPr>
            <c:extLst>
              <c:ext xmlns:c16="http://schemas.microsoft.com/office/drawing/2014/chart" uri="{C3380CC4-5D6E-409C-BE32-E72D297353CC}">
                <c16:uniqueId val="{00000009-DB44-4FA2-9BD6-2B0E40533C29}"/>
              </c:ext>
            </c:extLst>
          </c:dPt>
          <c:dPt>
            <c:idx val="20"/>
            <c:invertIfNegative val="0"/>
            <c:bubble3D val="0"/>
            <c:spPr>
              <a:solidFill>
                <a:schemeClr val="accent1"/>
              </a:solidFill>
              <a:ln>
                <a:noFill/>
              </a:ln>
              <a:effectLst/>
            </c:spPr>
            <c:extLst>
              <c:ext xmlns:c16="http://schemas.microsoft.com/office/drawing/2014/chart" uri="{C3380CC4-5D6E-409C-BE32-E72D297353CC}">
                <c16:uniqueId val="{0000000B-DB44-4FA2-9BD6-2B0E40533C29}"/>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impacts 4 monthly'!$D$88:$Z$89</c:f>
              <c:multiLvlStrCache>
                <c:ptCount val="23"/>
                <c:lvl>
                  <c:pt idx="0">
                    <c:v>2021 VDO</c:v>
                  </c:pt>
                  <c:pt idx="1">
                    <c:v>Amended 2021 VDO - flat</c:v>
                  </c:pt>
                  <c:pt idx="2">
                    <c:v>Amended 2021 VDO - ToU</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4 monthly'!$D$93:$Z$93</c:f>
              <c:numCache>
                <c:formatCode>#,##0</c:formatCode>
                <c:ptCount val="23"/>
                <c:pt idx="0">
                  <c:v>0</c:v>
                </c:pt>
                <c:pt idx="1">
                  <c:v>0</c:v>
                </c:pt>
                <c:pt idx="2">
                  <c:v>0</c:v>
                </c:pt>
                <c:pt idx="4">
                  <c:v>0</c:v>
                </c:pt>
                <c:pt idx="5">
                  <c:v>0</c:v>
                </c:pt>
                <c:pt idx="6">
                  <c:v>0</c:v>
                </c:pt>
                <c:pt idx="8">
                  <c:v>0</c:v>
                </c:pt>
                <c:pt idx="9">
                  <c:v>0</c:v>
                </c:pt>
                <c:pt idx="10">
                  <c:v>0</c:v>
                </c:pt>
                <c:pt idx="12">
                  <c:v>0</c:v>
                </c:pt>
                <c:pt idx="13">
                  <c:v>0</c:v>
                </c:pt>
                <c:pt idx="14">
                  <c:v>0</c:v>
                </c:pt>
                <c:pt idx="16">
                  <c:v>0</c:v>
                </c:pt>
                <c:pt idx="17">
                  <c:v>0</c:v>
                </c:pt>
                <c:pt idx="18">
                  <c:v>0</c:v>
                </c:pt>
                <c:pt idx="20">
                  <c:v>0</c:v>
                </c:pt>
                <c:pt idx="21">
                  <c:v>0</c:v>
                </c:pt>
                <c:pt idx="22">
                  <c:v>0</c:v>
                </c:pt>
              </c:numCache>
            </c:numRef>
          </c:val>
          <c:extLst>
            <c:ext xmlns:c16="http://schemas.microsoft.com/office/drawing/2014/chart" uri="{C3380CC4-5D6E-409C-BE32-E72D297353CC}">
              <c16:uniqueId val="{0000000C-DB44-4FA2-9BD6-2B0E40533C29}"/>
            </c:ext>
          </c:extLst>
        </c:ser>
        <c:ser>
          <c:idx val="1"/>
          <c:order val="1"/>
          <c:tx>
            <c:strRef>
              <c:f>'CH_Bill impacts 4 monthly'!$C$94</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B44-4FA2-9BD6-2B0E40533C29}"/>
                </c:ext>
              </c:extLst>
            </c:dLbl>
            <c:dLbl>
              <c:idx val="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E-DB44-4FA2-9BD6-2B0E40533C29}"/>
                </c:ext>
              </c:extLst>
            </c:dLbl>
            <c:dLbl>
              <c:idx val="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DB44-4FA2-9BD6-2B0E40533C29}"/>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DB44-4FA2-9BD6-2B0E40533C29}"/>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DB44-4FA2-9BD6-2B0E40533C29}"/>
                </c:ext>
              </c:extLst>
            </c:dLbl>
            <c:dLbl>
              <c:idx val="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2-DB44-4FA2-9BD6-2B0E40533C29}"/>
                </c:ext>
              </c:extLst>
            </c:dLbl>
            <c:dLbl>
              <c:idx val="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3-DB44-4FA2-9BD6-2B0E40533C29}"/>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DB44-4FA2-9BD6-2B0E40533C29}"/>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DB44-4FA2-9BD6-2B0E40533C29}"/>
                </c:ext>
              </c:extLst>
            </c:dLbl>
            <c:dLbl>
              <c:idx val="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6-DB44-4FA2-9BD6-2B0E40533C29}"/>
                </c:ext>
              </c:extLst>
            </c:dLbl>
            <c:dLbl>
              <c:idx val="1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7-DB44-4FA2-9BD6-2B0E40533C29}"/>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DB44-4FA2-9BD6-2B0E40533C29}"/>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DB44-4FA2-9BD6-2B0E40533C29}"/>
                </c:ext>
              </c:extLst>
            </c:dLbl>
            <c:dLbl>
              <c:idx val="1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A-DB44-4FA2-9BD6-2B0E40533C29}"/>
                </c:ext>
              </c:extLst>
            </c:dLbl>
            <c:dLbl>
              <c:idx val="1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B-DB44-4FA2-9BD6-2B0E40533C29}"/>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DB44-4FA2-9BD6-2B0E40533C29}"/>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DB44-4FA2-9BD6-2B0E40533C29}"/>
                </c:ext>
              </c:extLst>
            </c:dLbl>
            <c:dLbl>
              <c:idx val="1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E-DB44-4FA2-9BD6-2B0E40533C29}"/>
                </c:ext>
              </c:extLst>
            </c:dLbl>
            <c:dLbl>
              <c:idx val="1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F-DB44-4FA2-9BD6-2B0E40533C29}"/>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DB44-4FA2-9BD6-2B0E40533C29}"/>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DB44-4FA2-9BD6-2B0E40533C29}"/>
                </c:ext>
              </c:extLst>
            </c:dLbl>
            <c:dLbl>
              <c:idx val="2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2-DB44-4FA2-9BD6-2B0E40533C29}"/>
                </c:ext>
              </c:extLst>
            </c:dLbl>
            <c:dLbl>
              <c:idx val="2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3-DB44-4FA2-9BD6-2B0E40533C2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lumMod val="7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impacts 4 monthly'!$D$88:$Z$89</c:f>
              <c:multiLvlStrCache>
                <c:ptCount val="23"/>
                <c:lvl>
                  <c:pt idx="0">
                    <c:v>2021 VDO</c:v>
                  </c:pt>
                  <c:pt idx="1">
                    <c:v>Amended 2021 VDO - flat</c:v>
                  </c:pt>
                  <c:pt idx="2">
                    <c:v>Amended 2021 VDO - ToU</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4 monthly'!$D$94:$Z$94</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impacts 4 monthly'!$D$95:$Z$95</c15:f>
                <c15:dlblRangeCache>
                  <c:ptCount val="23"/>
                  <c:pt idx="1">
                    <c:v>#REF!</c:v>
                  </c:pt>
                  <c:pt idx="2">
                    <c:v>#REF!</c:v>
                  </c:pt>
                  <c:pt idx="5">
                    <c:v>#REF!</c:v>
                  </c:pt>
                  <c:pt idx="6">
                    <c:v>#REF!</c:v>
                  </c:pt>
                  <c:pt idx="9">
                    <c:v>#REF!</c:v>
                  </c:pt>
                  <c:pt idx="10">
                    <c:v>#REF!</c:v>
                  </c:pt>
                  <c:pt idx="13">
                    <c:v>#REF!</c:v>
                  </c:pt>
                  <c:pt idx="14">
                    <c:v>#REF!</c:v>
                  </c:pt>
                  <c:pt idx="17">
                    <c:v>#REF!</c:v>
                  </c:pt>
                  <c:pt idx="18">
                    <c:v>#REF!</c:v>
                  </c:pt>
                  <c:pt idx="21">
                    <c:v>#REF!</c:v>
                  </c:pt>
                  <c:pt idx="22">
                    <c:v>#REF!</c:v>
                  </c:pt>
                </c15:dlblRangeCache>
              </c15:datalabelsRange>
            </c:ext>
            <c:ext xmlns:c16="http://schemas.microsoft.com/office/drawing/2014/chart" uri="{C3380CC4-5D6E-409C-BE32-E72D297353CC}">
              <c16:uniqueId val="{00000024-DB44-4FA2-9BD6-2B0E40533C29}"/>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impacts monthly'!$C$71</c:f>
          <c:strCache>
            <c:ptCount val="1"/>
            <c:pt idx="0">
              <c:v>Domestic bills, estimated, $/month</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'CH_Bill impacts monthly'!$C$71</c:f>
              <c:strCache>
                <c:ptCount val="1"/>
                <c:pt idx="0">
                  <c:v>Domestic bills, estimated, $/month</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488-429A-B67D-E711C1465AF2}"/>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3-9488-429A-B67D-E711C1465AF2}"/>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5-9488-429A-B67D-E711C1465AF2}"/>
              </c:ext>
            </c:extLst>
          </c:dPt>
          <c:dPt>
            <c:idx val="12"/>
            <c:invertIfNegative val="0"/>
            <c:bubble3D val="0"/>
            <c:spPr>
              <a:solidFill>
                <a:schemeClr val="accent1"/>
              </a:solidFill>
              <a:ln>
                <a:noFill/>
              </a:ln>
              <a:effectLst/>
            </c:spPr>
            <c:extLst>
              <c:ext xmlns:c16="http://schemas.microsoft.com/office/drawing/2014/chart" uri="{C3380CC4-5D6E-409C-BE32-E72D297353CC}">
                <c16:uniqueId val="{00000007-9488-429A-B67D-E711C1465AF2}"/>
              </c:ext>
            </c:extLst>
          </c:dPt>
          <c:dPt>
            <c:idx val="16"/>
            <c:invertIfNegative val="0"/>
            <c:bubble3D val="0"/>
            <c:spPr>
              <a:solidFill>
                <a:schemeClr val="accent1"/>
              </a:solidFill>
              <a:ln>
                <a:noFill/>
              </a:ln>
              <a:effectLst/>
            </c:spPr>
            <c:extLst>
              <c:ext xmlns:c16="http://schemas.microsoft.com/office/drawing/2014/chart" uri="{C3380CC4-5D6E-409C-BE32-E72D297353CC}">
                <c16:uniqueId val="{00000009-9488-429A-B67D-E711C1465AF2}"/>
              </c:ext>
            </c:extLst>
          </c:dPt>
          <c:dPt>
            <c:idx val="20"/>
            <c:invertIfNegative val="0"/>
            <c:bubble3D val="0"/>
            <c:spPr>
              <a:solidFill>
                <a:schemeClr val="accent1"/>
              </a:solidFill>
              <a:ln>
                <a:noFill/>
              </a:ln>
              <a:effectLst/>
            </c:spPr>
            <c:extLst>
              <c:ext xmlns:c16="http://schemas.microsoft.com/office/drawing/2014/chart" uri="{C3380CC4-5D6E-409C-BE32-E72D297353CC}">
                <c16:uniqueId val="{0000000B-9488-429A-B67D-E711C1465AF2}"/>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impacts monthly'!$D$69:$Z$70</c:f>
              <c:multiLvlStrCache>
                <c:ptCount val="23"/>
                <c:lvl>
                  <c:pt idx="0">
                    <c:v>2021 VDO</c:v>
                  </c:pt>
                  <c:pt idx="1">
                    <c:v>Amended 2021 VDO - flat</c:v>
                  </c:pt>
                  <c:pt idx="2">
                    <c:v>Amended 2021 VDO - ToU</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monthly'!$D$71:$Z$71</c:f>
              <c:numCache>
                <c:formatCode>#,##0</c:formatCode>
                <c:ptCount val="23"/>
                <c:pt idx="0">
                  <c:v>0</c:v>
                </c:pt>
                <c:pt idx="1">
                  <c:v>0</c:v>
                </c:pt>
                <c:pt idx="2">
                  <c:v>0</c:v>
                </c:pt>
                <c:pt idx="4">
                  <c:v>0</c:v>
                </c:pt>
                <c:pt idx="5">
                  <c:v>0</c:v>
                </c:pt>
                <c:pt idx="6">
                  <c:v>0</c:v>
                </c:pt>
                <c:pt idx="8">
                  <c:v>0</c:v>
                </c:pt>
                <c:pt idx="9">
                  <c:v>0</c:v>
                </c:pt>
                <c:pt idx="10">
                  <c:v>0</c:v>
                </c:pt>
                <c:pt idx="12">
                  <c:v>0</c:v>
                </c:pt>
                <c:pt idx="13">
                  <c:v>0</c:v>
                </c:pt>
                <c:pt idx="14">
                  <c:v>0</c:v>
                </c:pt>
                <c:pt idx="16">
                  <c:v>0</c:v>
                </c:pt>
                <c:pt idx="17">
                  <c:v>0</c:v>
                </c:pt>
                <c:pt idx="18">
                  <c:v>0</c:v>
                </c:pt>
                <c:pt idx="20">
                  <c:v>0</c:v>
                </c:pt>
                <c:pt idx="21">
                  <c:v>0</c:v>
                </c:pt>
                <c:pt idx="22">
                  <c:v>0</c:v>
                </c:pt>
              </c:numCache>
            </c:numRef>
          </c:val>
          <c:extLst>
            <c:ext xmlns:c16="http://schemas.microsoft.com/office/drawing/2014/chart" uri="{C3380CC4-5D6E-409C-BE32-E72D297353CC}">
              <c16:uniqueId val="{0000000C-9488-429A-B67D-E711C1465AF2}"/>
            </c:ext>
          </c:extLst>
        </c:ser>
        <c:ser>
          <c:idx val="1"/>
          <c:order val="1"/>
          <c:tx>
            <c:strRef>
              <c:f>'CH_Bill impacts monthly'!$C$72</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88-429A-B67D-E711C1465AF2}"/>
                </c:ext>
              </c:extLst>
            </c:dLbl>
            <c:dLbl>
              <c:idx val="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E-9488-429A-B67D-E711C1465AF2}"/>
                </c:ext>
              </c:extLst>
            </c:dLbl>
            <c:dLbl>
              <c:idx val="2"/>
              <c:tx>
                <c:rich>
                  <a:bodyPr/>
                  <a:lstStyle/>
                  <a:p>
                    <a:fld id="{11738451-2B36-4B20-A7B8-1699B14AF743}"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488-429A-B67D-E711C1465AF2}"/>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488-429A-B67D-E711C1465AF2}"/>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488-429A-B67D-E711C1465AF2}"/>
                </c:ext>
              </c:extLst>
            </c:dLbl>
            <c:dLbl>
              <c:idx val="5"/>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2-9488-429A-B67D-E711C1465AF2}"/>
                </c:ext>
              </c:extLst>
            </c:dLbl>
            <c:dLbl>
              <c:idx val="6"/>
              <c:tx>
                <c:rich>
                  <a:bodyPr/>
                  <a:lstStyle/>
                  <a:p>
                    <a:fld id="{BEB8D180-03BF-4F8A-AD0B-1AC9821125E8}"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488-429A-B67D-E711C1465AF2}"/>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488-429A-B67D-E711C1465AF2}"/>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488-429A-B67D-E711C1465AF2}"/>
                </c:ext>
              </c:extLst>
            </c:dLbl>
            <c:dLbl>
              <c:idx val="9"/>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6-9488-429A-B67D-E711C1465AF2}"/>
                </c:ext>
              </c:extLst>
            </c:dLbl>
            <c:dLbl>
              <c:idx val="10"/>
              <c:tx>
                <c:rich>
                  <a:bodyPr/>
                  <a:lstStyle/>
                  <a:p>
                    <a:fld id="{01558E76-A727-45AE-B11F-72CE2A5FEC55}"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488-429A-B67D-E711C1465AF2}"/>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488-429A-B67D-E711C1465AF2}"/>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488-429A-B67D-E711C1465AF2}"/>
                </c:ext>
              </c:extLst>
            </c:dLbl>
            <c:dLbl>
              <c:idx val="13"/>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A-9488-429A-B67D-E711C1465AF2}"/>
                </c:ext>
              </c:extLst>
            </c:dLbl>
            <c:dLbl>
              <c:idx val="14"/>
              <c:tx>
                <c:rich>
                  <a:bodyPr/>
                  <a:lstStyle/>
                  <a:p>
                    <a:fld id="{7F6B4406-122C-4BAE-B79E-F1CD2329B4A4}"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488-429A-B67D-E711C1465AF2}"/>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488-429A-B67D-E711C1465AF2}"/>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488-429A-B67D-E711C1465AF2}"/>
                </c:ext>
              </c:extLst>
            </c:dLbl>
            <c:dLbl>
              <c:idx val="17"/>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E-9488-429A-B67D-E711C1465AF2}"/>
                </c:ext>
              </c:extLst>
            </c:dLbl>
            <c:dLbl>
              <c:idx val="18"/>
              <c:tx>
                <c:rich>
                  <a:bodyPr/>
                  <a:lstStyle/>
                  <a:p>
                    <a:fld id="{4D8DD4E3-629D-4B2B-82AE-BFA8DE41FC42}"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488-429A-B67D-E711C1465AF2}"/>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9488-429A-B67D-E711C1465AF2}"/>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9488-429A-B67D-E711C1465AF2}"/>
                </c:ext>
              </c:extLst>
            </c:dLbl>
            <c:dLbl>
              <c:idx val="2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2-9488-429A-B67D-E711C1465AF2}"/>
                </c:ext>
              </c:extLst>
            </c:dLbl>
            <c:dLbl>
              <c:idx val="22"/>
              <c:tx>
                <c:rich>
                  <a:bodyPr/>
                  <a:lstStyle/>
                  <a:p>
                    <a:fld id="{DF92F14A-B626-4244-B8F2-0CB1C46A3ED2}" type="CELLRANGE">
                      <a:rPr lang="en-AU"/>
                      <a:pPr/>
                      <a:t>[CELLRANGE]</a:t>
                    </a:fld>
                    <a:endParaRPr lang="en-A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488-429A-B67D-E711C1465AF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lumMod val="7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impacts monthly'!$D$69:$Z$70</c:f>
              <c:multiLvlStrCache>
                <c:ptCount val="23"/>
                <c:lvl>
                  <c:pt idx="0">
                    <c:v>2021 VDO</c:v>
                  </c:pt>
                  <c:pt idx="1">
                    <c:v>Amended 2021 VDO - flat</c:v>
                  </c:pt>
                  <c:pt idx="2">
                    <c:v>Amended 2021 VDO - ToU</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monthly'!$D$72:$Z$72</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impacts monthly'!$D$73:$Z$73</c15:f>
                <c15:dlblRangeCache>
                  <c:ptCount val="23"/>
                  <c:pt idx="1">
                    <c:v>#REF!</c:v>
                  </c:pt>
                  <c:pt idx="2">
                    <c:v>#REF!</c:v>
                  </c:pt>
                  <c:pt idx="5">
                    <c:v>#REF!</c:v>
                  </c:pt>
                  <c:pt idx="6">
                    <c:v>#REF!</c:v>
                  </c:pt>
                  <c:pt idx="9">
                    <c:v>#REF!</c:v>
                  </c:pt>
                  <c:pt idx="10">
                    <c:v>#REF!</c:v>
                  </c:pt>
                  <c:pt idx="13">
                    <c:v>#REF!</c:v>
                  </c:pt>
                  <c:pt idx="14">
                    <c:v>#REF!</c:v>
                  </c:pt>
                  <c:pt idx="17">
                    <c:v>#REF!</c:v>
                  </c:pt>
                  <c:pt idx="18">
                    <c:v>#REF!</c:v>
                  </c:pt>
                  <c:pt idx="21">
                    <c:v>#REF!</c:v>
                  </c:pt>
                  <c:pt idx="22">
                    <c:v>#REF!</c:v>
                  </c:pt>
                </c15:dlblRangeCache>
              </c15:datalabelsRange>
            </c:ext>
            <c:ext xmlns:c16="http://schemas.microsoft.com/office/drawing/2014/chart" uri="{C3380CC4-5D6E-409C-BE32-E72D297353CC}">
              <c16:uniqueId val="{00000024-9488-429A-B67D-E711C1465AF2}"/>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'CH_Bill impacts monthly'!$C$74</c:f>
          <c:strCache>
            <c:ptCount val="1"/>
            <c:pt idx="0">
              <c:v>Small business bills, estimated, $/month</c:v>
            </c:pt>
          </c:strCache>
        </c:strRef>
      </c:tx>
      <c:overlay val="0"/>
      <c:spPr>
        <a:noFill/>
        <a:ln>
          <a:noFill/>
        </a:ln>
        <a:effectLst/>
      </c:spPr>
      <c:txPr>
        <a:bodyPr rot="0" spcFirstLastPara="1" vertOverflow="ellipsis" vert="horz" wrap="square" anchor="ctr" anchorCtr="1"/>
        <a:lstStyle/>
        <a:p>
          <a:pPr algn="l">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'CH_Bill impacts monthly'!$C$74</c:f>
              <c:strCache>
                <c:ptCount val="1"/>
                <c:pt idx="0">
                  <c:v>Small business bills, estimated, $/month</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C95-40EE-A307-DEC735F767EF}"/>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3-AC95-40EE-A307-DEC735F767EF}"/>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5-AC95-40EE-A307-DEC735F767EF}"/>
              </c:ext>
            </c:extLst>
          </c:dPt>
          <c:dPt>
            <c:idx val="12"/>
            <c:invertIfNegative val="0"/>
            <c:bubble3D val="0"/>
            <c:spPr>
              <a:solidFill>
                <a:schemeClr val="accent1"/>
              </a:solidFill>
              <a:ln>
                <a:noFill/>
              </a:ln>
              <a:effectLst/>
            </c:spPr>
            <c:extLst>
              <c:ext xmlns:c16="http://schemas.microsoft.com/office/drawing/2014/chart" uri="{C3380CC4-5D6E-409C-BE32-E72D297353CC}">
                <c16:uniqueId val="{00000007-AC95-40EE-A307-DEC735F767EF}"/>
              </c:ext>
            </c:extLst>
          </c:dPt>
          <c:dPt>
            <c:idx val="16"/>
            <c:invertIfNegative val="0"/>
            <c:bubble3D val="0"/>
            <c:spPr>
              <a:solidFill>
                <a:schemeClr val="accent1"/>
              </a:solidFill>
              <a:ln>
                <a:noFill/>
              </a:ln>
              <a:effectLst/>
            </c:spPr>
            <c:extLst>
              <c:ext xmlns:c16="http://schemas.microsoft.com/office/drawing/2014/chart" uri="{C3380CC4-5D6E-409C-BE32-E72D297353CC}">
                <c16:uniqueId val="{00000009-AC95-40EE-A307-DEC735F767EF}"/>
              </c:ext>
            </c:extLst>
          </c:dPt>
          <c:dPt>
            <c:idx val="20"/>
            <c:invertIfNegative val="0"/>
            <c:bubble3D val="0"/>
            <c:spPr>
              <a:solidFill>
                <a:schemeClr val="accent1"/>
              </a:solidFill>
              <a:ln>
                <a:noFill/>
              </a:ln>
              <a:effectLst/>
            </c:spPr>
            <c:extLst>
              <c:ext xmlns:c16="http://schemas.microsoft.com/office/drawing/2014/chart" uri="{C3380CC4-5D6E-409C-BE32-E72D297353CC}">
                <c16:uniqueId val="{0000000B-AC95-40EE-A307-DEC735F767EF}"/>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'CH_Bill impacts monthly'!$D$69:$Z$70</c:f>
              <c:multiLvlStrCache>
                <c:ptCount val="23"/>
                <c:lvl>
                  <c:pt idx="0">
                    <c:v>2021 VDO</c:v>
                  </c:pt>
                  <c:pt idx="1">
                    <c:v>Amended 2021 VDO - flat</c:v>
                  </c:pt>
                  <c:pt idx="2">
                    <c:v>Amended 2021 VDO - ToU</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monthly'!$D$74:$Z$74</c:f>
              <c:numCache>
                <c:formatCode>#,##0</c:formatCode>
                <c:ptCount val="23"/>
                <c:pt idx="0">
                  <c:v>0</c:v>
                </c:pt>
                <c:pt idx="1">
                  <c:v>0</c:v>
                </c:pt>
                <c:pt idx="2">
                  <c:v>0</c:v>
                </c:pt>
                <c:pt idx="4">
                  <c:v>0</c:v>
                </c:pt>
                <c:pt idx="5">
                  <c:v>0</c:v>
                </c:pt>
                <c:pt idx="6">
                  <c:v>0</c:v>
                </c:pt>
                <c:pt idx="8">
                  <c:v>0</c:v>
                </c:pt>
                <c:pt idx="9">
                  <c:v>0</c:v>
                </c:pt>
                <c:pt idx="10">
                  <c:v>0</c:v>
                </c:pt>
                <c:pt idx="12">
                  <c:v>0</c:v>
                </c:pt>
                <c:pt idx="13">
                  <c:v>0</c:v>
                </c:pt>
                <c:pt idx="14">
                  <c:v>0</c:v>
                </c:pt>
                <c:pt idx="16">
                  <c:v>0</c:v>
                </c:pt>
                <c:pt idx="17">
                  <c:v>0</c:v>
                </c:pt>
                <c:pt idx="18">
                  <c:v>0</c:v>
                </c:pt>
                <c:pt idx="20">
                  <c:v>0</c:v>
                </c:pt>
                <c:pt idx="21">
                  <c:v>0</c:v>
                </c:pt>
                <c:pt idx="22">
                  <c:v>0</c:v>
                </c:pt>
              </c:numCache>
            </c:numRef>
          </c:val>
          <c:extLst>
            <c:ext xmlns:c16="http://schemas.microsoft.com/office/drawing/2014/chart" uri="{C3380CC4-5D6E-409C-BE32-E72D297353CC}">
              <c16:uniqueId val="{0000000C-AC95-40EE-A307-DEC735F767EF}"/>
            </c:ext>
          </c:extLst>
        </c:ser>
        <c:ser>
          <c:idx val="1"/>
          <c:order val="1"/>
          <c:tx>
            <c:strRef>
              <c:f>'CH_Bill impacts monthly'!$C$75</c:f>
              <c:strCache>
                <c:ptCount val="1"/>
              </c:strCache>
            </c:strRef>
          </c:tx>
          <c:spPr>
            <a:noFill/>
            <a:ln>
              <a:noFill/>
            </a:ln>
            <a:effectLst/>
          </c:spPr>
          <c:invertIfNegative val="0"/>
          <c:dLbls>
            <c:dLbl>
              <c:idx val="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C95-40EE-A307-DEC735F767EF}"/>
                </c:ext>
              </c:extLst>
            </c:dLbl>
            <c:dLbl>
              <c:idx val="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E-AC95-40EE-A307-DEC735F767EF}"/>
                </c:ext>
              </c:extLst>
            </c:dLbl>
            <c:dLbl>
              <c:idx val="2"/>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AC95-40EE-A307-DEC735F767EF}"/>
                </c:ext>
              </c:extLst>
            </c:dLbl>
            <c:dLbl>
              <c:idx val="3"/>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C95-40EE-A307-DEC735F767EF}"/>
                </c:ext>
              </c:extLst>
            </c:dLbl>
            <c:dLbl>
              <c:idx val="4"/>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C95-40EE-A307-DEC735F767EF}"/>
                </c:ext>
              </c:extLst>
            </c:dLbl>
            <c:dLbl>
              <c:idx val="5"/>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2-AC95-40EE-A307-DEC735F767EF}"/>
                </c:ext>
              </c:extLst>
            </c:dLbl>
            <c:dLbl>
              <c:idx val="6"/>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3-AC95-40EE-A307-DEC735F767EF}"/>
                </c:ext>
              </c:extLst>
            </c:dLbl>
            <c:dLbl>
              <c:idx val="7"/>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C95-40EE-A307-DEC735F767EF}"/>
                </c:ext>
              </c:extLst>
            </c:dLbl>
            <c:dLbl>
              <c:idx val="8"/>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C95-40EE-A307-DEC735F767EF}"/>
                </c:ext>
              </c:extLst>
            </c:dLbl>
            <c:dLbl>
              <c:idx val="9"/>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6-AC95-40EE-A307-DEC735F767EF}"/>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7-AC95-40EE-A307-DEC735F767EF}"/>
                </c:ext>
              </c:extLst>
            </c:dLbl>
            <c:dLbl>
              <c:idx val="11"/>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C95-40EE-A307-DEC735F767EF}"/>
                </c:ext>
              </c:extLst>
            </c:dLbl>
            <c:dLbl>
              <c:idx val="12"/>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C95-40EE-A307-DEC735F767EF}"/>
                </c:ext>
              </c:extLst>
            </c:dLbl>
            <c:dLbl>
              <c:idx val="13"/>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A-AC95-40EE-A307-DEC735F767EF}"/>
                </c:ext>
              </c:extLst>
            </c:dLbl>
            <c:dLbl>
              <c:idx val="14"/>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B-AC95-40EE-A307-DEC735F767EF}"/>
                </c:ext>
              </c:extLst>
            </c:dLbl>
            <c:dLbl>
              <c:idx val="15"/>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C95-40EE-A307-DEC735F767EF}"/>
                </c:ext>
              </c:extLst>
            </c:dLbl>
            <c:dLbl>
              <c:idx val="16"/>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C95-40EE-A307-DEC735F767EF}"/>
                </c:ext>
              </c:extLst>
            </c:dLbl>
            <c:dLbl>
              <c:idx val="17"/>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E-AC95-40EE-A307-DEC735F767EF}"/>
                </c:ext>
              </c:extLst>
            </c:dLbl>
            <c:dLbl>
              <c:idx val="18"/>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F-AC95-40EE-A307-DEC735F767EF}"/>
                </c:ext>
              </c:extLst>
            </c:dLbl>
            <c:dLbl>
              <c:idx val="19"/>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C95-40EE-A307-DEC735F767EF}"/>
                </c:ext>
              </c:extLst>
            </c:dLbl>
            <c:dLbl>
              <c:idx val="20"/>
              <c:tx>
                <c:rich>
                  <a:bodyPr/>
                  <a:lstStyle/>
                  <a:p>
                    <a:endParaRPr lang="en-AU"/>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C95-40EE-A307-DEC735F767EF}"/>
                </c:ext>
              </c:extLst>
            </c:dLbl>
            <c:dLbl>
              <c:idx val="2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2-AC95-40EE-A307-DEC735F767EF}"/>
                </c:ext>
              </c:extLst>
            </c:dLbl>
            <c:dLbl>
              <c:idx val="22"/>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23-AC95-40EE-A307-DEC735F767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lumMod val="7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'CH_Bill impacts monthly'!$D$69:$Z$70</c:f>
              <c:multiLvlStrCache>
                <c:ptCount val="23"/>
                <c:lvl>
                  <c:pt idx="0">
                    <c:v>2021 VDO</c:v>
                  </c:pt>
                  <c:pt idx="1">
                    <c:v>Amended 2021 VDO - flat</c:v>
                  </c:pt>
                  <c:pt idx="2">
                    <c:v>Amended 2021 VDO - ToU</c:v>
                  </c:pt>
                  <c:pt idx="4">
                    <c:v>2021 VDO</c:v>
                  </c:pt>
                  <c:pt idx="5">
                    <c:v>Amended 2021 VDO - flat</c:v>
                  </c:pt>
                  <c:pt idx="6">
                    <c:v>Amended 2021 VDO - ToU</c:v>
                  </c:pt>
                  <c:pt idx="8">
                    <c:v>2021 VDO</c:v>
                  </c:pt>
                  <c:pt idx="9">
                    <c:v>Amended 2021 VDO - flat</c:v>
                  </c:pt>
                  <c:pt idx="10">
                    <c:v>Amended 2021 VDO - ToU</c:v>
                  </c:pt>
                  <c:pt idx="12">
                    <c:v>2021 VDO</c:v>
                  </c:pt>
                  <c:pt idx="13">
                    <c:v>Amended 2021 VDO - flat</c:v>
                  </c:pt>
                  <c:pt idx="14">
                    <c:v>Amended 2021 VDO - ToU</c:v>
                  </c:pt>
                  <c:pt idx="16">
                    <c:v>2021 VDO</c:v>
                  </c:pt>
                  <c:pt idx="17">
                    <c:v>Amended 2021 VDO - flat</c:v>
                  </c:pt>
                  <c:pt idx="18">
                    <c:v>Amended 2021 VDO - ToU</c:v>
                  </c:pt>
                  <c:pt idx="20">
                    <c:v>2021 VDO</c:v>
                  </c:pt>
                  <c:pt idx="21">
                    <c:v>Amended 2021 VDO - flat</c:v>
                  </c:pt>
                  <c:pt idx="22">
                    <c:v>Amended 2021 VDO - ToU</c:v>
                  </c:pt>
                </c:lvl>
                <c:lvl>
                  <c:pt idx="0">
                    <c:v>AusNet Services</c:v>
                  </c:pt>
                  <c:pt idx="4">
                    <c:v>Citipower</c:v>
                  </c:pt>
                  <c:pt idx="8">
                    <c:v>Jemena</c:v>
                  </c:pt>
                  <c:pt idx="12">
                    <c:v>Powercor</c:v>
                  </c:pt>
                  <c:pt idx="16">
                    <c:v>United Energy</c:v>
                  </c:pt>
                  <c:pt idx="20">
                    <c:v>Victoria</c:v>
                  </c:pt>
                </c:lvl>
              </c:multiLvlStrCache>
            </c:multiLvlStrRef>
          </c:cat>
          <c:val>
            <c:numRef>
              <c:f>'CH_Bill impacts monthly'!$D$75:$Z$75</c:f>
              <c:numCache>
                <c:formatCode>0</c:formatCode>
                <c:ptCount val="23"/>
                <c:pt idx="1">
                  <c:v>0</c:v>
                </c:pt>
                <c:pt idx="2">
                  <c:v>0</c:v>
                </c:pt>
                <c:pt idx="5">
                  <c:v>0</c:v>
                </c:pt>
                <c:pt idx="6">
                  <c:v>0</c:v>
                </c:pt>
                <c:pt idx="9">
                  <c:v>0</c:v>
                </c:pt>
                <c:pt idx="10">
                  <c:v>0</c:v>
                </c:pt>
                <c:pt idx="13">
                  <c:v>0</c:v>
                </c:pt>
                <c:pt idx="14">
                  <c:v>0</c:v>
                </c:pt>
                <c:pt idx="17">
                  <c:v>0</c:v>
                </c:pt>
                <c:pt idx="18">
                  <c:v>0</c:v>
                </c:pt>
                <c:pt idx="21">
                  <c:v>0</c:v>
                </c:pt>
                <c:pt idx="22">
                  <c:v>0</c:v>
                </c:pt>
              </c:numCache>
            </c:numRef>
          </c:val>
          <c:extLst>
            <c:ext xmlns:c15="http://schemas.microsoft.com/office/drawing/2012/chart" uri="{02D57815-91ED-43cb-92C2-25804820EDAC}">
              <c15:datalabelsRange>
                <c15:f>'CH_Bill impacts monthly'!$D$76:$Z$76</c15:f>
                <c15:dlblRangeCache>
                  <c:ptCount val="23"/>
                  <c:pt idx="1">
                    <c:v>#REF!</c:v>
                  </c:pt>
                  <c:pt idx="2">
                    <c:v>#REF!</c:v>
                  </c:pt>
                  <c:pt idx="5">
                    <c:v>#REF!</c:v>
                  </c:pt>
                  <c:pt idx="6">
                    <c:v>#REF!</c:v>
                  </c:pt>
                  <c:pt idx="9">
                    <c:v>#REF!</c:v>
                  </c:pt>
                  <c:pt idx="10">
                    <c:v>#REF!</c:v>
                  </c:pt>
                  <c:pt idx="13">
                    <c:v>#REF!</c:v>
                  </c:pt>
                  <c:pt idx="14">
                    <c:v>#REF!</c:v>
                  </c:pt>
                  <c:pt idx="17">
                    <c:v>#REF!</c:v>
                  </c:pt>
                  <c:pt idx="18">
                    <c:v>#REF!</c:v>
                  </c:pt>
                  <c:pt idx="21">
                    <c:v>#REF!</c:v>
                  </c:pt>
                  <c:pt idx="22">
                    <c:v>#REF!</c:v>
                  </c:pt>
                </c15:dlblRangeCache>
              </c15:datalabelsRange>
            </c:ext>
            <c:ext xmlns:c16="http://schemas.microsoft.com/office/drawing/2014/chart" uri="{C3380CC4-5D6E-409C-BE32-E72D297353CC}">
              <c16:uniqueId val="{00000024-AC95-40EE-A307-DEC735F767EF}"/>
            </c:ext>
          </c:extLst>
        </c:ser>
        <c:dLbls>
          <c:showLegendKey val="0"/>
          <c:showVal val="0"/>
          <c:showCatName val="0"/>
          <c:showSerName val="0"/>
          <c:showPercent val="0"/>
          <c:showBubbleSize val="0"/>
        </c:dLbls>
        <c:gapWidth val="47"/>
        <c:overlap val="100"/>
        <c:axId val="702817144"/>
        <c:axId val="702820096"/>
      </c:barChart>
      <c:catAx>
        <c:axId val="70281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20096"/>
        <c:crosses val="autoZero"/>
        <c:auto val="1"/>
        <c:lblAlgn val="ctr"/>
        <c:lblOffset val="100"/>
        <c:noMultiLvlLbl val="0"/>
      </c:catAx>
      <c:valAx>
        <c:axId val="702820096"/>
        <c:scaling>
          <c:orientation val="minMax"/>
        </c:scaling>
        <c:delete val="1"/>
        <c:axPos val="l"/>
        <c:numFmt formatCode="#,##0" sourceLinked="1"/>
        <c:majorTickMark val="none"/>
        <c:minorTickMark val="none"/>
        <c:tickLblPos val="nextTo"/>
        <c:crossAx val="702817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6</xdr:col>
      <xdr:colOff>56028</xdr:colOff>
      <xdr:row>96</xdr:row>
      <xdr:rowOff>199214</xdr:rowOff>
    </xdr:from>
    <xdr:to>
      <xdr:col>9</xdr:col>
      <xdr:colOff>750792</xdr:colOff>
      <xdr:row>103</xdr:row>
      <xdr:rowOff>97045</xdr:rowOff>
    </xdr:to>
    <xdr:sp macro="" textlink="">
      <xdr:nvSpPr>
        <xdr:cNvPr id="349" name="Rectangle 348">
          <a:extLst>
            <a:ext uri="{FF2B5EF4-FFF2-40B4-BE49-F238E27FC236}">
              <a16:creationId xmlns:a16="http://schemas.microsoft.com/office/drawing/2014/main" id="{97F6ABEB-DE10-4C5D-8BB6-009E223E8CE6}"/>
            </a:ext>
          </a:extLst>
        </xdr:cNvPr>
        <xdr:cNvSpPr/>
      </xdr:nvSpPr>
      <xdr:spPr>
        <a:xfrm>
          <a:off x="9300881" y="19753479"/>
          <a:ext cx="5838264" cy="1242537"/>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ctr"/>
          <a:r>
            <a:rPr lang="en-AU" sz="900" b="1">
              <a:solidFill>
                <a:schemeClr val="bg1"/>
              </a:solidFill>
              <a:latin typeface="+mj-lt"/>
              <a:ea typeface="+mn-ea"/>
              <a:cs typeface="Arial" panose="020B0604020202020204" pitchFamily="34" charset="0"/>
            </a:rPr>
            <a:t>Total variable charge ($/year)</a:t>
          </a:r>
        </a:p>
      </xdr:txBody>
    </xdr:sp>
    <xdr:clientData/>
  </xdr:twoCellAnchor>
  <xdr:twoCellAnchor>
    <xdr:from>
      <xdr:col>2</xdr:col>
      <xdr:colOff>2364524</xdr:colOff>
      <xdr:row>96</xdr:row>
      <xdr:rowOff>199214</xdr:rowOff>
    </xdr:from>
    <xdr:to>
      <xdr:col>5</xdr:col>
      <xdr:colOff>1299882</xdr:colOff>
      <xdr:row>103</xdr:row>
      <xdr:rowOff>97045</xdr:rowOff>
    </xdr:to>
    <xdr:sp macro="" textlink="">
      <xdr:nvSpPr>
        <xdr:cNvPr id="363" name="Rectangle 362">
          <a:extLst>
            <a:ext uri="{FF2B5EF4-FFF2-40B4-BE49-F238E27FC236}">
              <a16:creationId xmlns:a16="http://schemas.microsoft.com/office/drawing/2014/main" id="{85F62CFE-F7A7-4C40-B18A-3BC3CE0156B7}"/>
            </a:ext>
          </a:extLst>
        </xdr:cNvPr>
        <xdr:cNvSpPr/>
      </xdr:nvSpPr>
      <xdr:spPr>
        <a:xfrm>
          <a:off x="3081700" y="19753479"/>
          <a:ext cx="5748535" cy="1242537"/>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ctr"/>
          <a:r>
            <a:rPr lang="en-AU" sz="900" b="1">
              <a:solidFill>
                <a:schemeClr val="bg1"/>
              </a:solidFill>
              <a:latin typeface="+mj-lt"/>
              <a:ea typeface="+mn-ea"/>
              <a:cs typeface="Arial" panose="020B0604020202020204" pitchFamily="34" charset="0"/>
            </a:rPr>
            <a:t>Total supply charge ($/year)</a:t>
          </a:r>
        </a:p>
      </xdr:txBody>
    </xdr:sp>
    <xdr:clientData/>
  </xdr:twoCellAnchor>
  <xdr:twoCellAnchor>
    <xdr:from>
      <xdr:col>2</xdr:col>
      <xdr:colOff>2454171</xdr:colOff>
      <xdr:row>98</xdr:row>
      <xdr:rowOff>44823</xdr:rowOff>
    </xdr:from>
    <xdr:to>
      <xdr:col>4</xdr:col>
      <xdr:colOff>907676</xdr:colOff>
      <xdr:row>103</xdr:row>
      <xdr:rowOff>39133</xdr:rowOff>
    </xdr:to>
    <xdr:sp macro="" textlink="">
      <xdr:nvSpPr>
        <xdr:cNvPr id="375" name="TextBox 374">
          <a:extLst>
            <a:ext uri="{FF2B5EF4-FFF2-40B4-BE49-F238E27FC236}">
              <a16:creationId xmlns:a16="http://schemas.microsoft.com/office/drawing/2014/main" id="{710E2D9B-331D-43EB-A449-8186F13AF7E5}"/>
            </a:ext>
          </a:extLst>
        </xdr:cNvPr>
        <xdr:cNvSpPr txBox="1"/>
      </xdr:nvSpPr>
      <xdr:spPr>
        <a:xfrm>
          <a:off x="3171347" y="19991294"/>
          <a:ext cx="3552182" cy="946810"/>
        </a:xfrm>
        <a:prstGeom prst="rect">
          <a:avLst/>
        </a:prstGeom>
        <a:noFill/>
        <a:ln w="28575" cmpd="sng">
          <a:solidFill>
            <a:schemeClr val="bg1"/>
          </a:solidFill>
          <a:prstDash val="sysDash"/>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marL="0" indent="0" algn="ctr"/>
          <a:r>
            <a:rPr lang="en-AU" sz="900" b="1">
              <a:solidFill>
                <a:schemeClr val="bg1"/>
              </a:solidFill>
              <a:latin typeface="+mj-lt"/>
              <a:ea typeface="+mn-ea"/>
              <a:cs typeface="Arial" panose="020B0604020202020204" pitchFamily="34" charset="0"/>
            </a:rPr>
            <a:t>Total supply charge</a:t>
          </a:r>
          <a:r>
            <a:rPr lang="en-AU" sz="900" b="1" baseline="0">
              <a:solidFill>
                <a:schemeClr val="bg1"/>
              </a:solidFill>
              <a:latin typeface="+mj-lt"/>
              <a:ea typeface="+mn-ea"/>
              <a:cs typeface="Arial" panose="020B0604020202020204" pitchFamily="34" charset="0"/>
            </a:rPr>
            <a:t> ($/day)</a:t>
          </a:r>
          <a:endParaRPr lang="en-AU" sz="900" b="1">
            <a:solidFill>
              <a:schemeClr val="bg1"/>
            </a:solidFill>
            <a:latin typeface="+mj-lt"/>
            <a:ea typeface="+mn-ea"/>
            <a:cs typeface="Arial" panose="020B0604020202020204" pitchFamily="34" charset="0"/>
          </a:endParaRPr>
        </a:p>
      </xdr:txBody>
    </xdr:sp>
    <xdr:clientData/>
  </xdr:twoCellAnchor>
  <xdr:twoCellAnchor>
    <xdr:from>
      <xdr:col>6</xdr:col>
      <xdr:colOff>257816</xdr:colOff>
      <xdr:row>98</xdr:row>
      <xdr:rowOff>44823</xdr:rowOff>
    </xdr:from>
    <xdr:to>
      <xdr:col>8</xdr:col>
      <xdr:colOff>380998</xdr:colOff>
      <xdr:row>103</xdr:row>
      <xdr:rowOff>39133</xdr:rowOff>
    </xdr:to>
    <xdr:sp macro="" textlink="">
      <xdr:nvSpPr>
        <xdr:cNvPr id="376" name="TextBox 375">
          <a:extLst>
            <a:ext uri="{FF2B5EF4-FFF2-40B4-BE49-F238E27FC236}">
              <a16:creationId xmlns:a16="http://schemas.microsoft.com/office/drawing/2014/main" id="{1E00ABB1-8718-431E-BCA5-766806932C88}"/>
            </a:ext>
          </a:extLst>
        </xdr:cNvPr>
        <xdr:cNvSpPr txBox="1"/>
      </xdr:nvSpPr>
      <xdr:spPr>
        <a:xfrm>
          <a:off x="9502669" y="19991294"/>
          <a:ext cx="3552182" cy="946810"/>
        </a:xfrm>
        <a:prstGeom prst="rect">
          <a:avLst/>
        </a:prstGeom>
        <a:noFill/>
        <a:ln w="28575" cmpd="sng">
          <a:solidFill>
            <a:schemeClr val="bg1"/>
          </a:solidFill>
          <a:prstDash val="sysDash"/>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marL="0" indent="0" algn="ctr"/>
          <a:r>
            <a:rPr lang="en-AU" sz="900" b="1">
              <a:solidFill>
                <a:schemeClr val="bg1"/>
              </a:solidFill>
              <a:latin typeface="+mj-lt"/>
              <a:ea typeface="+mn-ea"/>
              <a:cs typeface="Arial" panose="020B0604020202020204" pitchFamily="34" charset="0"/>
            </a:rPr>
            <a:t>Total variable charge</a:t>
          </a:r>
          <a:r>
            <a:rPr lang="en-AU" sz="900" b="1" baseline="0">
              <a:solidFill>
                <a:schemeClr val="bg1"/>
              </a:solidFill>
              <a:latin typeface="+mj-lt"/>
              <a:ea typeface="+mn-ea"/>
              <a:cs typeface="Arial" panose="020B0604020202020204" pitchFamily="34" charset="0"/>
            </a:rPr>
            <a:t> ($/kWh)</a:t>
          </a:r>
          <a:endParaRPr lang="en-AU" sz="900" b="1">
            <a:solidFill>
              <a:schemeClr val="bg1"/>
            </a:solidFill>
            <a:latin typeface="+mj-lt"/>
            <a:ea typeface="+mn-ea"/>
            <a:cs typeface="Arial" panose="020B0604020202020204" pitchFamily="34" charset="0"/>
          </a:endParaRPr>
        </a:p>
      </xdr:txBody>
    </xdr:sp>
    <xdr:clientData/>
  </xdr:twoCellAnchor>
  <xdr:twoCellAnchor>
    <xdr:from>
      <xdr:col>2</xdr:col>
      <xdr:colOff>2285999</xdr:colOff>
      <xdr:row>69</xdr:row>
      <xdr:rowOff>33619</xdr:rowOff>
    </xdr:from>
    <xdr:to>
      <xdr:col>6</xdr:col>
      <xdr:colOff>1109381</xdr:colOff>
      <xdr:row>75</xdr:row>
      <xdr:rowOff>141875</xdr:rowOff>
    </xdr:to>
    <xdr:sp macro="" textlink="">
      <xdr:nvSpPr>
        <xdr:cNvPr id="332" name="Rectangle 331">
          <a:extLst>
            <a:ext uri="{FF2B5EF4-FFF2-40B4-BE49-F238E27FC236}">
              <a16:creationId xmlns:a16="http://schemas.microsoft.com/office/drawing/2014/main" id="{7EB77414-9042-4301-AB4B-5A3F5FAC0DD3}"/>
            </a:ext>
          </a:extLst>
        </xdr:cNvPr>
        <xdr:cNvSpPr/>
      </xdr:nvSpPr>
      <xdr:spPr>
        <a:xfrm>
          <a:off x="3003175" y="15374472"/>
          <a:ext cx="7351059" cy="1251256"/>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marL="0" indent="0" algn="ctr"/>
          <a:r>
            <a:rPr lang="en-AU" sz="900" b="1">
              <a:solidFill>
                <a:schemeClr val="bg1"/>
              </a:solidFill>
              <a:latin typeface="+mj-lt"/>
              <a:ea typeface="+mn-ea"/>
              <a:cs typeface="Arial" panose="020B0604020202020204" pitchFamily="34" charset="0"/>
            </a:rPr>
            <a:t>True up cost ($)</a:t>
          </a:r>
        </a:p>
      </xdr:txBody>
    </xdr:sp>
    <xdr:clientData/>
  </xdr:twoCellAnchor>
  <xdr:twoCellAnchor>
    <xdr:from>
      <xdr:col>2</xdr:col>
      <xdr:colOff>2285999</xdr:colOff>
      <xdr:row>61</xdr:row>
      <xdr:rowOff>112060</xdr:rowOff>
    </xdr:from>
    <xdr:to>
      <xdr:col>6</xdr:col>
      <xdr:colOff>1109381</xdr:colOff>
      <xdr:row>68</xdr:row>
      <xdr:rowOff>29816</xdr:rowOff>
    </xdr:to>
    <xdr:sp macro="" textlink="">
      <xdr:nvSpPr>
        <xdr:cNvPr id="169" name="Rectangle 168">
          <a:extLst>
            <a:ext uri="{FF2B5EF4-FFF2-40B4-BE49-F238E27FC236}">
              <a16:creationId xmlns:a16="http://schemas.microsoft.com/office/drawing/2014/main" id="{CB1CF9E0-22EA-49D0-81E6-2C7DB131568F}"/>
            </a:ext>
          </a:extLst>
        </xdr:cNvPr>
        <xdr:cNvSpPr/>
      </xdr:nvSpPr>
      <xdr:spPr>
        <a:xfrm>
          <a:off x="3003175" y="13928913"/>
          <a:ext cx="7351059" cy="1251256"/>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marL="0" indent="0" algn="ctr"/>
          <a:r>
            <a:rPr lang="en-AU" sz="900" b="1">
              <a:solidFill>
                <a:schemeClr val="bg1"/>
              </a:solidFill>
              <a:latin typeface="+mj-lt"/>
              <a:ea typeface="+mn-ea"/>
              <a:cs typeface="Arial" panose="020B0604020202020204" pitchFamily="34" charset="0"/>
            </a:rPr>
            <a:t>True up cost ($)</a:t>
          </a:r>
        </a:p>
      </xdr:txBody>
    </xdr:sp>
    <xdr:clientData/>
  </xdr:twoCellAnchor>
  <xdr:twoCellAnchor>
    <xdr:from>
      <xdr:col>4</xdr:col>
      <xdr:colOff>1187823</xdr:colOff>
      <xdr:row>62</xdr:row>
      <xdr:rowOff>156883</xdr:rowOff>
    </xdr:from>
    <xdr:to>
      <xdr:col>6</xdr:col>
      <xdr:colOff>1008531</xdr:colOff>
      <xdr:row>67</xdr:row>
      <xdr:rowOff>151193</xdr:rowOff>
    </xdr:to>
    <xdr:sp macro="" textlink="">
      <xdr:nvSpPr>
        <xdr:cNvPr id="208" name="TextBox 207">
          <a:extLst>
            <a:ext uri="{FF2B5EF4-FFF2-40B4-BE49-F238E27FC236}">
              <a16:creationId xmlns:a16="http://schemas.microsoft.com/office/drawing/2014/main" id="{75F0AED9-8428-4605-AE6C-D7D8FB204127}"/>
            </a:ext>
          </a:extLst>
        </xdr:cNvPr>
        <xdr:cNvSpPr txBox="1"/>
      </xdr:nvSpPr>
      <xdr:spPr>
        <a:xfrm>
          <a:off x="7003676" y="14164236"/>
          <a:ext cx="3249708" cy="946810"/>
        </a:xfrm>
        <a:prstGeom prst="rect">
          <a:avLst/>
        </a:prstGeom>
        <a:noFill/>
        <a:ln w="28575" cmpd="sng">
          <a:solidFill>
            <a:schemeClr val="bg1"/>
          </a:solidFill>
          <a:prstDash val="sysDash"/>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marL="0" indent="0" algn="ctr"/>
          <a:r>
            <a:rPr lang="en-AU" sz="900" b="1">
              <a:solidFill>
                <a:schemeClr val="bg1"/>
              </a:solidFill>
              <a:latin typeface="+mj-lt"/>
              <a:ea typeface="+mn-ea"/>
              <a:cs typeface="Arial" panose="020B0604020202020204" pitchFamily="34" charset="0"/>
            </a:rPr>
            <a:t>Cost allowance in previous decision ($)</a:t>
          </a:r>
        </a:p>
      </xdr:txBody>
    </xdr:sp>
    <xdr:clientData/>
  </xdr:twoCellAnchor>
  <xdr:twoCellAnchor>
    <xdr:from>
      <xdr:col>2</xdr:col>
      <xdr:colOff>2442882</xdr:colOff>
      <xdr:row>62</xdr:row>
      <xdr:rowOff>156883</xdr:rowOff>
    </xdr:from>
    <xdr:to>
      <xdr:col>4</xdr:col>
      <xdr:colOff>593913</xdr:colOff>
      <xdr:row>67</xdr:row>
      <xdr:rowOff>151193</xdr:rowOff>
    </xdr:to>
    <xdr:sp macro="" textlink="">
      <xdr:nvSpPr>
        <xdr:cNvPr id="207" name="TextBox 206">
          <a:extLst>
            <a:ext uri="{FF2B5EF4-FFF2-40B4-BE49-F238E27FC236}">
              <a16:creationId xmlns:a16="http://schemas.microsoft.com/office/drawing/2014/main" id="{5A8A21A0-0E9C-477D-8B74-6D2FD6992904}"/>
            </a:ext>
          </a:extLst>
        </xdr:cNvPr>
        <xdr:cNvSpPr txBox="1"/>
      </xdr:nvSpPr>
      <xdr:spPr>
        <a:xfrm>
          <a:off x="3160058" y="14164236"/>
          <a:ext cx="3249708" cy="946810"/>
        </a:xfrm>
        <a:prstGeom prst="rect">
          <a:avLst/>
        </a:prstGeom>
        <a:noFill/>
        <a:ln w="28575" cmpd="sng">
          <a:solidFill>
            <a:schemeClr val="bg1"/>
          </a:solidFill>
          <a:prstDash val="sysDash"/>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marL="0" indent="0" algn="ctr"/>
          <a:r>
            <a:rPr lang="en-AU" sz="900" b="1">
              <a:solidFill>
                <a:schemeClr val="bg1"/>
              </a:solidFill>
              <a:latin typeface="+mj-lt"/>
              <a:ea typeface="+mn-ea"/>
              <a:cs typeface="Arial" panose="020B0604020202020204" pitchFamily="34" charset="0"/>
            </a:rPr>
            <a:t>Actual cost ($)</a:t>
          </a:r>
        </a:p>
      </xdr:txBody>
    </xdr:sp>
    <xdr:clientData/>
  </xdr:twoCellAnchor>
  <xdr:twoCellAnchor>
    <xdr:from>
      <xdr:col>2</xdr:col>
      <xdr:colOff>0</xdr:colOff>
      <xdr:row>6</xdr:row>
      <xdr:rowOff>33617</xdr:rowOff>
    </xdr:from>
    <xdr:to>
      <xdr:col>11</xdr:col>
      <xdr:colOff>224119</xdr:colOff>
      <xdr:row>37</xdr:row>
      <xdr:rowOff>87555</xdr:rowOff>
    </xdr:to>
    <xdr:grpSp>
      <xdr:nvGrpSpPr>
        <xdr:cNvPr id="4" name="Group 81">
          <a:extLst>
            <a:ext uri="{FF2B5EF4-FFF2-40B4-BE49-F238E27FC236}">
              <a16:creationId xmlns:a16="http://schemas.microsoft.com/office/drawing/2014/main" id="{C08E5B7E-DC0F-4F75-B4B0-FD590CE11652}"/>
            </a:ext>
          </a:extLst>
        </xdr:cNvPr>
        <xdr:cNvGrpSpPr/>
      </xdr:nvGrpSpPr>
      <xdr:grpSpPr>
        <a:xfrm>
          <a:off x="705971" y="1826558"/>
          <a:ext cx="17223442" cy="5959438"/>
          <a:chOff x="339382" y="1661536"/>
          <a:chExt cx="16392169" cy="5700442"/>
        </a:xfrm>
      </xdr:grpSpPr>
      <xdr:grpSp>
        <xdr:nvGrpSpPr>
          <xdr:cNvPr id="5" name="Group 84">
            <a:extLst>
              <a:ext uri="{FF2B5EF4-FFF2-40B4-BE49-F238E27FC236}">
                <a16:creationId xmlns:a16="http://schemas.microsoft.com/office/drawing/2014/main" id="{8AF0CD35-A132-4A35-8F9B-3D37599298C1}"/>
              </a:ext>
            </a:extLst>
          </xdr:cNvPr>
          <xdr:cNvGrpSpPr/>
        </xdr:nvGrpSpPr>
        <xdr:grpSpPr>
          <a:xfrm>
            <a:off x="339382" y="1661536"/>
            <a:ext cx="16392169" cy="5700442"/>
            <a:chOff x="345578" y="1729787"/>
            <a:chExt cx="16862527" cy="5969865"/>
          </a:xfrm>
        </xdr:grpSpPr>
        <xdr:grpSp>
          <xdr:nvGrpSpPr>
            <xdr:cNvPr id="6" name="Group 91">
              <a:extLst>
                <a:ext uri="{FF2B5EF4-FFF2-40B4-BE49-F238E27FC236}">
                  <a16:creationId xmlns:a16="http://schemas.microsoft.com/office/drawing/2014/main" id="{3D1368CB-0402-4FA7-B709-597E9F14F105}"/>
                </a:ext>
              </a:extLst>
            </xdr:cNvPr>
            <xdr:cNvGrpSpPr/>
          </xdr:nvGrpSpPr>
          <xdr:grpSpPr>
            <a:xfrm>
              <a:off x="345578" y="1729787"/>
              <a:ext cx="16862527" cy="5969865"/>
              <a:chOff x="345578" y="1729787"/>
              <a:chExt cx="16862527" cy="5969865"/>
            </a:xfrm>
          </xdr:grpSpPr>
          <xdr:grpSp>
            <xdr:nvGrpSpPr>
              <xdr:cNvPr id="7" name="Group 96">
                <a:extLst>
                  <a:ext uri="{FF2B5EF4-FFF2-40B4-BE49-F238E27FC236}">
                    <a16:creationId xmlns:a16="http://schemas.microsoft.com/office/drawing/2014/main" id="{2491A49E-37BF-47DA-B693-F8F90F09517C}"/>
                  </a:ext>
                </a:extLst>
              </xdr:cNvPr>
              <xdr:cNvGrpSpPr/>
            </xdr:nvGrpSpPr>
            <xdr:grpSpPr>
              <a:xfrm>
                <a:off x="345578" y="1729787"/>
                <a:ext cx="16862527" cy="5969865"/>
                <a:chOff x="223114" y="120064"/>
                <a:chExt cx="16862527" cy="5969865"/>
              </a:xfrm>
            </xdr:grpSpPr>
            <xdr:grpSp>
              <xdr:nvGrpSpPr>
                <xdr:cNvPr id="8" name="Group 98">
                  <a:extLst>
                    <a:ext uri="{FF2B5EF4-FFF2-40B4-BE49-F238E27FC236}">
                      <a16:creationId xmlns:a16="http://schemas.microsoft.com/office/drawing/2014/main" id="{E4486211-B52A-4939-9298-3B35D8598533}"/>
                    </a:ext>
                  </a:extLst>
                </xdr:cNvPr>
                <xdr:cNvGrpSpPr/>
              </xdr:nvGrpSpPr>
              <xdr:grpSpPr>
                <a:xfrm>
                  <a:off x="223114" y="120064"/>
                  <a:ext cx="16862527" cy="5969865"/>
                  <a:chOff x="223114" y="120064"/>
                  <a:chExt cx="16862527" cy="5969865"/>
                </a:xfrm>
              </xdr:grpSpPr>
              <xdr:sp macro="" textlink="">
                <xdr:nvSpPr>
                  <xdr:cNvPr id="9" name="Rounded Rectangle 107">
                    <a:extLst>
                      <a:ext uri="{FF2B5EF4-FFF2-40B4-BE49-F238E27FC236}">
                        <a16:creationId xmlns:a16="http://schemas.microsoft.com/office/drawing/2014/main" id="{DADF9959-75C2-43D7-A708-0BE63BF6FC99}"/>
                      </a:ext>
                    </a:extLst>
                  </xdr:cNvPr>
                  <xdr:cNvSpPr/>
                </xdr:nvSpPr>
                <xdr:spPr>
                  <a:xfrm>
                    <a:off x="244929" y="120064"/>
                    <a:ext cx="5633357" cy="4871502"/>
                  </a:xfrm>
                  <a:prstGeom prst="roundRect">
                    <a:avLst>
                      <a:gd name="adj" fmla="val 0"/>
                    </a:avLst>
                  </a:prstGeom>
                  <a:solidFill>
                    <a:srgbClr val="FFFFFF">
                      <a:lumMod val="95000"/>
                      <a:alpha val="50000"/>
                    </a:srgbClr>
                  </a:solidFill>
                  <a:ln w="12700" cap="flat" cmpd="sng" algn="ctr">
                    <a:solidFill>
                      <a:srgbClr val="FFFFFF">
                        <a:lumMod val="50000"/>
                      </a:srgbClr>
                    </a:solidFill>
                    <a:prstDash val="solid"/>
                    <a:miter lim="800000"/>
                  </a:ln>
                  <a:effectLst/>
                </xdr:spPr>
                <xdr:txBody>
                  <a:bodyPr vertOverflow="clip" horzOverflow="clip"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INPUTS AND ASSUMPTIONS</a:t>
                    </a:r>
                  </a:p>
                </xdr:txBody>
              </xdr:sp>
              <xdr:sp macro="" textlink="">
                <xdr:nvSpPr>
                  <xdr:cNvPr id="12" name="Rectangle 103">
                    <a:extLst>
                      <a:ext uri="{FF2B5EF4-FFF2-40B4-BE49-F238E27FC236}">
                        <a16:creationId xmlns:a16="http://schemas.microsoft.com/office/drawing/2014/main" id="{AE00A211-4C7E-4289-8584-64FAED672848}"/>
                      </a:ext>
                    </a:extLst>
                  </xdr:cNvPr>
                  <xdr:cNvSpPr/>
                </xdr:nvSpPr>
                <xdr:spPr>
                  <a:xfrm>
                    <a:off x="3116035" y="1510393"/>
                    <a:ext cx="2449286" cy="1347108"/>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endParaRPr>
                  </a:p>
                </xdr:txBody>
              </xdr:sp>
              <xdr:sp macro="" textlink="">
                <xdr:nvSpPr>
                  <xdr:cNvPr id="13" name="Rectangle 104">
                    <a:extLst>
                      <a:ext uri="{FF2B5EF4-FFF2-40B4-BE49-F238E27FC236}">
                        <a16:creationId xmlns:a16="http://schemas.microsoft.com/office/drawing/2014/main" id="{AFBCC46F-893C-41B5-B7B7-BA7A50C32AC6}"/>
                      </a:ext>
                    </a:extLst>
                  </xdr:cNvPr>
                  <xdr:cNvSpPr/>
                </xdr:nvSpPr>
                <xdr:spPr>
                  <a:xfrm>
                    <a:off x="590549" y="1047750"/>
                    <a:ext cx="2525487" cy="2544536"/>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endParaRPr>
                  </a:p>
                </xdr:txBody>
              </xdr:sp>
              <xdr:sp macro="" textlink="">
                <xdr:nvSpPr>
                  <xdr:cNvPr id="14" name="Rectangle 105">
                    <a:extLst>
                      <a:ext uri="{FF2B5EF4-FFF2-40B4-BE49-F238E27FC236}">
                        <a16:creationId xmlns:a16="http://schemas.microsoft.com/office/drawing/2014/main" id="{4AF6E949-F4A1-4D82-A73B-82939FDE70F5}"/>
                      </a:ext>
                    </a:extLst>
                  </xdr:cNvPr>
                  <xdr:cNvSpPr/>
                </xdr:nvSpPr>
                <xdr:spPr>
                  <a:xfrm>
                    <a:off x="651780" y="3891643"/>
                    <a:ext cx="2277178" cy="598714"/>
                  </a:xfrm>
                  <a:prstGeom prst="rect">
                    <a:avLst/>
                  </a:prstGeom>
                  <a:noFill/>
                  <a:ln w="12700" cap="flat" cmpd="sng" algn="ctr">
                    <a:noFill/>
                    <a:prstDash val="solid"/>
                    <a:miter lim="800000"/>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endParaRPr>
                  </a:p>
                </xdr:txBody>
              </xdr:sp>
              <xdr:sp macro="" textlink="">
                <xdr:nvSpPr>
                  <xdr:cNvPr id="21" name="Rounded Rectangle 125">
                    <a:extLst>
                      <a:ext uri="{FF2B5EF4-FFF2-40B4-BE49-F238E27FC236}">
                        <a16:creationId xmlns:a16="http://schemas.microsoft.com/office/drawing/2014/main" id="{E5DCA80B-5419-4531-AC40-993F502EBEB4}"/>
                      </a:ext>
                    </a:extLst>
                  </xdr:cNvPr>
                  <xdr:cNvSpPr/>
                </xdr:nvSpPr>
                <xdr:spPr>
                  <a:xfrm>
                    <a:off x="223114" y="5261338"/>
                    <a:ext cx="5633357" cy="828591"/>
                  </a:xfrm>
                  <a:prstGeom prst="roundRect">
                    <a:avLst>
                      <a:gd name="adj" fmla="val 0"/>
                    </a:avLst>
                  </a:prstGeom>
                  <a:solidFill>
                    <a:sysClr val="window" lastClr="FFFFFF"/>
                  </a:solidFill>
                  <a:ln w="12700" cap="flat" cmpd="sng" algn="ctr">
                    <a:solidFill>
                      <a:srgbClr val="FFFFFF">
                        <a:lumMod val="50000"/>
                      </a:srgbClr>
                    </a:solidFill>
                    <a:prstDash val="solid"/>
                    <a:miter lim="800000"/>
                  </a:ln>
                  <a:effectLst/>
                </xdr:spPr>
                <xdr:txBody>
                  <a:bodyPr vertOverflow="clip" horzOverflow="clip" lIns="91440" tIns="45720" rIns="91440" bIns="9144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mn-cs"/>
                      </a:rPr>
                      <a:t>LEGEND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mn-cs"/>
                    </a:endParaRPr>
                  </a:p>
                </xdr:txBody>
              </xdr:sp>
              <xdr:sp macro="" textlink="">
                <xdr:nvSpPr>
                  <xdr:cNvPr id="22" name="TextBox 113">
                    <a:extLst>
                      <a:ext uri="{FF2B5EF4-FFF2-40B4-BE49-F238E27FC236}">
                        <a16:creationId xmlns:a16="http://schemas.microsoft.com/office/drawing/2014/main" id="{C2B0E760-40AE-4038-82A9-5B2FC815A494}"/>
                      </a:ext>
                    </a:extLst>
                  </xdr:cNvPr>
                  <xdr:cNvSpPr txBox="1"/>
                </xdr:nvSpPr>
                <xdr:spPr>
                  <a:xfrm>
                    <a:off x="418918" y="5571521"/>
                    <a:ext cx="1265108" cy="400170"/>
                  </a:xfrm>
                  <a:prstGeom prst="rect">
                    <a:avLst/>
                  </a:prstGeom>
                  <a:solidFill>
                    <a:srgbClr val="AFCDDB"/>
                  </a:solidFill>
                  <a:ln w="9525" cmpd="sng">
                    <a:solidFill>
                      <a:srgbClr val="FFFFFF">
                        <a:shade val="50000"/>
                      </a:srgbClr>
                    </a:solidFill>
                  </a:ln>
                  <a:effectLst/>
                </xdr:spPr>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Inputs</a:t>
                    </a:r>
                  </a:p>
                </xdr:txBody>
              </xdr:sp>
              <xdr:sp macro="" textlink="">
                <xdr:nvSpPr>
                  <xdr:cNvPr id="23" name="TextBox 114">
                    <a:extLst>
                      <a:ext uri="{FF2B5EF4-FFF2-40B4-BE49-F238E27FC236}">
                        <a16:creationId xmlns:a16="http://schemas.microsoft.com/office/drawing/2014/main" id="{C8DC98E2-389F-4F67-A2EA-731D8C7B5B98}"/>
                      </a:ext>
                    </a:extLst>
                  </xdr:cNvPr>
                  <xdr:cNvSpPr txBox="1"/>
                </xdr:nvSpPr>
                <xdr:spPr>
                  <a:xfrm>
                    <a:off x="1769833" y="5571421"/>
                    <a:ext cx="1256352" cy="397488"/>
                  </a:xfrm>
                  <a:prstGeom prst="rect">
                    <a:avLst/>
                  </a:prstGeom>
                  <a:solidFill>
                    <a:srgbClr val="236192"/>
                  </a:solidFill>
                  <a:ln w="9525" cmpd="sng">
                    <a:solidFill>
                      <a:sysClr val="windowText" lastClr="000000"/>
                    </a:solidFill>
                  </a:ln>
                  <a:effectLst/>
                </xdr:spPr>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Calculations</a:t>
                    </a:r>
                  </a:p>
                </xdr:txBody>
              </xdr:sp>
              <xdr:sp macro="" textlink="">
                <xdr:nvSpPr>
                  <xdr:cNvPr id="24" name="TextBox 115">
                    <a:extLst>
                      <a:ext uri="{FF2B5EF4-FFF2-40B4-BE49-F238E27FC236}">
                        <a16:creationId xmlns:a16="http://schemas.microsoft.com/office/drawing/2014/main" id="{AC75EF32-8050-4AFA-A187-C3E360F83608}"/>
                      </a:ext>
                    </a:extLst>
                  </xdr:cNvPr>
                  <xdr:cNvSpPr txBox="1"/>
                </xdr:nvSpPr>
                <xdr:spPr>
                  <a:xfrm>
                    <a:off x="3107828" y="5574915"/>
                    <a:ext cx="1256352" cy="393995"/>
                  </a:xfrm>
                  <a:prstGeom prst="rect">
                    <a:avLst/>
                  </a:prstGeom>
                  <a:solidFill>
                    <a:srgbClr val="CE0058"/>
                  </a:solidFill>
                  <a:ln w="9525" cmpd="sng">
                    <a:solidFill>
                      <a:sysClr val="windowText" lastClr="000000"/>
                    </a:solidFill>
                  </a:ln>
                  <a:effectLst/>
                </xdr:spPr>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Outputs</a:t>
                    </a:r>
                  </a:p>
                </xdr:txBody>
              </xdr:sp>
              <xdr:sp macro="" textlink="">
                <xdr:nvSpPr>
                  <xdr:cNvPr id="25" name="TextBox 116">
                    <a:extLst>
                      <a:ext uri="{FF2B5EF4-FFF2-40B4-BE49-F238E27FC236}">
                        <a16:creationId xmlns:a16="http://schemas.microsoft.com/office/drawing/2014/main" id="{FA5AF2AB-2A17-4986-BF57-633C26797917}"/>
                      </a:ext>
                    </a:extLst>
                  </xdr:cNvPr>
                  <xdr:cNvSpPr txBox="1"/>
                </xdr:nvSpPr>
                <xdr:spPr>
                  <a:xfrm>
                    <a:off x="4436832" y="5576284"/>
                    <a:ext cx="1256352" cy="390644"/>
                  </a:xfrm>
                  <a:prstGeom prst="rect">
                    <a:avLst/>
                  </a:prstGeom>
                  <a:solidFill>
                    <a:srgbClr val="FFFFFF">
                      <a:lumMod val="65000"/>
                    </a:srgbClr>
                  </a:solidFill>
                  <a:ln w="9525" cmpd="sng">
                    <a:solidFill>
                      <a:sysClr val="windowText" lastClr="000000"/>
                    </a:solidFill>
                  </a:ln>
                  <a:effectLst/>
                </xdr:spPr>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Supporting Worksheets</a:t>
                    </a:r>
                  </a:p>
                </xdr:txBody>
              </xdr:sp>
              <xdr:cxnSp macro="">
                <xdr:nvCxnSpPr>
                  <xdr:cNvPr id="27" name="Straight Arrow Connector 118">
                    <a:extLst>
                      <a:ext uri="{FF2B5EF4-FFF2-40B4-BE49-F238E27FC236}">
                        <a16:creationId xmlns:a16="http://schemas.microsoft.com/office/drawing/2014/main" id="{C63F4C4F-0735-424C-9263-9D8B29BDEFC7}"/>
                      </a:ext>
                    </a:extLst>
                  </xdr:cNvPr>
                  <xdr:cNvCxnSpPr/>
                </xdr:nvCxnSpPr>
                <xdr:spPr>
                  <a:xfrm>
                    <a:off x="5918651" y="2571752"/>
                    <a:ext cx="412494" cy="6694"/>
                  </a:xfrm>
                  <a:prstGeom prst="straightConnector1">
                    <a:avLst/>
                  </a:prstGeom>
                  <a:noFill/>
                  <a:ln w="12700" cap="flat" cmpd="sng" algn="ctr">
                    <a:solidFill>
                      <a:sysClr val="windowText" lastClr="000000"/>
                    </a:solidFill>
                    <a:prstDash val="solid"/>
                    <a:miter lim="800000"/>
                    <a:tailEnd type="triangle"/>
                  </a:ln>
                  <a:effectLst/>
                </xdr:spPr>
              </xdr:cxnSp>
              <xdr:sp macro="" textlink="">
                <xdr:nvSpPr>
                  <xdr:cNvPr id="151" name="Rounded Rectangle 107">
                    <a:extLst>
                      <a:ext uri="{FF2B5EF4-FFF2-40B4-BE49-F238E27FC236}">
                        <a16:creationId xmlns:a16="http://schemas.microsoft.com/office/drawing/2014/main" id="{846C031D-00FA-4959-A53F-DB4BD099FD24}"/>
                      </a:ext>
                    </a:extLst>
                  </xdr:cNvPr>
                  <xdr:cNvSpPr/>
                </xdr:nvSpPr>
                <xdr:spPr>
                  <a:xfrm>
                    <a:off x="6407497" y="120064"/>
                    <a:ext cx="5050032" cy="4871502"/>
                  </a:xfrm>
                  <a:prstGeom prst="roundRect">
                    <a:avLst>
                      <a:gd name="adj" fmla="val 0"/>
                    </a:avLst>
                  </a:prstGeom>
                  <a:solidFill>
                    <a:srgbClr val="FFFFFF">
                      <a:lumMod val="95000"/>
                      <a:alpha val="50000"/>
                    </a:srgbClr>
                  </a:solidFill>
                  <a:ln w="12700" cap="flat" cmpd="sng" algn="ctr">
                    <a:solidFill>
                      <a:srgbClr val="FFFFFF">
                        <a:lumMod val="50000"/>
                      </a:srgbClr>
                    </a:solidFill>
                    <a:prstDash val="solid"/>
                    <a:miter lim="800000"/>
                  </a:ln>
                  <a:effectLst/>
                </xdr:spPr>
                <xdr:txBody>
                  <a:bodyPr vertOverflow="clip" horzOverflow="clip"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CALCULATIONS</a:t>
                    </a:r>
                  </a:p>
                </xdr:txBody>
              </xdr:sp>
              <xdr:sp macro="" textlink="">
                <xdr:nvSpPr>
                  <xdr:cNvPr id="152" name="Rounded Rectangle 108">
                    <a:extLst>
                      <a:ext uri="{FF2B5EF4-FFF2-40B4-BE49-F238E27FC236}">
                        <a16:creationId xmlns:a16="http://schemas.microsoft.com/office/drawing/2014/main" id="{241445F8-BD72-4057-B75D-5B56129BEF62}"/>
                      </a:ext>
                    </a:extLst>
                  </xdr:cNvPr>
                  <xdr:cNvSpPr/>
                </xdr:nvSpPr>
                <xdr:spPr>
                  <a:xfrm>
                    <a:off x="6505194" y="378250"/>
                    <a:ext cx="4849090" cy="4613318"/>
                  </a:xfrm>
                  <a:prstGeom prst="roundRect">
                    <a:avLst>
                      <a:gd name="adj" fmla="val 0"/>
                    </a:avLst>
                  </a:prstGeom>
                  <a:solidFill>
                    <a:srgbClr val="236192"/>
                  </a:solidFill>
                  <a:ln w="9525" cmpd="sng">
                    <a:solidFill>
                      <a:sysClr val="windowText" lastClr="000000"/>
                    </a:solidFill>
                  </a:ln>
                  <a:effectLst/>
                </xdr:spPr>
                <xdr:txBody>
                  <a:bodyPr vertOverflow="clip" horz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Calc_Rates / Calc_TU_values / Calc_TU_rates</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Calculations will take reference to inputs in the period selected by user.</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 Fixed tariff, residential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 Variable tariff, residential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 Annual bill, residential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 Fixed tariff, small business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 Variable tariff, small business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 Annual bill, small business</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endParaRPr>
                  </a:p>
                </xdr:txBody>
              </xdr:sp>
              <xdr:cxnSp macro="">
                <xdr:nvCxnSpPr>
                  <xdr:cNvPr id="154" name="Straight Arrow Connector 118">
                    <a:extLst>
                      <a:ext uri="{FF2B5EF4-FFF2-40B4-BE49-F238E27FC236}">
                        <a16:creationId xmlns:a16="http://schemas.microsoft.com/office/drawing/2014/main" id="{2FDDB231-B6AE-4520-AB54-9A5525CF8CBE}"/>
                      </a:ext>
                    </a:extLst>
                  </xdr:cNvPr>
                  <xdr:cNvCxnSpPr/>
                </xdr:nvCxnSpPr>
                <xdr:spPr>
                  <a:xfrm>
                    <a:off x="11557672" y="2571752"/>
                    <a:ext cx="412494" cy="6694"/>
                  </a:xfrm>
                  <a:prstGeom prst="straightConnector1">
                    <a:avLst/>
                  </a:prstGeom>
                  <a:noFill/>
                  <a:ln w="12700" cap="flat" cmpd="sng" algn="ctr">
                    <a:solidFill>
                      <a:sysClr val="windowText" lastClr="000000"/>
                    </a:solidFill>
                    <a:prstDash val="solid"/>
                    <a:miter lim="800000"/>
                    <a:tailEnd type="triangle"/>
                  </a:ln>
                  <a:effectLst/>
                </xdr:spPr>
              </xdr:cxnSp>
              <xdr:sp macro="" textlink="">
                <xdr:nvSpPr>
                  <xdr:cNvPr id="155" name="Rounded Rectangle 107">
                    <a:extLst>
                      <a:ext uri="{FF2B5EF4-FFF2-40B4-BE49-F238E27FC236}">
                        <a16:creationId xmlns:a16="http://schemas.microsoft.com/office/drawing/2014/main" id="{20D04CF7-24A3-4B6F-9567-FFB5672C2DEC}"/>
                      </a:ext>
                    </a:extLst>
                  </xdr:cNvPr>
                  <xdr:cNvSpPr/>
                </xdr:nvSpPr>
                <xdr:spPr>
                  <a:xfrm>
                    <a:off x="12035609" y="120064"/>
                    <a:ext cx="5050032" cy="4871502"/>
                  </a:xfrm>
                  <a:prstGeom prst="roundRect">
                    <a:avLst>
                      <a:gd name="adj" fmla="val 0"/>
                    </a:avLst>
                  </a:prstGeom>
                  <a:solidFill>
                    <a:srgbClr val="FFFFFF">
                      <a:lumMod val="95000"/>
                      <a:alpha val="50000"/>
                    </a:srgbClr>
                  </a:solidFill>
                  <a:ln w="12700" cap="flat" cmpd="sng" algn="ctr">
                    <a:solidFill>
                      <a:srgbClr val="FFFFFF">
                        <a:lumMod val="50000"/>
                      </a:srgbClr>
                    </a:solidFill>
                    <a:prstDash val="solid"/>
                    <a:miter lim="800000"/>
                  </a:ln>
                  <a:effectLst/>
                </xdr:spPr>
                <xdr:txBody>
                  <a:bodyPr vertOverflow="clip" horzOverflow="clip"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OUTPUTS</a:t>
                    </a:r>
                  </a:p>
                </xdr:txBody>
              </xdr:sp>
              <xdr:sp macro="" textlink="">
                <xdr:nvSpPr>
                  <xdr:cNvPr id="156" name="TextBox 106">
                    <a:extLst>
                      <a:ext uri="{FF2B5EF4-FFF2-40B4-BE49-F238E27FC236}">
                        <a16:creationId xmlns:a16="http://schemas.microsoft.com/office/drawing/2014/main" id="{A3F43476-6D7F-4C70-A226-F8F69B191EBD}"/>
                      </a:ext>
                    </a:extLst>
                  </xdr:cNvPr>
                  <xdr:cNvSpPr txBox="1"/>
                </xdr:nvSpPr>
                <xdr:spPr>
                  <a:xfrm>
                    <a:off x="12177403" y="423152"/>
                    <a:ext cx="4788260" cy="4568415"/>
                  </a:xfrm>
                  <a:prstGeom prst="rect">
                    <a:avLst/>
                  </a:prstGeom>
                  <a:solidFill>
                    <a:srgbClr val="CE0058"/>
                  </a:solidFill>
                  <a:ln w="9525" cmpd="sng">
                    <a:solidFill>
                      <a:sysClr val="windowText" lastClr="000000"/>
                    </a:solidFill>
                  </a:ln>
                  <a:effectLst/>
                </xdr:spPr>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OP_Rates / OP_CMAB</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1"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0"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 Final calculations are extracted and organised, ready for publishing</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 Display the respective rates and bills for all electricity providers, for residential and small business</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0" i="0" u="none" strike="noStrike" kern="0" cap="none" spc="0" normalizeH="0" baseline="0" noProof="0">
                      <a:ln>
                        <a:noFill/>
                      </a:ln>
                      <a:solidFill>
                        <a:srgbClr val="FFFFFF"/>
                      </a:solidFill>
                      <a:effectLst/>
                      <a:uLnTx/>
                      <a:uFillTx/>
                      <a:latin typeface="Arial" panose="020B060402020202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Outputs include: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VDO Tariff Rates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rPr>
                      <a:t>VDO estimated annual bills</a:t>
                    </a:r>
                  </a:p>
                </xdr:txBody>
              </xdr:sp>
            </xdr:grpSp>
            <xdr:sp macro="" textlink="">
              <xdr:nvSpPr>
                <xdr:cNvPr id="28" name="TextBox 99">
                  <a:extLst>
                    <a:ext uri="{FF2B5EF4-FFF2-40B4-BE49-F238E27FC236}">
                      <a16:creationId xmlns:a16="http://schemas.microsoft.com/office/drawing/2014/main" id="{CF8FF41C-98FE-41DE-891B-6357D463A07C}"/>
                    </a:ext>
                  </a:extLst>
                </xdr:cNvPr>
                <xdr:cNvSpPr txBox="1"/>
              </xdr:nvSpPr>
              <xdr:spPr>
                <a:xfrm>
                  <a:off x="326572" y="4475553"/>
                  <a:ext cx="5483677" cy="426209"/>
                </a:xfrm>
                <a:prstGeom prst="rect">
                  <a:avLst/>
                </a:prstGeom>
                <a:solidFill>
                  <a:srgbClr val="AFCDDB"/>
                </a:solidFill>
                <a:ln w="9525" cmpd="sng">
                  <a:solidFill>
                    <a:srgbClr val="FFFFFF">
                      <a:shade val="50000"/>
                    </a:srgbClr>
                  </a:solidFill>
                </a:ln>
                <a:effectLst/>
              </xdr:spPr>
              <xdr:txBody>
                <a:bodyPr vertOverflow="clip" horzOverflow="clip" wrap="square" lIns="36000" tIns="36000" rIns="36000" bIns="360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mn-cs"/>
                    </a:rPr>
                    <a:t>CPI inputs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Quarterly CPI indices and associated VDO regulatory periods</a:t>
                  </a:r>
                </a:p>
              </xdr:txBody>
            </xdr:sp>
          </xdr:grpSp>
          <xdr:sp macro="" textlink="">
            <xdr:nvSpPr>
              <xdr:cNvPr id="29" name="TextBox 97">
                <a:extLst>
                  <a:ext uri="{FF2B5EF4-FFF2-40B4-BE49-F238E27FC236}">
                    <a16:creationId xmlns:a16="http://schemas.microsoft.com/office/drawing/2014/main" id="{8A1CF666-196D-44F6-8951-34EED3C68478}"/>
                  </a:ext>
                </a:extLst>
              </xdr:cNvPr>
              <xdr:cNvSpPr txBox="1"/>
            </xdr:nvSpPr>
            <xdr:spPr>
              <a:xfrm>
                <a:off x="455081" y="1999200"/>
                <a:ext cx="5459342" cy="3412549"/>
              </a:xfrm>
              <a:prstGeom prst="rect">
                <a:avLst/>
              </a:prstGeom>
              <a:solidFill>
                <a:srgbClr val="AFCDDB"/>
              </a:solidFill>
              <a:ln w="9525" cmpd="sng">
                <a:solidFill>
                  <a:srgbClr val="FFFFFF">
                    <a:shade val="50000"/>
                  </a:srgbClr>
                </a:solidFill>
              </a:ln>
              <a:effectLst/>
            </xdr:spPr>
            <xdr:txBody>
              <a:bodyPr vertOverflow="clip" horzOverflow="clip"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Inputs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Values to be inputted every new period, over time creating a time series of historical and current inputs.</a:t>
                </a:r>
              </a:p>
            </xdr:txBody>
          </xdr:sp>
          <xdr:sp macro="" textlink="">
            <xdr:nvSpPr>
              <xdr:cNvPr id="30" name="TextBox 123">
                <a:extLst>
                  <a:ext uri="{FF2B5EF4-FFF2-40B4-BE49-F238E27FC236}">
                    <a16:creationId xmlns:a16="http://schemas.microsoft.com/office/drawing/2014/main" id="{7420815E-0F85-4C85-BA61-C5A58F1EB871}"/>
                  </a:ext>
                </a:extLst>
              </xdr:cNvPr>
              <xdr:cNvSpPr txBox="1"/>
            </xdr:nvSpPr>
            <xdr:spPr>
              <a:xfrm>
                <a:off x="444174" y="5501552"/>
                <a:ext cx="5459342" cy="493921"/>
              </a:xfrm>
              <a:prstGeom prst="rect">
                <a:avLst/>
              </a:prstGeom>
              <a:solidFill>
                <a:srgbClr val="AFCDDB"/>
              </a:solidFill>
              <a:ln w="9525" cmpd="sng">
                <a:solidFill>
                  <a:srgbClr val="FFFFFF">
                    <a:shade val="50000"/>
                  </a:srgbClr>
                </a:solidFill>
              </a:ln>
              <a:effectLst/>
            </xdr:spPr>
            <xdr:txBody>
              <a:bodyPr vertOverflow="clip" horzOverflow="clip"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General Assumptions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Inputs that remain constant across the time periods</a:t>
                </a:r>
              </a:p>
            </xdr:txBody>
          </xdr:sp>
        </xdr:grpSp>
        <xdr:sp macro="" textlink="">
          <xdr:nvSpPr>
            <xdr:cNvPr id="31" name="TextBox 92">
              <a:extLst>
                <a:ext uri="{FF2B5EF4-FFF2-40B4-BE49-F238E27FC236}">
                  <a16:creationId xmlns:a16="http://schemas.microsoft.com/office/drawing/2014/main" id="{1014C094-2F54-4172-B57E-4790967D5EF2}"/>
                </a:ext>
              </a:extLst>
            </xdr:cNvPr>
            <xdr:cNvSpPr txBox="1"/>
          </xdr:nvSpPr>
          <xdr:spPr>
            <a:xfrm>
              <a:off x="584453" y="2706405"/>
              <a:ext cx="2590744" cy="2555915"/>
            </a:xfrm>
            <a:prstGeom prst="rect">
              <a:avLst/>
            </a:prstGeom>
            <a:solidFill>
              <a:srgbClr val="FFFFFF"/>
            </a:solidFill>
            <a:ln w="9525" cmpd="sng">
              <a:solidFill>
                <a:srgbClr val="FFFFFF">
                  <a:shade val="50000"/>
                </a:srgbClr>
              </a:solidFill>
            </a:ln>
            <a:effectLst/>
          </xdr:spPr>
          <xdr:txBody>
            <a:bodyPr vertOverflow="clip" horzOverflow="clip" wrap="square" lIns="36000" tIns="36000" rIns="36000" bIns="360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Variable Cost Input</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Wholesale price, residential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Wholesale volatility, residential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Wholesale price, small business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Wholesale volatility, small business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Environmental programs price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Environmental programs liability</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Ancillary</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Network usage charge, residential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Network usage charge, small business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Controlled load charges, residential</a:t>
              </a:r>
            </a:p>
          </xdr:txBody>
        </xdr:sp>
        <xdr:sp macro="" textlink="">
          <xdr:nvSpPr>
            <xdr:cNvPr id="32" name="TextBox 93">
              <a:extLst>
                <a:ext uri="{FF2B5EF4-FFF2-40B4-BE49-F238E27FC236}">
                  <a16:creationId xmlns:a16="http://schemas.microsoft.com/office/drawing/2014/main" id="{E739218C-B44E-4F91-B57D-9D84EC27B03A}"/>
                </a:ext>
              </a:extLst>
            </xdr:cNvPr>
            <xdr:cNvSpPr txBox="1"/>
          </xdr:nvSpPr>
          <xdr:spPr>
            <a:xfrm>
              <a:off x="3276395" y="2706406"/>
              <a:ext cx="2536779" cy="1406262"/>
            </a:xfrm>
            <a:prstGeom prst="rect">
              <a:avLst/>
            </a:prstGeom>
            <a:solidFill>
              <a:srgbClr val="FFFFFF"/>
            </a:solidFill>
            <a:ln w="9525" cmpd="sng">
              <a:solidFill>
                <a:srgbClr val="FFFFFF">
                  <a:shade val="50000"/>
                </a:srgbClr>
              </a:solidFill>
            </a:ln>
            <a:effectLst/>
          </xdr:spPr>
          <xdr:txBody>
            <a:bodyPr vertOverflow="clip" horzOverflow="clip" wrap="square" lIns="36000" tIns="36000" rIns="36000" bIns="360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Fixed Cost Input</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Retail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Solar</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Ancillary</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Metering</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Network supply charge, residential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Network supply charge, small business</a:t>
              </a:r>
            </a:p>
          </xdr:txBody>
        </xdr:sp>
        <xdr:sp macro="" textlink="">
          <xdr:nvSpPr>
            <xdr:cNvPr id="33" name="TextBox 94">
              <a:extLst>
                <a:ext uri="{FF2B5EF4-FFF2-40B4-BE49-F238E27FC236}">
                  <a16:creationId xmlns:a16="http://schemas.microsoft.com/office/drawing/2014/main" id="{661FD5E0-9EEE-4B46-9684-7CFAD3BD60AE}"/>
                </a:ext>
              </a:extLst>
            </xdr:cNvPr>
            <xdr:cNvSpPr txBox="1"/>
          </xdr:nvSpPr>
          <xdr:spPr>
            <a:xfrm>
              <a:off x="3280469" y="4195697"/>
              <a:ext cx="2529781" cy="1069678"/>
            </a:xfrm>
            <a:prstGeom prst="rect">
              <a:avLst/>
            </a:prstGeom>
            <a:solidFill>
              <a:srgbClr val="FFFFFF"/>
            </a:solidFill>
            <a:ln w="9525" cmpd="sng">
              <a:solidFill>
                <a:srgbClr val="FFFFFF">
                  <a:shade val="50000"/>
                </a:srgbClr>
              </a:solidFill>
            </a:ln>
            <a:effectLst/>
          </xdr:spPr>
          <xdr:txBody>
            <a:bodyPr vertOverflow="clip" horzOverflow="clip" wrap="square" lIns="36000" tIns="36000" rIns="36000" bIns="360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Non-Cost Input</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Distribution network loss factors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Marginal network loss factors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Retail margin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0" i="0" u="none" strike="noStrike" kern="0" cap="none" spc="0" normalizeH="0" baseline="0" noProof="0">
                  <a:ln>
                    <a:noFill/>
                  </a:ln>
                  <a:solidFill>
                    <a:sysClr val="windowText" lastClr="000000"/>
                  </a:solidFill>
                  <a:effectLst/>
                  <a:uLnTx/>
                  <a:uFillTx/>
                  <a:latin typeface="Arial" panose="020B0604020202020204"/>
                  <a:ea typeface="+mn-ea"/>
                  <a:cs typeface="+mn-cs"/>
                </a:rPr>
                <a:t>- Electricity consumption</a:t>
              </a:r>
            </a:p>
          </xdr:txBody>
        </xdr:sp>
        <xdr:sp macro="" textlink="">
          <xdr:nvSpPr>
            <xdr:cNvPr id="34" name="TextBox 95">
              <a:extLst>
                <a:ext uri="{FF2B5EF4-FFF2-40B4-BE49-F238E27FC236}">
                  <a16:creationId xmlns:a16="http://schemas.microsoft.com/office/drawing/2014/main" id="{E1E9623C-D5D8-4BB4-8CA5-24BD19492BC2}"/>
                </a:ext>
              </a:extLst>
            </xdr:cNvPr>
            <xdr:cNvSpPr txBox="1"/>
          </xdr:nvSpPr>
          <xdr:spPr>
            <a:xfrm>
              <a:off x="6715124" y="4793986"/>
              <a:ext cx="3946071" cy="1644571"/>
            </a:xfrm>
            <a:prstGeom prst="rect">
              <a:avLst/>
            </a:prstGeom>
            <a:noFill/>
            <a:ln w="9525" cmpd="sng">
              <a:noFill/>
            </a:ln>
            <a:effectLst/>
          </xdr:spPr>
          <xdr:txBody>
            <a:bodyPr vertOverflow="clip" horz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AU" sz="1050" b="0" i="0" u="none" strike="noStrike" kern="0" cap="none" spc="0" normalizeH="0" baseline="0" noProof="0">
                <a:ln>
                  <a:noFill/>
                </a:ln>
                <a:solidFill>
                  <a:srgbClr val="FFFFFF"/>
                </a:solidFill>
                <a:effectLst/>
                <a:uLnTx/>
                <a:uFillTx/>
                <a:latin typeface="Arial" panose="020B0604020202020204"/>
                <a:ea typeface="+mn-ea"/>
                <a:cs typeface="Arial" panose="020B0604020202020204" pitchFamily="34" charset="0"/>
              </a:endParaRPr>
            </a:p>
          </xdr:txBody>
        </xdr:sp>
      </xdr:grpSp>
      <xdr:sp macro="" textlink="">
        <xdr:nvSpPr>
          <xdr:cNvPr id="35" name="TextBox 85">
            <a:extLst>
              <a:ext uri="{FF2B5EF4-FFF2-40B4-BE49-F238E27FC236}">
                <a16:creationId xmlns:a16="http://schemas.microsoft.com/office/drawing/2014/main" id="{D6FCE240-7C14-42C4-950E-108A20ECC6FF}"/>
              </a:ext>
            </a:extLst>
          </xdr:cNvPr>
          <xdr:cNvSpPr txBox="1"/>
        </xdr:nvSpPr>
        <xdr:spPr>
          <a:xfrm>
            <a:off x="6969713" y="4798063"/>
            <a:ext cx="1101873" cy="622365"/>
          </a:xfrm>
          <a:prstGeom prst="rect">
            <a:avLst/>
          </a:prstGeom>
          <a:solidFill>
            <a:srgbClr val="FFFFFF"/>
          </a:solidFill>
          <a:ln w="9525" cmpd="sng">
            <a:solidFill>
              <a:srgbClr val="FFFFFF">
                <a:shade val="50000"/>
              </a:srgbClr>
            </a:solidFill>
          </a:ln>
          <a:effectLst/>
        </xdr:spPr>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AusNet</a:t>
            </a:r>
          </a:p>
        </xdr:txBody>
      </xdr:sp>
      <xdr:sp macro="" textlink="">
        <xdr:nvSpPr>
          <xdr:cNvPr id="36" name="TextBox 86">
            <a:extLst>
              <a:ext uri="{FF2B5EF4-FFF2-40B4-BE49-F238E27FC236}">
                <a16:creationId xmlns:a16="http://schemas.microsoft.com/office/drawing/2014/main" id="{6C6F8D72-B31D-49E4-A863-5AD31A6EF591}"/>
              </a:ext>
            </a:extLst>
          </xdr:cNvPr>
          <xdr:cNvSpPr txBox="1"/>
        </xdr:nvSpPr>
        <xdr:spPr>
          <a:xfrm>
            <a:off x="8212506" y="4798064"/>
            <a:ext cx="1101873" cy="622365"/>
          </a:xfrm>
          <a:prstGeom prst="rect">
            <a:avLst/>
          </a:prstGeom>
          <a:solidFill>
            <a:srgbClr val="FFFFFF"/>
          </a:solidFill>
          <a:ln w="9525" cmpd="sng">
            <a:solidFill>
              <a:srgbClr val="FFFFFF">
                <a:shade val="50000"/>
              </a:srgbClr>
            </a:solidFill>
          </a:ln>
          <a:effectLst/>
        </xdr:spPr>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CitiPower</a:t>
            </a:r>
          </a:p>
        </xdr:txBody>
      </xdr:sp>
      <xdr:sp macro="" textlink="">
        <xdr:nvSpPr>
          <xdr:cNvPr id="37" name="TextBox 87">
            <a:extLst>
              <a:ext uri="{FF2B5EF4-FFF2-40B4-BE49-F238E27FC236}">
                <a16:creationId xmlns:a16="http://schemas.microsoft.com/office/drawing/2014/main" id="{40939CEF-2A9E-4B02-8904-35FC1B76B88A}"/>
              </a:ext>
            </a:extLst>
          </xdr:cNvPr>
          <xdr:cNvSpPr txBox="1"/>
        </xdr:nvSpPr>
        <xdr:spPr>
          <a:xfrm>
            <a:off x="9466168" y="4803925"/>
            <a:ext cx="1100985" cy="608199"/>
          </a:xfrm>
          <a:prstGeom prst="rect">
            <a:avLst/>
          </a:prstGeom>
          <a:solidFill>
            <a:srgbClr val="FFFFFF"/>
          </a:solidFill>
          <a:ln w="9525" cmpd="sng">
            <a:solidFill>
              <a:srgbClr val="FFFFFF">
                <a:shade val="50000"/>
              </a:srgbClr>
            </a:solidFill>
          </a:ln>
          <a:effectLst/>
        </xdr:spPr>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Jemena</a:t>
            </a:r>
          </a:p>
        </xdr:txBody>
      </xdr:sp>
      <xdr:sp macro="" textlink="">
        <xdr:nvSpPr>
          <xdr:cNvPr id="38" name="TextBox 88">
            <a:extLst>
              <a:ext uri="{FF2B5EF4-FFF2-40B4-BE49-F238E27FC236}">
                <a16:creationId xmlns:a16="http://schemas.microsoft.com/office/drawing/2014/main" id="{15BB24D6-E6C2-4591-8373-937E75ECD2D2}"/>
              </a:ext>
            </a:extLst>
          </xdr:cNvPr>
          <xdr:cNvSpPr txBox="1"/>
        </xdr:nvSpPr>
        <xdr:spPr>
          <a:xfrm>
            <a:off x="7606970" y="5488923"/>
            <a:ext cx="1100985" cy="619335"/>
          </a:xfrm>
          <a:prstGeom prst="rect">
            <a:avLst/>
          </a:prstGeom>
          <a:solidFill>
            <a:srgbClr val="FFFFFF"/>
          </a:solidFill>
          <a:ln w="9525" cmpd="sng">
            <a:solidFill>
              <a:srgbClr val="FFFFFF">
                <a:shade val="50000"/>
              </a:srgbClr>
            </a:solidFill>
          </a:ln>
          <a:effectLst/>
        </xdr:spPr>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Powercor</a:t>
            </a:r>
          </a:p>
        </xdr:txBody>
      </xdr:sp>
      <xdr:sp macro="" textlink="">
        <xdr:nvSpPr>
          <xdr:cNvPr id="39" name="TextBox 89">
            <a:extLst>
              <a:ext uri="{FF2B5EF4-FFF2-40B4-BE49-F238E27FC236}">
                <a16:creationId xmlns:a16="http://schemas.microsoft.com/office/drawing/2014/main" id="{12391A71-E691-402F-9D47-53D2C2E7EA81}"/>
              </a:ext>
            </a:extLst>
          </xdr:cNvPr>
          <xdr:cNvSpPr txBox="1"/>
        </xdr:nvSpPr>
        <xdr:spPr>
          <a:xfrm>
            <a:off x="8841144" y="5475229"/>
            <a:ext cx="1100985" cy="631026"/>
          </a:xfrm>
          <a:prstGeom prst="rect">
            <a:avLst/>
          </a:prstGeom>
          <a:solidFill>
            <a:srgbClr val="FFFFFF"/>
          </a:solidFill>
          <a:ln w="9525" cmpd="sng">
            <a:solidFill>
              <a:srgbClr val="FFFFFF">
                <a:shade val="50000"/>
              </a:srgbClr>
            </a:solidFill>
          </a:ln>
          <a:effectLst/>
        </xdr:spPr>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050" b="1" i="0" u="none" strike="noStrike" kern="0" cap="none" spc="0" normalizeH="0" baseline="0" noProof="0">
                <a:ln>
                  <a:noFill/>
                </a:ln>
                <a:solidFill>
                  <a:sysClr val="windowText" lastClr="000000"/>
                </a:solidFill>
                <a:effectLst/>
                <a:uLnTx/>
                <a:uFillTx/>
                <a:latin typeface="Arial" panose="020B0604020202020204"/>
                <a:ea typeface="+mn-ea"/>
                <a:cs typeface="Arial" panose="020B0604020202020204" pitchFamily="34" charset="0"/>
              </a:rPr>
              <a:t>United Energy</a:t>
            </a:r>
          </a:p>
        </xdr:txBody>
      </xdr:sp>
    </xdr:grpSp>
    <xdr:clientData/>
  </xdr:twoCellAnchor>
  <xdr:twoCellAnchor>
    <xdr:from>
      <xdr:col>2</xdr:col>
      <xdr:colOff>2286000</xdr:colOff>
      <xdr:row>44</xdr:row>
      <xdr:rowOff>76726</xdr:rowOff>
    </xdr:from>
    <xdr:to>
      <xdr:col>7</xdr:col>
      <xdr:colOff>720011</xdr:colOff>
      <xdr:row>50</xdr:row>
      <xdr:rowOff>84125</xdr:rowOff>
    </xdr:to>
    <xdr:sp macro="" textlink="">
      <xdr:nvSpPr>
        <xdr:cNvPr id="47" name="Rectangle 46">
          <a:extLst>
            <a:ext uri="{FF2B5EF4-FFF2-40B4-BE49-F238E27FC236}">
              <a16:creationId xmlns:a16="http://schemas.microsoft.com/office/drawing/2014/main" id="{B8F92B5F-585B-437F-B6E7-120814771D5A}"/>
            </a:ext>
          </a:extLst>
        </xdr:cNvPr>
        <xdr:cNvSpPr/>
      </xdr:nvSpPr>
      <xdr:spPr>
        <a:xfrm>
          <a:off x="3003176" y="9702579"/>
          <a:ext cx="8676188" cy="1150399"/>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bg1"/>
              </a:solidFill>
              <a:latin typeface="+mj-lt"/>
              <a:ea typeface="+mn-ea"/>
              <a:cs typeface="Arial" panose="020B0604020202020204" pitchFamily="34" charset="0"/>
            </a:rPr>
            <a:t>Total Fixed Cost ($)</a:t>
          </a:r>
        </a:p>
      </xdr:txBody>
    </xdr:sp>
    <xdr:clientData/>
  </xdr:twoCellAnchor>
  <xdr:twoCellAnchor>
    <xdr:from>
      <xdr:col>2</xdr:col>
      <xdr:colOff>2496111</xdr:colOff>
      <xdr:row>45</xdr:row>
      <xdr:rowOff>173825</xdr:rowOff>
    </xdr:from>
    <xdr:to>
      <xdr:col>3</xdr:col>
      <xdr:colOff>507150</xdr:colOff>
      <xdr:row>49</xdr:row>
      <xdr:rowOff>130824</xdr:rowOff>
    </xdr:to>
    <xdr:sp macro="" textlink="">
      <xdr:nvSpPr>
        <xdr:cNvPr id="48" name="Rectangle 47">
          <a:extLst>
            <a:ext uri="{FF2B5EF4-FFF2-40B4-BE49-F238E27FC236}">
              <a16:creationId xmlns:a16="http://schemas.microsoft.com/office/drawing/2014/main" id="{C4A16E1A-B0AA-4DD8-8E3F-0E84D23F7AB1}"/>
            </a:ext>
          </a:extLst>
        </xdr:cNvPr>
        <xdr:cNvSpPr/>
      </xdr:nvSpPr>
      <xdr:spPr>
        <a:xfrm>
          <a:off x="3213287" y="9990178"/>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Retail operating cost ($)</a:t>
          </a:r>
        </a:p>
      </xdr:txBody>
    </xdr:sp>
    <xdr:clientData/>
  </xdr:twoCellAnchor>
  <xdr:twoCellAnchor>
    <xdr:from>
      <xdr:col>3</xdr:col>
      <xdr:colOff>819876</xdr:colOff>
      <xdr:row>45</xdr:row>
      <xdr:rowOff>173825</xdr:rowOff>
    </xdr:from>
    <xdr:to>
      <xdr:col>4</xdr:col>
      <xdr:colOff>500592</xdr:colOff>
      <xdr:row>49</xdr:row>
      <xdr:rowOff>130824</xdr:rowOff>
    </xdr:to>
    <xdr:sp macro="" textlink="">
      <xdr:nvSpPr>
        <xdr:cNvPr id="49" name="Rectangle 48">
          <a:extLst>
            <a:ext uri="{FF2B5EF4-FFF2-40B4-BE49-F238E27FC236}">
              <a16:creationId xmlns:a16="http://schemas.microsoft.com/office/drawing/2014/main" id="{D640DC63-9569-4F5C-B62C-88CC3B2A1C01}"/>
            </a:ext>
          </a:extLst>
        </xdr:cNvPr>
        <xdr:cNvSpPr/>
      </xdr:nvSpPr>
      <xdr:spPr>
        <a:xfrm>
          <a:off x="4921229" y="9990178"/>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Network charges ($)</a:t>
          </a:r>
        </a:p>
      </xdr:txBody>
    </xdr:sp>
    <xdr:clientData/>
  </xdr:twoCellAnchor>
  <xdr:twoCellAnchor>
    <xdr:from>
      <xdr:col>4</xdr:col>
      <xdr:colOff>796866</xdr:colOff>
      <xdr:row>45</xdr:row>
      <xdr:rowOff>173825</xdr:rowOff>
    </xdr:from>
    <xdr:to>
      <xdr:col>5</xdr:col>
      <xdr:colOff>470291</xdr:colOff>
      <xdr:row>49</xdr:row>
      <xdr:rowOff>130824</xdr:rowOff>
    </xdr:to>
    <xdr:sp macro="" textlink="">
      <xdr:nvSpPr>
        <xdr:cNvPr id="51" name="Rectangle 50">
          <a:extLst>
            <a:ext uri="{FF2B5EF4-FFF2-40B4-BE49-F238E27FC236}">
              <a16:creationId xmlns:a16="http://schemas.microsoft.com/office/drawing/2014/main" id="{57129EC0-1579-4619-B1E8-8F5C891ABD6B}"/>
            </a:ext>
          </a:extLst>
        </xdr:cNvPr>
        <xdr:cNvSpPr/>
      </xdr:nvSpPr>
      <xdr:spPr>
        <a:xfrm>
          <a:off x="6612719" y="9990178"/>
          <a:ext cx="1387925"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Other</a:t>
          </a:r>
        </a:p>
        <a:p>
          <a:pPr marL="0" indent="0" algn="ctr"/>
          <a:r>
            <a:rPr lang="en-AU" sz="900" b="1">
              <a:solidFill>
                <a:schemeClr val="tx1"/>
              </a:solidFill>
              <a:latin typeface="+mj-lt"/>
              <a:ea typeface="+mn-ea"/>
              <a:cs typeface="Arial" panose="020B0604020202020204" pitchFamily="34" charset="0"/>
            </a:rPr>
            <a:t>($)</a:t>
          </a:r>
        </a:p>
      </xdr:txBody>
    </xdr:sp>
    <xdr:clientData/>
  </xdr:twoCellAnchor>
  <xdr:twoCellAnchor>
    <xdr:from>
      <xdr:col>5</xdr:col>
      <xdr:colOff>795731</xdr:colOff>
      <xdr:row>45</xdr:row>
      <xdr:rowOff>173825</xdr:rowOff>
    </xdr:from>
    <xdr:to>
      <xdr:col>6</xdr:col>
      <xdr:colOff>476448</xdr:colOff>
      <xdr:row>49</xdr:row>
      <xdr:rowOff>130824</xdr:rowOff>
    </xdr:to>
    <xdr:sp macro="" textlink="">
      <xdr:nvSpPr>
        <xdr:cNvPr id="53" name="Rectangle 52">
          <a:extLst>
            <a:ext uri="{FF2B5EF4-FFF2-40B4-BE49-F238E27FC236}">
              <a16:creationId xmlns:a16="http://schemas.microsoft.com/office/drawing/2014/main" id="{EF13050F-BB06-4627-A30F-4E6E5A5269D6}"/>
            </a:ext>
          </a:extLst>
        </xdr:cNvPr>
        <xdr:cNvSpPr/>
      </xdr:nvSpPr>
      <xdr:spPr>
        <a:xfrm>
          <a:off x="8326084" y="9990178"/>
          <a:ext cx="1395217"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Feed-In Tariff</a:t>
          </a:r>
        </a:p>
        <a:p>
          <a:pPr marL="0" indent="0" algn="ctr"/>
          <a:r>
            <a:rPr lang="en-AU" sz="900" b="1">
              <a:solidFill>
                <a:schemeClr val="tx1"/>
              </a:solidFill>
              <a:latin typeface="+mj-lt"/>
              <a:ea typeface="+mn-ea"/>
              <a:cs typeface="Arial" panose="020B0604020202020204" pitchFamily="34" charset="0"/>
            </a:rPr>
            <a:t>($)</a:t>
          </a:r>
        </a:p>
      </xdr:txBody>
    </xdr:sp>
    <xdr:clientData/>
  </xdr:twoCellAnchor>
  <xdr:twoCellAnchor>
    <xdr:from>
      <xdr:col>6</xdr:col>
      <xdr:colOff>784112</xdr:colOff>
      <xdr:row>45</xdr:row>
      <xdr:rowOff>173825</xdr:rowOff>
    </xdr:from>
    <xdr:to>
      <xdr:col>7</xdr:col>
      <xdr:colOff>464829</xdr:colOff>
      <xdr:row>49</xdr:row>
      <xdr:rowOff>130824</xdr:rowOff>
    </xdr:to>
    <xdr:sp macro="" textlink="">
      <xdr:nvSpPr>
        <xdr:cNvPr id="55" name="Rectangle 54">
          <a:extLst>
            <a:ext uri="{FF2B5EF4-FFF2-40B4-BE49-F238E27FC236}">
              <a16:creationId xmlns:a16="http://schemas.microsoft.com/office/drawing/2014/main" id="{BE5A7782-3F56-48F4-91F7-ADA4041E7ADE}"/>
            </a:ext>
          </a:extLst>
        </xdr:cNvPr>
        <xdr:cNvSpPr/>
      </xdr:nvSpPr>
      <xdr:spPr>
        <a:xfrm>
          <a:off x="10028965" y="9990178"/>
          <a:ext cx="1395217"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CARC</a:t>
          </a:r>
        </a:p>
        <a:p>
          <a:pPr marL="0" indent="0" algn="ctr"/>
          <a:r>
            <a:rPr lang="en-AU" sz="900" b="1">
              <a:solidFill>
                <a:schemeClr val="tx1"/>
              </a:solidFill>
              <a:latin typeface="+mj-lt"/>
              <a:ea typeface="+mn-ea"/>
              <a:cs typeface="Arial" panose="020B0604020202020204" pitchFamily="34" charset="0"/>
            </a:rPr>
            <a:t>($)</a:t>
          </a:r>
        </a:p>
      </xdr:txBody>
    </xdr:sp>
    <xdr:clientData/>
  </xdr:twoCellAnchor>
  <xdr:twoCellAnchor>
    <xdr:from>
      <xdr:col>7</xdr:col>
      <xdr:colOff>1230377</xdr:colOff>
      <xdr:row>44</xdr:row>
      <xdr:rowOff>76726</xdr:rowOff>
    </xdr:from>
    <xdr:to>
      <xdr:col>8</xdr:col>
      <xdr:colOff>1046967</xdr:colOff>
      <xdr:row>50</xdr:row>
      <xdr:rowOff>84125</xdr:rowOff>
    </xdr:to>
    <xdr:sp macro="" textlink="">
      <xdr:nvSpPr>
        <xdr:cNvPr id="58" name="Rectangle 57">
          <a:extLst>
            <a:ext uri="{FF2B5EF4-FFF2-40B4-BE49-F238E27FC236}">
              <a16:creationId xmlns:a16="http://schemas.microsoft.com/office/drawing/2014/main" id="{3EE40249-264E-4B69-94D6-D70B2D457E50}"/>
            </a:ext>
          </a:extLst>
        </xdr:cNvPr>
        <xdr:cNvSpPr/>
      </xdr:nvSpPr>
      <xdr:spPr>
        <a:xfrm>
          <a:off x="12189730" y="9702579"/>
          <a:ext cx="1531090" cy="1150399"/>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bg1"/>
              </a:solidFill>
              <a:latin typeface="+mj-lt"/>
              <a:ea typeface="+mn-ea"/>
              <a:cs typeface="Arial" panose="020B0604020202020204" pitchFamily="34" charset="0"/>
            </a:rPr>
            <a:t>Retail Margin factor</a:t>
          </a:r>
        </a:p>
        <a:p>
          <a:pPr marL="0" indent="0" algn="ctr"/>
          <a:endParaRPr lang="en-AU" sz="900" b="1">
            <a:solidFill>
              <a:schemeClr val="bg1"/>
            </a:solidFill>
            <a:latin typeface="+mj-lt"/>
            <a:ea typeface="+mn-ea"/>
            <a:cs typeface="Arial" panose="020B0604020202020204" pitchFamily="34" charset="0"/>
          </a:endParaRPr>
        </a:p>
        <a:p>
          <a:pPr marL="0" indent="0" algn="ctr"/>
          <a:r>
            <a:rPr lang="en-AU" sz="900" b="1">
              <a:solidFill>
                <a:schemeClr val="bg1"/>
              </a:solidFill>
              <a:latin typeface="+mj-lt"/>
              <a:ea typeface="+mn-ea"/>
              <a:cs typeface="Arial" panose="020B0604020202020204" pitchFamily="34" charset="0"/>
            </a:rPr>
            <a:t>1 + Retail Margin</a:t>
          </a:r>
        </a:p>
      </xdr:txBody>
    </xdr:sp>
    <xdr:clientData/>
  </xdr:twoCellAnchor>
  <xdr:twoCellAnchor>
    <xdr:from>
      <xdr:col>8</xdr:col>
      <xdr:colOff>1542749</xdr:colOff>
      <xdr:row>44</xdr:row>
      <xdr:rowOff>76726</xdr:rowOff>
    </xdr:from>
    <xdr:to>
      <xdr:col>9</xdr:col>
      <xdr:colOff>1349133</xdr:colOff>
      <xdr:row>50</xdr:row>
      <xdr:rowOff>84125</xdr:rowOff>
    </xdr:to>
    <xdr:sp macro="" textlink="">
      <xdr:nvSpPr>
        <xdr:cNvPr id="59" name="Rectangle 58">
          <a:extLst>
            <a:ext uri="{FF2B5EF4-FFF2-40B4-BE49-F238E27FC236}">
              <a16:creationId xmlns:a16="http://schemas.microsoft.com/office/drawing/2014/main" id="{024C6063-DDEF-47D7-9310-7238581E51D1}"/>
            </a:ext>
          </a:extLst>
        </xdr:cNvPr>
        <xdr:cNvSpPr/>
      </xdr:nvSpPr>
      <xdr:spPr>
        <a:xfrm>
          <a:off x="14216602" y="9702579"/>
          <a:ext cx="1520884" cy="1150399"/>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bg1"/>
              </a:solidFill>
              <a:latin typeface="+mj-lt"/>
              <a:ea typeface="+mn-ea"/>
              <a:cs typeface="Arial" panose="020B0604020202020204" pitchFamily="34" charset="0"/>
            </a:rPr>
            <a:t>GST factor</a:t>
          </a:r>
        </a:p>
        <a:p>
          <a:pPr marL="0" indent="0" algn="ctr"/>
          <a:endParaRPr lang="en-AU" sz="900" b="1">
            <a:solidFill>
              <a:schemeClr val="bg1"/>
            </a:solidFill>
            <a:latin typeface="+mj-lt"/>
            <a:ea typeface="+mn-ea"/>
            <a:cs typeface="Arial" panose="020B0604020202020204" pitchFamily="34" charset="0"/>
          </a:endParaRPr>
        </a:p>
        <a:p>
          <a:pPr marL="0" indent="0" algn="ctr"/>
          <a:endParaRPr lang="en-AU" sz="900" b="1">
            <a:solidFill>
              <a:schemeClr val="bg1"/>
            </a:solidFill>
            <a:latin typeface="+mj-lt"/>
            <a:ea typeface="+mn-ea"/>
            <a:cs typeface="Arial" panose="020B0604020202020204" pitchFamily="34" charset="0"/>
          </a:endParaRPr>
        </a:p>
        <a:p>
          <a:pPr marL="0" indent="0" algn="ctr"/>
          <a:r>
            <a:rPr lang="en-AU" sz="900" b="1">
              <a:solidFill>
                <a:schemeClr val="bg1"/>
              </a:solidFill>
              <a:latin typeface="+mj-lt"/>
              <a:ea typeface="+mn-ea"/>
              <a:cs typeface="Arial" panose="020B0604020202020204" pitchFamily="34" charset="0"/>
            </a:rPr>
            <a:t>1 + GST rate</a:t>
          </a:r>
        </a:p>
      </xdr:txBody>
    </xdr:sp>
    <xdr:clientData/>
  </xdr:twoCellAnchor>
  <xdr:twoCellAnchor>
    <xdr:from>
      <xdr:col>2</xdr:col>
      <xdr:colOff>1882784</xdr:colOff>
      <xdr:row>47</xdr:row>
      <xdr:rowOff>121511</xdr:rowOff>
    </xdr:from>
    <xdr:to>
      <xdr:col>2</xdr:col>
      <xdr:colOff>2142340</xdr:colOff>
      <xdr:row>47</xdr:row>
      <xdr:rowOff>121511</xdr:rowOff>
    </xdr:to>
    <xdr:cxnSp macro="">
      <xdr:nvCxnSpPr>
        <xdr:cNvPr id="61" name="Straight Arrow Connector 60">
          <a:extLst>
            <a:ext uri="{FF2B5EF4-FFF2-40B4-BE49-F238E27FC236}">
              <a16:creationId xmlns:a16="http://schemas.microsoft.com/office/drawing/2014/main" id="{502AFFC0-C715-48D6-8339-E7746624C3BE}"/>
            </a:ext>
          </a:extLst>
        </xdr:cNvPr>
        <xdr:cNvCxnSpPr/>
      </xdr:nvCxnSpPr>
      <xdr:spPr>
        <a:xfrm>
          <a:off x="2599960" y="10318864"/>
          <a:ext cx="259556"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42157</xdr:colOff>
      <xdr:row>42</xdr:row>
      <xdr:rowOff>186565</xdr:rowOff>
    </xdr:from>
    <xdr:to>
      <xdr:col>2</xdr:col>
      <xdr:colOff>1739460</xdr:colOff>
      <xdr:row>58</xdr:row>
      <xdr:rowOff>84402</xdr:rowOff>
    </xdr:to>
    <xdr:grpSp>
      <xdr:nvGrpSpPr>
        <xdr:cNvPr id="86" name="Group 85">
          <a:extLst>
            <a:ext uri="{FF2B5EF4-FFF2-40B4-BE49-F238E27FC236}">
              <a16:creationId xmlns:a16="http://schemas.microsoft.com/office/drawing/2014/main" id="{240DFC70-0083-48CF-A91E-F37FC970CF5A}"/>
            </a:ext>
          </a:extLst>
        </xdr:cNvPr>
        <xdr:cNvGrpSpPr/>
      </xdr:nvGrpSpPr>
      <xdr:grpSpPr>
        <a:xfrm>
          <a:off x="748128" y="8871124"/>
          <a:ext cx="1697303" cy="2945837"/>
          <a:chOff x="13982274" y="9016796"/>
          <a:chExt cx="1697303" cy="2945837"/>
        </a:xfrm>
      </xdr:grpSpPr>
      <xdr:sp macro="" textlink="">
        <xdr:nvSpPr>
          <xdr:cNvPr id="45" name="Rectangle 44">
            <a:extLst>
              <a:ext uri="{FF2B5EF4-FFF2-40B4-BE49-F238E27FC236}">
                <a16:creationId xmlns:a16="http://schemas.microsoft.com/office/drawing/2014/main" id="{744A0365-E213-49D5-B239-43037B7A516A}"/>
              </a:ext>
            </a:extLst>
          </xdr:cNvPr>
          <xdr:cNvSpPr/>
        </xdr:nvSpPr>
        <xdr:spPr>
          <a:xfrm>
            <a:off x="13982274" y="9016796"/>
            <a:ext cx="1697303" cy="2945837"/>
          </a:xfrm>
          <a:prstGeom prst="rect">
            <a:avLst/>
          </a:prstGeom>
          <a:noFill/>
          <a:ln w="25400">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AU" sz="1050" b="1">
                <a:solidFill>
                  <a:sysClr val="windowText" lastClr="000000"/>
                </a:solidFill>
                <a:latin typeface="+mj-lt"/>
              </a:rPr>
              <a:t>Tariffs</a:t>
            </a:r>
            <a:endParaRPr lang="en-AU" sz="1050" b="0">
              <a:solidFill>
                <a:sysClr val="windowText" lastClr="000000"/>
              </a:solidFill>
              <a:latin typeface="+mj-lt"/>
            </a:endParaRPr>
          </a:p>
        </xdr:txBody>
      </xdr:sp>
      <xdr:sp macro="" textlink="">
        <xdr:nvSpPr>
          <xdr:cNvPr id="62" name="Rectangle 61">
            <a:extLst>
              <a:ext uri="{FF2B5EF4-FFF2-40B4-BE49-F238E27FC236}">
                <a16:creationId xmlns:a16="http://schemas.microsoft.com/office/drawing/2014/main" id="{34156727-E535-422B-BCAB-DEADED5EAE66}"/>
              </a:ext>
            </a:extLst>
          </xdr:cNvPr>
          <xdr:cNvSpPr/>
        </xdr:nvSpPr>
        <xdr:spPr>
          <a:xfrm>
            <a:off x="14057156" y="9288748"/>
            <a:ext cx="1554829" cy="1150399"/>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Supply Charge ($/day)</a:t>
            </a:r>
          </a:p>
        </xdr:txBody>
      </xdr:sp>
      <xdr:sp macro="" textlink="">
        <xdr:nvSpPr>
          <xdr:cNvPr id="67" name="Rectangle 66">
            <a:extLst>
              <a:ext uri="{FF2B5EF4-FFF2-40B4-BE49-F238E27FC236}">
                <a16:creationId xmlns:a16="http://schemas.microsoft.com/office/drawing/2014/main" id="{0A8D12B2-1227-4702-9394-634DFDAEE286}"/>
              </a:ext>
            </a:extLst>
          </xdr:cNvPr>
          <xdr:cNvSpPr/>
        </xdr:nvSpPr>
        <xdr:spPr>
          <a:xfrm>
            <a:off x="14054075" y="10726748"/>
            <a:ext cx="1554829" cy="1150398"/>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Variable Charge ($/kWh)</a:t>
            </a:r>
          </a:p>
        </xdr:txBody>
      </xdr:sp>
    </xdr:grpSp>
    <xdr:clientData/>
  </xdr:twoCellAnchor>
  <xdr:twoCellAnchor>
    <xdr:from>
      <xdr:col>2</xdr:col>
      <xdr:colOff>1879703</xdr:colOff>
      <xdr:row>55</xdr:row>
      <xdr:rowOff>35510</xdr:rowOff>
    </xdr:from>
    <xdr:to>
      <xdr:col>2</xdr:col>
      <xdr:colOff>2149467</xdr:colOff>
      <xdr:row>55</xdr:row>
      <xdr:rowOff>35510</xdr:rowOff>
    </xdr:to>
    <xdr:cxnSp macro="">
      <xdr:nvCxnSpPr>
        <xdr:cNvPr id="66" name="Straight Arrow Connector 65">
          <a:extLst>
            <a:ext uri="{FF2B5EF4-FFF2-40B4-BE49-F238E27FC236}">
              <a16:creationId xmlns:a16="http://schemas.microsoft.com/office/drawing/2014/main" id="{AAF23852-BB2B-464B-BD21-C14D75F66A7F}"/>
            </a:ext>
          </a:extLst>
        </xdr:cNvPr>
        <xdr:cNvCxnSpPr/>
      </xdr:nvCxnSpPr>
      <xdr:spPr>
        <a:xfrm>
          <a:off x="2596879" y="11756863"/>
          <a:ext cx="269764"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1542749</xdr:colOff>
      <xdr:row>51</xdr:row>
      <xdr:rowOff>181225</xdr:rowOff>
    </xdr:from>
    <xdr:to>
      <xdr:col>9</xdr:col>
      <xdr:colOff>1349133</xdr:colOff>
      <xdr:row>57</xdr:row>
      <xdr:rowOff>188623</xdr:rowOff>
    </xdr:to>
    <xdr:sp macro="" textlink="">
      <xdr:nvSpPr>
        <xdr:cNvPr id="63" name="Rectangle 62">
          <a:extLst>
            <a:ext uri="{FF2B5EF4-FFF2-40B4-BE49-F238E27FC236}">
              <a16:creationId xmlns:a16="http://schemas.microsoft.com/office/drawing/2014/main" id="{0A837E26-BE0D-4BFD-AAD0-0DD7D9A4B95F}"/>
            </a:ext>
          </a:extLst>
        </xdr:cNvPr>
        <xdr:cNvSpPr/>
      </xdr:nvSpPr>
      <xdr:spPr>
        <a:xfrm>
          <a:off x="14216602" y="11140578"/>
          <a:ext cx="1520884" cy="1150398"/>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bg1"/>
              </a:solidFill>
              <a:latin typeface="+mj-lt"/>
              <a:ea typeface="+mn-ea"/>
              <a:cs typeface="Arial" panose="020B0604020202020204" pitchFamily="34" charset="0"/>
            </a:rPr>
            <a:t>Retail Margin factor</a:t>
          </a:r>
        </a:p>
        <a:p>
          <a:pPr marL="0" indent="0" algn="ctr"/>
          <a:endParaRPr lang="en-AU" sz="900" b="1">
            <a:solidFill>
              <a:schemeClr val="bg1"/>
            </a:solidFill>
            <a:latin typeface="+mj-lt"/>
            <a:ea typeface="+mn-ea"/>
            <a:cs typeface="Arial" panose="020B0604020202020204" pitchFamily="34" charset="0"/>
          </a:endParaRPr>
        </a:p>
        <a:p>
          <a:pPr marL="0" indent="0" algn="ctr"/>
          <a:r>
            <a:rPr lang="en-AU" sz="900" b="1">
              <a:solidFill>
                <a:schemeClr val="bg1"/>
              </a:solidFill>
              <a:latin typeface="+mj-lt"/>
              <a:ea typeface="+mn-ea"/>
              <a:cs typeface="Arial" panose="020B0604020202020204" pitchFamily="34" charset="0"/>
            </a:rPr>
            <a:t>1 + Retail Margin</a:t>
          </a:r>
        </a:p>
      </xdr:txBody>
    </xdr:sp>
    <xdr:clientData/>
  </xdr:twoCellAnchor>
  <xdr:twoCellAnchor>
    <xdr:from>
      <xdr:col>7</xdr:col>
      <xdr:colOff>1218561</xdr:colOff>
      <xdr:row>51</xdr:row>
      <xdr:rowOff>181225</xdr:rowOff>
    </xdr:from>
    <xdr:to>
      <xdr:col>8</xdr:col>
      <xdr:colOff>1035151</xdr:colOff>
      <xdr:row>57</xdr:row>
      <xdr:rowOff>188623</xdr:rowOff>
    </xdr:to>
    <xdr:sp macro="" textlink="">
      <xdr:nvSpPr>
        <xdr:cNvPr id="64" name="Rectangle 63">
          <a:extLst>
            <a:ext uri="{FF2B5EF4-FFF2-40B4-BE49-F238E27FC236}">
              <a16:creationId xmlns:a16="http://schemas.microsoft.com/office/drawing/2014/main" id="{DC0CA793-CBE6-41EF-8E38-2CE1FCD090EA}"/>
            </a:ext>
          </a:extLst>
        </xdr:cNvPr>
        <xdr:cNvSpPr/>
      </xdr:nvSpPr>
      <xdr:spPr>
        <a:xfrm>
          <a:off x="12177914" y="11140578"/>
          <a:ext cx="1531090" cy="1150398"/>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bg1"/>
              </a:solidFill>
              <a:latin typeface="+mj-lt"/>
              <a:ea typeface="+mn-ea"/>
              <a:cs typeface="Arial" panose="020B0604020202020204" pitchFamily="34" charset="0"/>
            </a:rPr>
            <a:t>GST factor</a:t>
          </a:r>
        </a:p>
        <a:p>
          <a:pPr marL="0" indent="0" algn="ctr"/>
          <a:endParaRPr lang="en-AU" sz="900" b="1">
            <a:solidFill>
              <a:schemeClr val="bg1"/>
            </a:solidFill>
            <a:latin typeface="+mj-lt"/>
            <a:ea typeface="+mn-ea"/>
            <a:cs typeface="Arial" panose="020B0604020202020204" pitchFamily="34" charset="0"/>
          </a:endParaRPr>
        </a:p>
        <a:p>
          <a:pPr marL="0" indent="0" algn="ctr"/>
          <a:endParaRPr lang="en-AU" sz="900" b="1">
            <a:solidFill>
              <a:schemeClr val="bg1"/>
            </a:solidFill>
            <a:latin typeface="+mj-lt"/>
            <a:ea typeface="+mn-ea"/>
            <a:cs typeface="Arial" panose="020B0604020202020204" pitchFamily="34" charset="0"/>
          </a:endParaRPr>
        </a:p>
        <a:p>
          <a:pPr marL="0" indent="0" algn="ctr"/>
          <a:r>
            <a:rPr lang="en-AU" sz="900" b="1">
              <a:solidFill>
                <a:schemeClr val="bg1"/>
              </a:solidFill>
              <a:latin typeface="+mj-lt"/>
              <a:ea typeface="+mn-ea"/>
              <a:cs typeface="Arial" panose="020B0604020202020204" pitchFamily="34" charset="0"/>
            </a:rPr>
            <a:t>1 + GST rate</a:t>
          </a:r>
        </a:p>
      </xdr:txBody>
    </xdr:sp>
    <xdr:clientData/>
  </xdr:twoCellAnchor>
  <xdr:twoCellAnchor>
    <xdr:from>
      <xdr:col>2</xdr:col>
      <xdr:colOff>2286001</xdr:colOff>
      <xdr:row>51</xdr:row>
      <xdr:rowOff>181225</xdr:rowOff>
    </xdr:from>
    <xdr:to>
      <xdr:col>7</xdr:col>
      <xdr:colOff>720011</xdr:colOff>
      <xdr:row>57</xdr:row>
      <xdr:rowOff>188623</xdr:rowOff>
    </xdr:to>
    <xdr:sp macro="" textlink="">
      <xdr:nvSpPr>
        <xdr:cNvPr id="44" name="Rectangle 43">
          <a:extLst>
            <a:ext uri="{FF2B5EF4-FFF2-40B4-BE49-F238E27FC236}">
              <a16:creationId xmlns:a16="http://schemas.microsoft.com/office/drawing/2014/main" id="{8ED4813D-5AD1-4425-AB07-F425155D0634}"/>
            </a:ext>
          </a:extLst>
        </xdr:cNvPr>
        <xdr:cNvSpPr/>
      </xdr:nvSpPr>
      <xdr:spPr>
        <a:xfrm>
          <a:off x="3003177" y="11140578"/>
          <a:ext cx="8676187" cy="1150398"/>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endParaRPr lang="en-AU" sz="900" b="1">
            <a:solidFill>
              <a:schemeClr val="bg1"/>
            </a:solidFill>
            <a:latin typeface="+mj-lt"/>
            <a:ea typeface="+mn-ea"/>
            <a:cs typeface="Arial" panose="020B0604020202020204" pitchFamily="34" charset="0"/>
          </a:endParaRPr>
        </a:p>
      </xdr:txBody>
    </xdr:sp>
    <xdr:clientData/>
  </xdr:twoCellAnchor>
  <xdr:twoCellAnchor>
    <xdr:from>
      <xdr:col>2</xdr:col>
      <xdr:colOff>2409574</xdr:colOff>
      <xdr:row>53</xdr:row>
      <xdr:rowOff>115221</xdr:rowOff>
    </xdr:from>
    <xdr:to>
      <xdr:col>3</xdr:col>
      <xdr:colOff>413322</xdr:colOff>
      <xdr:row>57</xdr:row>
      <xdr:rowOff>72221</xdr:rowOff>
    </xdr:to>
    <xdr:sp macro="" textlink="">
      <xdr:nvSpPr>
        <xdr:cNvPr id="68" name="Rectangle 67">
          <a:extLst>
            <a:ext uri="{FF2B5EF4-FFF2-40B4-BE49-F238E27FC236}">
              <a16:creationId xmlns:a16="http://schemas.microsoft.com/office/drawing/2014/main" id="{5EE9393B-E0C5-4BF4-A5EE-14EE9BBB7569}"/>
            </a:ext>
          </a:extLst>
        </xdr:cNvPr>
        <xdr:cNvSpPr/>
      </xdr:nvSpPr>
      <xdr:spPr>
        <a:xfrm>
          <a:off x="3126750" y="11455574"/>
          <a:ext cx="1387925" cy="719000"/>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Network usage charge ($/kWh)</a:t>
          </a:r>
        </a:p>
      </xdr:txBody>
    </xdr:sp>
    <xdr:clientData/>
  </xdr:twoCellAnchor>
  <xdr:twoCellAnchor>
    <xdr:from>
      <xdr:col>6</xdr:col>
      <xdr:colOff>964626</xdr:colOff>
      <xdr:row>53</xdr:row>
      <xdr:rowOff>110304</xdr:rowOff>
    </xdr:from>
    <xdr:to>
      <xdr:col>7</xdr:col>
      <xdr:colOff>648259</xdr:colOff>
      <xdr:row>57</xdr:row>
      <xdr:rowOff>57715</xdr:rowOff>
    </xdr:to>
    <xdr:sp macro="" textlink="">
      <xdr:nvSpPr>
        <xdr:cNvPr id="126" name="Rectangle 125">
          <a:extLst>
            <a:ext uri="{FF2B5EF4-FFF2-40B4-BE49-F238E27FC236}">
              <a16:creationId xmlns:a16="http://schemas.microsoft.com/office/drawing/2014/main" id="{DEE7485D-98FD-4A33-A500-ACB93DDF8F30}"/>
            </a:ext>
          </a:extLst>
        </xdr:cNvPr>
        <xdr:cNvSpPr/>
      </xdr:nvSpPr>
      <xdr:spPr>
        <a:xfrm>
          <a:off x="10209479" y="11450657"/>
          <a:ext cx="1398133" cy="709411"/>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Network Loss Factor</a:t>
          </a:r>
        </a:p>
      </xdr:txBody>
    </xdr:sp>
    <xdr:clientData/>
  </xdr:twoCellAnchor>
  <xdr:twoCellAnchor>
    <xdr:from>
      <xdr:col>3</xdr:col>
      <xdr:colOff>821696</xdr:colOff>
      <xdr:row>53</xdr:row>
      <xdr:rowOff>49135</xdr:rowOff>
    </xdr:from>
    <xdr:to>
      <xdr:col>6</xdr:col>
      <xdr:colOff>613671</xdr:colOff>
      <xdr:row>57</xdr:row>
      <xdr:rowOff>133088</xdr:rowOff>
    </xdr:to>
    <xdr:sp macro="" textlink="">
      <xdr:nvSpPr>
        <xdr:cNvPr id="121" name="TextBox 120">
          <a:extLst>
            <a:ext uri="{FF2B5EF4-FFF2-40B4-BE49-F238E27FC236}">
              <a16:creationId xmlns:a16="http://schemas.microsoft.com/office/drawing/2014/main" id="{B1028FD0-65F0-42E7-9921-FFF259D744A0}"/>
            </a:ext>
          </a:extLst>
        </xdr:cNvPr>
        <xdr:cNvSpPr txBox="1"/>
      </xdr:nvSpPr>
      <xdr:spPr>
        <a:xfrm>
          <a:off x="4923049" y="11389488"/>
          <a:ext cx="4935475" cy="845953"/>
        </a:xfrm>
        <a:prstGeom prst="rect">
          <a:avLst/>
        </a:prstGeom>
        <a:noFill/>
        <a:ln w="28575" cmpd="sng">
          <a:solidFill>
            <a:schemeClr val="bg1"/>
          </a:solidFill>
          <a:prstDash val="sysDash"/>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endParaRPr lang="en-AU" sz="900" b="1">
            <a:solidFill>
              <a:schemeClr val="tx1"/>
            </a:solidFill>
            <a:latin typeface="+mj-lt"/>
            <a:ea typeface="+mn-ea"/>
            <a:cs typeface="Arial" panose="020B0604020202020204" pitchFamily="34" charset="0"/>
          </a:endParaRPr>
        </a:p>
      </xdr:txBody>
    </xdr:sp>
    <xdr:clientData/>
  </xdr:twoCellAnchor>
  <xdr:twoCellAnchor>
    <xdr:from>
      <xdr:col>3</xdr:col>
      <xdr:colOff>889326</xdr:colOff>
      <xdr:row>53</xdr:row>
      <xdr:rowOff>111113</xdr:rowOff>
    </xdr:from>
    <xdr:to>
      <xdr:col>4</xdr:col>
      <xdr:colOff>580249</xdr:colOff>
      <xdr:row>57</xdr:row>
      <xdr:rowOff>68113</xdr:rowOff>
    </xdr:to>
    <xdr:sp macro="" textlink="">
      <xdr:nvSpPr>
        <xdr:cNvPr id="122" name="Rectangle 121">
          <a:extLst>
            <a:ext uri="{FF2B5EF4-FFF2-40B4-BE49-F238E27FC236}">
              <a16:creationId xmlns:a16="http://schemas.microsoft.com/office/drawing/2014/main" id="{7E0C1AFE-72A4-4346-A6A6-02ABB8B703BB}"/>
            </a:ext>
          </a:extLst>
        </xdr:cNvPr>
        <xdr:cNvSpPr/>
      </xdr:nvSpPr>
      <xdr:spPr>
        <a:xfrm>
          <a:off x="4990679" y="11451466"/>
          <a:ext cx="1405423" cy="719000"/>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Wholesale electricity ($/kWh)</a:t>
          </a:r>
        </a:p>
      </xdr:txBody>
    </xdr:sp>
    <xdr:clientData/>
  </xdr:twoCellAnchor>
  <xdr:twoCellAnchor>
    <xdr:from>
      <xdr:col>4</xdr:col>
      <xdr:colOff>862144</xdr:colOff>
      <xdr:row>53</xdr:row>
      <xdr:rowOff>111113</xdr:rowOff>
    </xdr:from>
    <xdr:to>
      <xdr:col>5</xdr:col>
      <xdr:colOff>588141</xdr:colOff>
      <xdr:row>57</xdr:row>
      <xdr:rowOff>68113</xdr:rowOff>
    </xdr:to>
    <xdr:sp macro="" textlink="">
      <xdr:nvSpPr>
        <xdr:cNvPr id="123" name="Rectangle 122">
          <a:extLst>
            <a:ext uri="{FF2B5EF4-FFF2-40B4-BE49-F238E27FC236}">
              <a16:creationId xmlns:a16="http://schemas.microsoft.com/office/drawing/2014/main" id="{39191141-DB64-4417-BA07-FB6DB5492625}"/>
            </a:ext>
          </a:extLst>
        </xdr:cNvPr>
        <xdr:cNvSpPr/>
      </xdr:nvSpPr>
      <xdr:spPr>
        <a:xfrm>
          <a:off x="6677997" y="11451466"/>
          <a:ext cx="1440497" cy="719000"/>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Environmental cost</a:t>
          </a:r>
        </a:p>
        <a:p>
          <a:pPr marL="0" indent="0" algn="ctr"/>
          <a:r>
            <a:rPr lang="en-AU" sz="900" b="1">
              <a:solidFill>
                <a:schemeClr val="tx1"/>
              </a:solidFill>
              <a:latin typeface="+mj-lt"/>
              <a:ea typeface="+mn-ea"/>
              <a:cs typeface="Arial" panose="020B0604020202020204" pitchFamily="34" charset="0"/>
            </a:rPr>
            <a:t>($/kWh)</a:t>
          </a:r>
        </a:p>
      </xdr:txBody>
    </xdr:sp>
    <xdr:clientData/>
  </xdr:twoCellAnchor>
  <xdr:twoCellAnchor>
    <xdr:from>
      <xdr:col>5</xdr:col>
      <xdr:colOff>865181</xdr:colOff>
      <xdr:row>53</xdr:row>
      <xdr:rowOff>111113</xdr:rowOff>
    </xdr:from>
    <xdr:to>
      <xdr:col>6</xdr:col>
      <xdr:colOff>548814</xdr:colOff>
      <xdr:row>57</xdr:row>
      <xdr:rowOff>68113</xdr:rowOff>
    </xdr:to>
    <xdr:sp macro="" textlink="">
      <xdr:nvSpPr>
        <xdr:cNvPr id="125" name="Rectangle 124">
          <a:extLst>
            <a:ext uri="{FF2B5EF4-FFF2-40B4-BE49-F238E27FC236}">
              <a16:creationId xmlns:a16="http://schemas.microsoft.com/office/drawing/2014/main" id="{9EA64B14-EBE3-4427-8DC9-6A44536BE635}"/>
            </a:ext>
          </a:extLst>
        </xdr:cNvPr>
        <xdr:cNvSpPr/>
      </xdr:nvSpPr>
      <xdr:spPr>
        <a:xfrm>
          <a:off x="8395534" y="11451466"/>
          <a:ext cx="1398133" cy="719000"/>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Other</a:t>
          </a:r>
        </a:p>
        <a:p>
          <a:pPr marL="0" indent="0" algn="ctr"/>
          <a:r>
            <a:rPr lang="en-AU" sz="900" b="1">
              <a:solidFill>
                <a:schemeClr val="tx1"/>
              </a:solidFill>
              <a:latin typeface="+mj-lt"/>
              <a:ea typeface="+mn-ea"/>
              <a:cs typeface="Arial" panose="020B0604020202020204" pitchFamily="34" charset="0"/>
            </a:rPr>
            <a:t>($/kWh)</a:t>
          </a:r>
        </a:p>
      </xdr:txBody>
    </xdr:sp>
    <xdr:clientData/>
  </xdr:twoCellAnchor>
  <xdr:twoCellAnchor>
    <xdr:from>
      <xdr:col>2</xdr:col>
      <xdr:colOff>2496111</xdr:colOff>
      <xdr:row>63</xdr:row>
      <xdr:rowOff>119515</xdr:rowOff>
    </xdr:from>
    <xdr:to>
      <xdr:col>3</xdr:col>
      <xdr:colOff>507150</xdr:colOff>
      <xdr:row>67</xdr:row>
      <xdr:rowOff>76514</xdr:rowOff>
    </xdr:to>
    <xdr:sp macro="" textlink="">
      <xdr:nvSpPr>
        <xdr:cNvPr id="170" name="Rectangle 169">
          <a:extLst>
            <a:ext uri="{FF2B5EF4-FFF2-40B4-BE49-F238E27FC236}">
              <a16:creationId xmlns:a16="http://schemas.microsoft.com/office/drawing/2014/main" id="{73020FE8-6D46-427D-AD5C-413B154F7461}"/>
            </a:ext>
          </a:extLst>
        </xdr:cNvPr>
        <xdr:cNvSpPr/>
      </xdr:nvSpPr>
      <xdr:spPr>
        <a:xfrm>
          <a:off x="3213287" y="14317368"/>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Actual cost ($)</a:t>
          </a:r>
        </a:p>
      </xdr:txBody>
    </xdr:sp>
    <xdr:clientData/>
  </xdr:twoCellAnchor>
  <xdr:twoCellAnchor>
    <xdr:from>
      <xdr:col>3</xdr:col>
      <xdr:colOff>819876</xdr:colOff>
      <xdr:row>63</xdr:row>
      <xdr:rowOff>119515</xdr:rowOff>
    </xdr:from>
    <xdr:to>
      <xdr:col>4</xdr:col>
      <xdr:colOff>500592</xdr:colOff>
      <xdr:row>67</xdr:row>
      <xdr:rowOff>76514</xdr:rowOff>
    </xdr:to>
    <xdr:sp macro="" textlink="">
      <xdr:nvSpPr>
        <xdr:cNvPr id="171" name="Rectangle 170">
          <a:extLst>
            <a:ext uri="{FF2B5EF4-FFF2-40B4-BE49-F238E27FC236}">
              <a16:creationId xmlns:a16="http://schemas.microsoft.com/office/drawing/2014/main" id="{03F884A1-F438-4436-B98F-7FA2422AC375}"/>
            </a:ext>
          </a:extLst>
        </xdr:cNvPr>
        <xdr:cNvSpPr/>
      </xdr:nvSpPr>
      <xdr:spPr>
        <a:xfrm>
          <a:off x="4921229" y="14317368"/>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marL="0" indent="0" algn="ctr"/>
          <a:r>
            <a:rPr lang="en-AU" sz="900" b="1">
              <a:solidFill>
                <a:schemeClr val="tx1"/>
              </a:solidFill>
              <a:latin typeface="+mj-lt"/>
              <a:ea typeface="+mn-ea"/>
              <a:cs typeface="Arial" panose="020B0604020202020204" pitchFamily="34" charset="0"/>
            </a:rPr>
            <a:t>Proportion of actual cost</a:t>
          </a:r>
          <a:r>
            <a:rPr lang="en-AU" sz="900" b="1" baseline="0">
              <a:solidFill>
                <a:schemeClr val="tx1"/>
              </a:solidFill>
              <a:latin typeface="+mj-lt"/>
              <a:ea typeface="+mn-ea"/>
              <a:cs typeface="Arial" panose="020B0604020202020204" pitchFamily="34" charset="0"/>
            </a:rPr>
            <a:t> period to the decision period</a:t>
          </a:r>
          <a:r>
            <a:rPr lang="en-AU" sz="900" b="1">
              <a:solidFill>
                <a:schemeClr val="tx1"/>
              </a:solidFill>
              <a:latin typeface="+mj-lt"/>
              <a:ea typeface="+mn-ea"/>
              <a:cs typeface="Arial" panose="020B0604020202020204" pitchFamily="34" charset="0"/>
            </a:rPr>
            <a:t> (%)</a:t>
          </a:r>
        </a:p>
      </xdr:txBody>
    </xdr:sp>
    <xdr:clientData/>
  </xdr:twoCellAnchor>
  <xdr:twoCellAnchor>
    <xdr:from>
      <xdr:col>6</xdr:col>
      <xdr:colOff>1488113</xdr:colOff>
      <xdr:row>61</xdr:row>
      <xdr:rowOff>100854</xdr:rowOff>
    </xdr:from>
    <xdr:to>
      <xdr:col>7</xdr:col>
      <xdr:colOff>1304703</xdr:colOff>
      <xdr:row>68</xdr:row>
      <xdr:rowOff>29816</xdr:rowOff>
    </xdr:to>
    <xdr:sp macro="" textlink="">
      <xdr:nvSpPr>
        <xdr:cNvPr id="161" name="Rectangle 160">
          <a:extLst>
            <a:ext uri="{FF2B5EF4-FFF2-40B4-BE49-F238E27FC236}">
              <a16:creationId xmlns:a16="http://schemas.microsoft.com/office/drawing/2014/main" id="{C4CAC0B5-E078-4F24-AC13-09A87A8B9525}"/>
            </a:ext>
          </a:extLst>
        </xdr:cNvPr>
        <xdr:cNvSpPr/>
      </xdr:nvSpPr>
      <xdr:spPr>
        <a:xfrm>
          <a:off x="10732966" y="13917707"/>
          <a:ext cx="1531090" cy="1262462"/>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bg1"/>
              </a:solidFill>
              <a:latin typeface="+mj-lt"/>
              <a:ea typeface="+mn-ea"/>
              <a:cs typeface="Arial" panose="020B0604020202020204" pitchFamily="34" charset="0"/>
            </a:rPr>
            <a:t>Retail Margin factor</a:t>
          </a:r>
        </a:p>
        <a:p>
          <a:pPr marL="0" indent="0" algn="ctr"/>
          <a:endParaRPr lang="en-AU" sz="900" b="1">
            <a:solidFill>
              <a:schemeClr val="bg1"/>
            </a:solidFill>
            <a:latin typeface="+mj-lt"/>
            <a:ea typeface="+mn-ea"/>
            <a:cs typeface="Arial" panose="020B0604020202020204" pitchFamily="34" charset="0"/>
          </a:endParaRPr>
        </a:p>
        <a:p>
          <a:pPr marL="0" indent="0" algn="ctr"/>
          <a:r>
            <a:rPr lang="en-AU" sz="900" b="1">
              <a:solidFill>
                <a:schemeClr val="bg1"/>
              </a:solidFill>
              <a:latin typeface="+mj-lt"/>
              <a:ea typeface="+mn-ea"/>
              <a:cs typeface="Arial" panose="020B0604020202020204" pitchFamily="34" charset="0"/>
            </a:rPr>
            <a:t>1 + Retail Margin (previous decision)</a:t>
          </a:r>
        </a:p>
      </xdr:txBody>
    </xdr:sp>
    <xdr:clientData/>
  </xdr:twoCellAnchor>
  <xdr:twoCellAnchor>
    <xdr:from>
      <xdr:col>8</xdr:col>
      <xdr:colOff>85985</xdr:colOff>
      <xdr:row>61</xdr:row>
      <xdr:rowOff>100854</xdr:rowOff>
    </xdr:from>
    <xdr:to>
      <xdr:col>8</xdr:col>
      <xdr:colOff>1606869</xdr:colOff>
      <xdr:row>68</xdr:row>
      <xdr:rowOff>29816</xdr:rowOff>
    </xdr:to>
    <xdr:sp macro="" textlink="">
      <xdr:nvSpPr>
        <xdr:cNvPr id="162" name="Rectangle 161">
          <a:extLst>
            <a:ext uri="{FF2B5EF4-FFF2-40B4-BE49-F238E27FC236}">
              <a16:creationId xmlns:a16="http://schemas.microsoft.com/office/drawing/2014/main" id="{21A4DC95-7096-4AD2-9AA7-F00D940C64D4}"/>
            </a:ext>
          </a:extLst>
        </xdr:cNvPr>
        <xdr:cNvSpPr/>
      </xdr:nvSpPr>
      <xdr:spPr>
        <a:xfrm>
          <a:off x="12759838" y="13917707"/>
          <a:ext cx="1520884" cy="1262462"/>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bg1"/>
              </a:solidFill>
              <a:latin typeface="+mj-lt"/>
              <a:ea typeface="+mn-ea"/>
              <a:cs typeface="Arial" panose="020B0604020202020204" pitchFamily="34" charset="0"/>
            </a:rPr>
            <a:t>GST factor</a:t>
          </a:r>
        </a:p>
        <a:p>
          <a:pPr marL="0" indent="0" algn="ctr"/>
          <a:endParaRPr lang="en-AU" sz="900" b="1">
            <a:solidFill>
              <a:schemeClr val="bg1"/>
            </a:solidFill>
            <a:latin typeface="+mj-lt"/>
            <a:ea typeface="+mn-ea"/>
            <a:cs typeface="Arial" panose="020B0604020202020204" pitchFamily="34" charset="0"/>
          </a:endParaRPr>
        </a:p>
        <a:p>
          <a:pPr marL="0" indent="0" algn="ctr"/>
          <a:endParaRPr lang="en-AU" sz="900" b="1">
            <a:solidFill>
              <a:schemeClr val="bg1"/>
            </a:solidFill>
            <a:latin typeface="+mj-lt"/>
            <a:ea typeface="+mn-ea"/>
            <a:cs typeface="Arial" panose="020B0604020202020204" pitchFamily="34" charset="0"/>
          </a:endParaRPr>
        </a:p>
        <a:p>
          <a:pPr marL="0" indent="0" algn="ctr"/>
          <a:r>
            <a:rPr lang="en-AU" sz="900" b="1">
              <a:solidFill>
                <a:schemeClr val="bg1"/>
              </a:solidFill>
              <a:latin typeface="+mj-lt"/>
              <a:ea typeface="+mn-ea"/>
              <a:cs typeface="Arial" panose="020B0604020202020204" pitchFamily="34" charset="0"/>
            </a:rPr>
            <a:t>1 + GST rate</a:t>
          </a:r>
        </a:p>
      </xdr:txBody>
    </xdr:sp>
    <xdr:clientData/>
  </xdr:twoCellAnchor>
  <xdr:twoCellAnchor>
    <xdr:from>
      <xdr:col>4</xdr:col>
      <xdr:colOff>1263463</xdr:colOff>
      <xdr:row>63</xdr:row>
      <xdr:rowOff>119515</xdr:rowOff>
    </xdr:from>
    <xdr:to>
      <xdr:col>5</xdr:col>
      <xdr:colOff>944179</xdr:colOff>
      <xdr:row>67</xdr:row>
      <xdr:rowOff>76514</xdr:rowOff>
    </xdr:to>
    <xdr:sp macro="" textlink="">
      <xdr:nvSpPr>
        <xdr:cNvPr id="192" name="Rectangle 191">
          <a:extLst>
            <a:ext uri="{FF2B5EF4-FFF2-40B4-BE49-F238E27FC236}">
              <a16:creationId xmlns:a16="http://schemas.microsoft.com/office/drawing/2014/main" id="{2B4DDC14-61DC-49A5-9A2D-4FC457FA5832}"/>
            </a:ext>
          </a:extLst>
        </xdr:cNvPr>
        <xdr:cNvSpPr/>
      </xdr:nvSpPr>
      <xdr:spPr>
        <a:xfrm>
          <a:off x="7079316" y="14317368"/>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900" b="1" i="0" u="none" strike="noStrike" kern="0" cap="none" spc="0" normalizeH="0" baseline="0" noProof="0">
              <a:ln>
                <a:noFill/>
              </a:ln>
              <a:solidFill>
                <a:prstClr val="black"/>
              </a:solidFill>
              <a:effectLst/>
              <a:uLnTx/>
              <a:uFillTx/>
              <a:latin typeface="Calibri Light" panose="020F0302020204030204"/>
              <a:ea typeface="+mn-ea"/>
              <a:cs typeface="Arial" panose="020B0604020202020204" pitchFamily="34" charset="0"/>
            </a:rPr>
            <a:t>Cost allowance in previous decision ($)</a:t>
          </a:r>
          <a:r>
            <a:rPr lang="en-AU" sz="900" b="1">
              <a:solidFill>
                <a:schemeClr val="tx1"/>
              </a:solidFill>
              <a:latin typeface="+mj-lt"/>
              <a:ea typeface="+mn-ea"/>
              <a:cs typeface="Arial" panose="020B0604020202020204" pitchFamily="34" charset="0"/>
            </a:rPr>
            <a:t> </a:t>
          </a:r>
        </a:p>
      </xdr:txBody>
    </xdr:sp>
    <xdr:clientData/>
  </xdr:twoCellAnchor>
  <xdr:twoCellAnchor>
    <xdr:from>
      <xdr:col>5</xdr:col>
      <xdr:colOff>1256905</xdr:colOff>
      <xdr:row>63</xdr:row>
      <xdr:rowOff>119515</xdr:rowOff>
    </xdr:from>
    <xdr:to>
      <xdr:col>6</xdr:col>
      <xdr:colOff>937621</xdr:colOff>
      <xdr:row>67</xdr:row>
      <xdr:rowOff>76514</xdr:rowOff>
    </xdr:to>
    <xdr:sp macro="" textlink="">
      <xdr:nvSpPr>
        <xdr:cNvPr id="193" name="Rectangle 192">
          <a:extLst>
            <a:ext uri="{FF2B5EF4-FFF2-40B4-BE49-F238E27FC236}">
              <a16:creationId xmlns:a16="http://schemas.microsoft.com/office/drawing/2014/main" id="{DCEB23C5-93EA-4DFC-A6C3-0549A63615D7}"/>
            </a:ext>
          </a:extLst>
        </xdr:cNvPr>
        <xdr:cNvSpPr/>
      </xdr:nvSpPr>
      <xdr:spPr>
        <a:xfrm>
          <a:off x="8787258" y="14317368"/>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marL="0" indent="0" algn="ctr"/>
          <a:r>
            <a:rPr lang="en-AU" sz="900" b="1">
              <a:solidFill>
                <a:schemeClr val="tx1"/>
              </a:solidFill>
              <a:latin typeface="+mj-lt"/>
              <a:ea typeface="+mn-ea"/>
              <a:cs typeface="Arial" panose="020B0604020202020204" pitchFamily="34" charset="0"/>
            </a:rPr>
            <a:t>Proportion of actual cost period to the decision period (%)</a:t>
          </a:r>
        </a:p>
      </xdr:txBody>
    </xdr:sp>
    <xdr:clientData/>
  </xdr:twoCellAnchor>
  <xdr:twoCellAnchor>
    <xdr:from>
      <xdr:col>2</xdr:col>
      <xdr:colOff>1804343</xdr:colOff>
      <xdr:row>64</xdr:row>
      <xdr:rowOff>156847</xdr:rowOff>
    </xdr:from>
    <xdr:to>
      <xdr:col>2</xdr:col>
      <xdr:colOff>2063899</xdr:colOff>
      <xdr:row>64</xdr:row>
      <xdr:rowOff>156847</xdr:rowOff>
    </xdr:to>
    <xdr:cxnSp macro="">
      <xdr:nvCxnSpPr>
        <xdr:cNvPr id="202" name="Straight Arrow Connector 201">
          <a:extLst>
            <a:ext uri="{FF2B5EF4-FFF2-40B4-BE49-F238E27FC236}">
              <a16:creationId xmlns:a16="http://schemas.microsoft.com/office/drawing/2014/main" id="{7D858B78-A01C-476D-8C85-171CD011917C}"/>
            </a:ext>
          </a:extLst>
        </xdr:cNvPr>
        <xdr:cNvCxnSpPr/>
      </xdr:nvCxnSpPr>
      <xdr:spPr>
        <a:xfrm>
          <a:off x="2521519" y="14545200"/>
          <a:ext cx="259556"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129226</xdr:colOff>
      <xdr:row>61</xdr:row>
      <xdr:rowOff>123265</xdr:rowOff>
    </xdr:from>
    <xdr:to>
      <xdr:col>2</xdr:col>
      <xdr:colOff>1650110</xdr:colOff>
      <xdr:row>68</xdr:row>
      <xdr:rowOff>26418</xdr:rowOff>
    </xdr:to>
    <xdr:sp macro="" textlink="">
      <xdr:nvSpPr>
        <xdr:cNvPr id="203" name="Rectangle 202">
          <a:extLst>
            <a:ext uri="{FF2B5EF4-FFF2-40B4-BE49-F238E27FC236}">
              <a16:creationId xmlns:a16="http://schemas.microsoft.com/office/drawing/2014/main" id="{1678BC32-2903-477E-B2A2-F772F04A3279}"/>
            </a:ext>
          </a:extLst>
        </xdr:cNvPr>
        <xdr:cNvSpPr/>
      </xdr:nvSpPr>
      <xdr:spPr>
        <a:xfrm>
          <a:off x="846402" y="13940118"/>
          <a:ext cx="1520884" cy="1236653"/>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Fixed true up cost  ($)</a:t>
          </a:r>
        </a:p>
      </xdr:txBody>
    </xdr:sp>
    <xdr:clientData/>
  </xdr:twoCellAnchor>
  <xdr:twoCellAnchor>
    <xdr:from>
      <xdr:col>2</xdr:col>
      <xdr:colOff>33617</xdr:colOff>
      <xdr:row>77</xdr:row>
      <xdr:rowOff>89647</xdr:rowOff>
    </xdr:from>
    <xdr:to>
      <xdr:col>2</xdr:col>
      <xdr:colOff>1730920</xdr:colOff>
      <xdr:row>92</xdr:row>
      <xdr:rowOff>177984</xdr:rowOff>
    </xdr:to>
    <xdr:grpSp>
      <xdr:nvGrpSpPr>
        <xdr:cNvPr id="209" name="Group 208">
          <a:extLst>
            <a:ext uri="{FF2B5EF4-FFF2-40B4-BE49-F238E27FC236}">
              <a16:creationId xmlns:a16="http://schemas.microsoft.com/office/drawing/2014/main" id="{80413A40-E748-4AE1-AC91-84D10A232C57}"/>
            </a:ext>
          </a:extLst>
        </xdr:cNvPr>
        <xdr:cNvGrpSpPr/>
      </xdr:nvGrpSpPr>
      <xdr:grpSpPr>
        <a:xfrm>
          <a:off x="739588" y="15452912"/>
          <a:ext cx="1697303" cy="2945837"/>
          <a:chOff x="13982274" y="9016796"/>
          <a:chExt cx="1697303" cy="2945837"/>
        </a:xfrm>
      </xdr:grpSpPr>
      <xdr:sp macro="" textlink="">
        <xdr:nvSpPr>
          <xdr:cNvPr id="210" name="Rectangle 209">
            <a:extLst>
              <a:ext uri="{FF2B5EF4-FFF2-40B4-BE49-F238E27FC236}">
                <a16:creationId xmlns:a16="http://schemas.microsoft.com/office/drawing/2014/main" id="{3D4785E9-97CD-4DA7-87B1-8A52D8EB7B66}"/>
              </a:ext>
            </a:extLst>
          </xdr:cNvPr>
          <xdr:cNvSpPr/>
        </xdr:nvSpPr>
        <xdr:spPr>
          <a:xfrm>
            <a:off x="13982274" y="9016796"/>
            <a:ext cx="1697303" cy="2945837"/>
          </a:xfrm>
          <a:prstGeom prst="rect">
            <a:avLst/>
          </a:prstGeom>
          <a:noFill/>
          <a:ln w="25400">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AU" sz="1050" b="1">
                <a:solidFill>
                  <a:sysClr val="windowText" lastClr="000000"/>
                </a:solidFill>
                <a:latin typeface="+mj-lt"/>
              </a:rPr>
              <a:t>True up tariffs</a:t>
            </a:r>
            <a:endParaRPr lang="en-AU" sz="1050" b="0">
              <a:solidFill>
                <a:sysClr val="windowText" lastClr="000000"/>
              </a:solidFill>
              <a:latin typeface="+mj-lt"/>
            </a:endParaRPr>
          </a:p>
        </xdr:txBody>
      </xdr:sp>
      <xdr:sp macro="" textlink="">
        <xdr:nvSpPr>
          <xdr:cNvPr id="211" name="Rectangle 210">
            <a:extLst>
              <a:ext uri="{FF2B5EF4-FFF2-40B4-BE49-F238E27FC236}">
                <a16:creationId xmlns:a16="http://schemas.microsoft.com/office/drawing/2014/main" id="{E9B499BA-FCCE-4A15-9D41-73E32C0464AE}"/>
              </a:ext>
            </a:extLst>
          </xdr:cNvPr>
          <xdr:cNvSpPr/>
        </xdr:nvSpPr>
        <xdr:spPr>
          <a:xfrm>
            <a:off x="14057156" y="9288748"/>
            <a:ext cx="1554829" cy="1150399"/>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True up Supply Charge ($/day)</a:t>
            </a:r>
          </a:p>
        </xdr:txBody>
      </xdr:sp>
      <xdr:sp macro="" textlink="">
        <xdr:nvSpPr>
          <xdr:cNvPr id="212" name="Rectangle 211">
            <a:extLst>
              <a:ext uri="{FF2B5EF4-FFF2-40B4-BE49-F238E27FC236}">
                <a16:creationId xmlns:a16="http://schemas.microsoft.com/office/drawing/2014/main" id="{9F19BB92-99BC-4072-84C0-645CAB64F228}"/>
              </a:ext>
            </a:extLst>
          </xdr:cNvPr>
          <xdr:cNvSpPr/>
        </xdr:nvSpPr>
        <xdr:spPr>
          <a:xfrm>
            <a:off x="14054075" y="10726748"/>
            <a:ext cx="1554829" cy="1150398"/>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True up Variable Charge ($/kWh)</a:t>
            </a:r>
          </a:p>
        </xdr:txBody>
      </xdr:sp>
    </xdr:grpSp>
    <xdr:clientData/>
  </xdr:twoCellAnchor>
  <xdr:twoCellAnchor>
    <xdr:from>
      <xdr:col>2</xdr:col>
      <xdr:colOff>1804343</xdr:colOff>
      <xdr:row>81</xdr:row>
      <xdr:rowOff>179259</xdr:rowOff>
    </xdr:from>
    <xdr:to>
      <xdr:col>2</xdr:col>
      <xdr:colOff>2063899</xdr:colOff>
      <xdr:row>81</xdr:row>
      <xdr:rowOff>179259</xdr:rowOff>
    </xdr:to>
    <xdr:cxnSp macro="">
      <xdr:nvCxnSpPr>
        <xdr:cNvPr id="213" name="Straight Arrow Connector 212">
          <a:extLst>
            <a:ext uri="{FF2B5EF4-FFF2-40B4-BE49-F238E27FC236}">
              <a16:creationId xmlns:a16="http://schemas.microsoft.com/office/drawing/2014/main" id="{48C79257-BB51-4949-A2EF-350E6CFFE9D3}"/>
            </a:ext>
          </a:extLst>
        </xdr:cNvPr>
        <xdr:cNvCxnSpPr/>
      </xdr:nvCxnSpPr>
      <xdr:spPr>
        <a:xfrm>
          <a:off x="2521519" y="16282112"/>
          <a:ext cx="259556"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1804343</xdr:colOff>
      <xdr:row>89</xdr:row>
      <xdr:rowOff>78406</xdr:rowOff>
    </xdr:from>
    <xdr:to>
      <xdr:col>2</xdr:col>
      <xdr:colOff>2063899</xdr:colOff>
      <xdr:row>89</xdr:row>
      <xdr:rowOff>78406</xdr:rowOff>
    </xdr:to>
    <xdr:cxnSp macro="">
      <xdr:nvCxnSpPr>
        <xdr:cNvPr id="214" name="Straight Arrow Connector 213">
          <a:extLst>
            <a:ext uri="{FF2B5EF4-FFF2-40B4-BE49-F238E27FC236}">
              <a16:creationId xmlns:a16="http://schemas.microsoft.com/office/drawing/2014/main" id="{F9E0149B-DBCC-4118-ABED-1F56402FE422}"/>
            </a:ext>
          </a:extLst>
        </xdr:cNvPr>
        <xdr:cNvCxnSpPr/>
      </xdr:nvCxnSpPr>
      <xdr:spPr>
        <a:xfrm>
          <a:off x="2521519" y="17705259"/>
          <a:ext cx="259556"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2386853</xdr:colOff>
      <xdr:row>80</xdr:row>
      <xdr:rowOff>44824</xdr:rowOff>
    </xdr:from>
    <xdr:to>
      <xdr:col>3</xdr:col>
      <xdr:colOff>356188</xdr:colOff>
      <xdr:row>83</xdr:row>
      <xdr:rowOff>127272</xdr:rowOff>
    </xdr:to>
    <xdr:sp macro="" textlink="">
      <xdr:nvSpPr>
        <xdr:cNvPr id="274" name="Rectangle 273">
          <a:extLst>
            <a:ext uri="{FF2B5EF4-FFF2-40B4-BE49-F238E27FC236}">
              <a16:creationId xmlns:a16="http://schemas.microsoft.com/office/drawing/2014/main" id="{D1CEA11A-E9E9-42B8-BA42-83FF4CA5B5EF}"/>
            </a:ext>
          </a:extLst>
        </xdr:cNvPr>
        <xdr:cNvSpPr/>
      </xdr:nvSpPr>
      <xdr:spPr>
        <a:xfrm>
          <a:off x="3104029" y="15957177"/>
          <a:ext cx="1353512" cy="653948"/>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Fixed true up  cost ($)</a:t>
          </a:r>
        </a:p>
      </xdr:txBody>
    </xdr:sp>
    <xdr:clientData/>
  </xdr:twoCellAnchor>
  <xdr:twoCellAnchor>
    <xdr:from>
      <xdr:col>3</xdr:col>
      <xdr:colOff>470647</xdr:colOff>
      <xdr:row>80</xdr:row>
      <xdr:rowOff>112060</xdr:rowOff>
    </xdr:from>
    <xdr:to>
      <xdr:col>3</xdr:col>
      <xdr:colOff>784412</xdr:colOff>
      <xdr:row>83</xdr:row>
      <xdr:rowOff>100853</xdr:rowOff>
    </xdr:to>
    <xdr:sp macro="" textlink="">
      <xdr:nvSpPr>
        <xdr:cNvPr id="100" name="Division Sign 99">
          <a:extLst>
            <a:ext uri="{FF2B5EF4-FFF2-40B4-BE49-F238E27FC236}">
              <a16:creationId xmlns:a16="http://schemas.microsoft.com/office/drawing/2014/main" id="{2E2343FF-69EA-44B0-9917-B5450728EAA1}"/>
            </a:ext>
          </a:extLst>
        </xdr:cNvPr>
        <xdr:cNvSpPr/>
      </xdr:nvSpPr>
      <xdr:spPr>
        <a:xfrm>
          <a:off x="4572000" y="16024413"/>
          <a:ext cx="313765" cy="560293"/>
        </a:xfrm>
        <a:prstGeom prst="mathDivide">
          <a:avLst>
            <a:gd name="adj1" fmla="val 5502"/>
            <a:gd name="adj2" fmla="val 7682"/>
            <a:gd name="adj3" fmla="val 5826"/>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493059</xdr:colOff>
      <xdr:row>64</xdr:row>
      <xdr:rowOff>112057</xdr:rowOff>
    </xdr:from>
    <xdr:to>
      <xdr:col>3</xdr:col>
      <xdr:colOff>853059</xdr:colOff>
      <xdr:row>66</xdr:row>
      <xdr:rowOff>91057</xdr:rowOff>
    </xdr:to>
    <xdr:sp macro="" textlink="">
      <xdr:nvSpPr>
        <xdr:cNvPr id="104" name="Multiplication Sign 103">
          <a:extLst>
            <a:ext uri="{FF2B5EF4-FFF2-40B4-BE49-F238E27FC236}">
              <a16:creationId xmlns:a16="http://schemas.microsoft.com/office/drawing/2014/main" id="{397DAF89-FB2F-43C5-B383-FDA5BAA75243}"/>
            </a:ext>
          </a:extLst>
        </xdr:cNvPr>
        <xdr:cNvSpPr/>
      </xdr:nvSpPr>
      <xdr:spPr>
        <a:xfrm>
          <a:off x="4594412" y="14500410"/>
          <a:ext cx="360000" cy="360000"/>
        </a:xfrm>
        <a:prstGeom prst="mathMultiply">
          <a:avLst>
            <a:gd name="adj1" fmla="val 1209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930088</xdr:colOff>
      <xdr:row>64</xdr:row>
      <xdr:rowOff>112057</xdr:rowOff>
    </xdr:from>
    <xdr:to>
      <xdr:col>5</xdr:col>
      <xdr:colOff>1290088</xdr:colOff>
      <xdr:row>66</xdr:row>
      <xdr:rowOff>91057</xdr:rowOff>
    </xdr:to>
    <xdr:sp macro="" textlink="">
      <xdr:nvSpPr>
        <xdr:cNvPr id="275" name="Multiplication Sign 274">
          <a:extLst>
            <a:ext uri="{FF2B5EF4-FFF2-40B4-BE49-F238E27FC236}">
              <a16:creationId xmlns:a16="http://schemas.microsoft.com/office/drawing/2014/main" id="{1DE5BEB6-DF5B-42DA-8606-ACBF9B3DD9D5}"/>
            </a:ext>
          </a:extLst>
        </xdr:cNvPr>
        <xdr:cNvSpPr/>
      </xdr:nvSpPr>
      <xdr:spPr>
        <a:xfrm>
          <a:off x="8460441" y="14500410"/>
          <a:ext cx="360000" cy="360000"/>
        </a:xfrm>
        <a:prstGeom prst="mathMultiply">
          <a:avLst>
            <a:gd name="adj1" fmla="val 1209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728382</xdr:colOff>
      <xdr:row>65</xdr:row>
      <xdr:rowOff>22412</xdr:rowOff>
    </xdr:from>
    <xdr:to>
      <xdr:col>4</xdr:col>
      <xdr:colOff>1088382</xdr:colOff>
      <xdr:row>65</xdr:row>
      <xdr:rowOff>166412</xdr:rowOff>
    </xdr:to>
    <xdr:sp macro="" textlink="">
      <xdr:nvSpPr>
        <xdr:cNvPr id="105" name="Minus Sign 104">
          <a:extLst>
            <a:ext uri="{FF2B5EF4-FFF2-40B4-BE49-F238E27FC236}">
              <a16:creationId xmlns:a16="http://schemas.microsoft.com/office/drawing/2014/main" id="{67074131-39EA-43DE-89A7-7D89D3B412FD}"/>
            </a:ext>
          </a:extLst>
        </xdr:cNvPr>
        <xdr:cNvSpPr/>
      </xdr:nvSpPr>
      <xdr:spPr>
        <a:xfrm>
          <a:off x="6544235" y="14601265"/>
          <a:ext cx="360000" cy="144000"/>
        </a:xfrm>
        <a:prstGeom prst="mathMinus">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459440</xdr:colOff>
      <xdr:row>54</xdr:row>
      <xdr:rowOff>112060</xdr:rowOff>
    </xdr:from>
    <xdr:to>
      <xdr:col>3</xdr:col>
      <xdr:colOff>819440</xdr:colOff>
      <xdr:row>56</xdr:row>
      <xdr:rowOff>89648</xdr:rowOff>
    </xdr:to>
    <xdr:sp macro="" textlink="">
      <xdr:nvSpPr>
        <xdr:cNvPr id="106" name="Plus Sign 105">
          <a:extLst>
            <a:ext uri="{FF2B5EF4-FFF2-40B4-BE49-F238E27FC236}">
              <a16:creationId xmlns:a16="http://schemas.microsoft.com/office/drawing/2014/main" id="{D43FC991-9A44-43DE-A68F-E527684CF17A}"/>
            </a:ext>
          </a:extLst>
        </xdr:cNvPr>
        <xdr:cNvSpPr/>
      </xdr:nvSpPr>
      <xdr:spPr>
        <a:xfrm>
          <a:off x="4560793" y="11642913"/>
          <a:ext cx="360000" cy="358588"/>
        </a:xfrm>
        <a:prstGeom prst="mathPlus">
          <a:avLst>
            <a:gd name="adj1" fmla="val 13996"/>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1400735</xdr:colOff>
      <xdr:row>64</xdr:row>
      <xdr:rowOff>22409</xdr:rowOff>
    </xdr:from>
    <xdr:to>
      <xdr:col>8</xdr:col>
      <xdr:colOff>10235</xdr:colOff>
      <xdr:row>66</xdr:row>
      <xdr:rowOff>1409</xdr:rowOff>
    </xdr:to>
    <xdr:sp macro="" textlink="">
      <xdr:nvSpPr>
        <xdr:cNvPr id="277" name="Multiplication Sign 276">
          <a:extLst>
            <a:ext uri="{FF2B5EF4-FFF2-40B4-BE49-F238E27FC236}">
              <a16:creationId xmlns:a16="http://schemas.microsoft.com/office/drawing/2014/main" id="{6C0A3F39-7700-4670-954C-977E7A41874E}"/>
            </a:ext>
          </a:extLst>
        </xdr:cNvPr>
        <xdr:cNvSpPr/>
      </xdr:nvSpPr>
      <xdr:spPr>
        <a:xfrm>
          <a:off x="12360088" y="14410762"/>
          <a:ext cx="324000" cy="360000"/>
        </a:xfrm>
        <a:prstGeom prst="mathMultiply">
          <a:avLst>
            <a:gd name="adj1" fmla="val 12092"/>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582705</xdr:colOff>
      <xdr:row>54</xdr:row>
      <xdr:rowOff>112060</xdr:rowOff>
    </xdr:from>
    <xdr:to>
      <xdr:col>4</xdr:col>
      <xdr:colOff>870705</xdr:colOff>
      <xdr:row>56</xdr:row>
      <xdr:rowOff>19060</xdr:rowOff>
    </xdr:to>
    <xdr:sp macro="" textlink="">
      <xdr:nvSpPr>
        <xdr:cNvPr id="280" name="Plus Sign 279">
          <a:extLst>
            <a:ext uri="{FF2B5EF4-FFF2-40B4-BE49-F238E27FC236}">
              <a16:creationId xmlns:a16="http://schemas.microsoft.com/office/drawing/2014/main" id="{D5DE4DFF-5F9E-46BF-97E3-D71C66505D71}"/>
            </a:ext>
          </a:extLst>
        </xdr:cNvPr>
        <xdr:cNvSpPr/>
      </xdr:nvSpPr>
      <xdr:spPr>
        <a:xfrm>
          <a:off x="6398558" y="11642913"/>
          <a:ext cx="288000" cy="288000"/>
        </a:xfrm>
        <a:prstGeom prst="mathPlus">
          <a:avLst>
            <a:gd name="adj1" fmla="val 13996"/>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571499</xdr:colOff>
      <xdr:row>54</xdr:row>
      <xdr:rowOff>112060</xdr:rowOff>
    </xdr:from>
    <xdr:to>
      <xdr:col>5</xdr:col>
      <xdr:colOff>859499</xdr:colOff>
      <xdr:row>56</xdr:row>
      <xdr:rowOff>19060</xdr:rowOff>
    </xdr:to>
    <xdr:sp macro="" textlink="">
      <xdr:nvSpPr>
        <xdr:cNvPr id="281" name="Plus Sign 280">
          <a:extLst>
            <a:ext uri="{FF2B5EF4-FFF2-40B4-BE49-F238E27FC236}">
              <a16:creationId xmlns:a16="http://schemas.microsoft.com/office/drawing/2014/main" id="{2E256C17-3C2B-4992-9D76-F26FDD355EDD}"/>
            </a:ext>
          </a:extLst>
        </xdr:cNvPr>
        <xdr:cNvSpPr/>
      </xdr:nvSpPr>
      <xdr:spPr>
        <a:xfrm>
          <a:off x="8101852" y="11642913"/>
          <a:ext cx="288000" cy="288000"/>
        </a:xfrm>
        <a:prstGeom prst="mathPlus">
          <a:avLst>
            <a:gd name="adj1" fmla="val 13996"/>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1131794</xdr:colOff>
      <xdr:row>54</xdr:row>
      <xdr:rowOff>22409</xdr:rowOff>
    </xdr:from>
    <xdr:to>
      <xdr:col>8</xdr:col>
      <xdr:colOff>1455794</xdr:colOff>
      <xdr:row>56</xdr:row>
      <xdr:rowOff>1409</xdr:rowOff>
    </xdr:to>
    <xdr:sp macro="" textlink="">
      <xdr:nvSpPr>
        <xdr:cNvPr id="282" name="Multiplication Sign 281">
          <a:extLst>
            <a:ext uri="{FF2B5EF4-FFF2-40B4-BE49-F238E27FC236}">
              <a16:creationId xmlns:a16="http://schemas.microsoft.com/office/drawing/2014/main" id="{05287BFC-CCA1-4DEA-B930-083F7ED76691}"/>
            </a:ext>
          </a:extLst>
        </xdr:cNvPr>
        <xdr:cNvSpPr/>
      </xdr:nvSpPr>
      <xdr:spPr>
        <a:xfrm>
          <a:off x="13805647" y="11553262"/>
          <a:ext cx="324000" cy="360000"/>
        </a:xfrm>
        <a:prstGeom prst="mathMultiply">
          <a:avLst>
            <a:gd name="adj1" fmla="val 12092"/>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795618</xdr:colOff>
      <xdr:row>54</xdr:row>
      <xdr:rowOff>22409</xdr:rowOff>
    </xdr:from>
    <xdr:to>
      <xdr:col>7</xdr:col>
      <xdr:colOff>1119618</xdr:colOff>
      <xdr:row>56</xdr:row>
      <xdr:rowOff>1409</xdr:rowOff>
    </xdr:to>
    <xdr:sp macro="" textlink="">
      <xdr:nvSpPr>
        <xdr:cNvPr id="283" name="Multiplication Sign 282">
          <a:extLst>
            <a:ext uri="{FF2B5EF4-FFF2-40B4-BE49-F238E27FC236}">
              <a16:creationId xmlns:a16="http://schemas.microsoft.com/office/drawing/2014/main" id="{75AE752A-C358-46E8-B414-C76805CBBE3F}"/>
            </a:ext>
          </a:extLst>
        </xdr:cNvPr>
        <xdr:cNvSpPr/>
      </xdr:nvSpPr>
      <xdr:spPr>
        <a:xfrm>
          <a:off x="11754971" y="11553262"/>
          <a:ext cx="324000" cy="360000"/>
        </a:xfrm>
        <a:prstGeom prst="mathMultiply">
          <a:avLst>
            <a:gd name="adj1" fmla="val 12092"/>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627530</xdr:colOff>
      <xdr:row>54</xdr:row>
      <xdr:rowOff>100851</xdr:rowOff>
    </xdr:from>
    <xdr:to>
      <xdr:col>6</xdr:col>
      <xdr:colOff>987530</xdr:colOff>
      <xdr:row>56</xdr:row>
      <xdr:rowOff>79851</xdr:rowOff>
    </xdr:to>
    <xdr:sp macro="" textlink="">
      <xdr:nvSpPr>
        <xdr:cNvPr id="285" name="Multiplication Sign 284">
          <a:extLst>
            <a:ext uri="{FF2B5EF4-FFF2-40B4-BE49-F238E27FC236}">
              <a16:creationId xmlns:a16="http://schemas.microsoft.com/office/drawing/2014/main" id="{8A71F486-3ED0-43AE-AC30-14D6E309853B}"/>
            </a:ext>
          </a:extLst>
        </xdr:cNvPr>
        <xdr:cNvSpPr/>
      </xdr:nvSpPr>
      <xdr:spPr>
        <a:xfrm>
          <a:off x="9872383" y="11631704"/>
          <a:ext cx="360000" cy="360000"/>
        </a:xfrm>
        <a:prstGeom prst="mathMultiply">
          <a:avLst>
            <a:gd name="adj1" fmla="val 1209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526676</xdr:colOff>
      <xdr:row>47</xdr:row>
      <xdr:rowOff>33619</xdr:rowOff>
    </xdr:from>
    <xdr:to>
      <xdr:col>3</xdr:col>
      <xdr:colOff>814676</xdr:colOff>
      <xdr:row>48</xdr:row>
      <xdr:rowOff>131119</xdr:rowOff>
    </xdr:to>
    <xdr:sp macro="" textlink="">
      <xdr:nvSpPr>
        <xdr:cNvPr id="286" name="Plus Sign 285">
          <a:extLst>
            <a:ext uri="{FF2B5EF4-FFF2-40B4-BE49-F238E27FC236}">
              <a16:creationId xmlns:a16="http://schemas.microsoft.com/office/drawing/2014/main" id="{E706994B-F91B-4C43-887D-C0E19947D45D}"/>
            </a:ext>
          </a:extLst>
        </xdr:cNvPr>
        <xdr:cNvSpPr/>
      </xdr:nvSpPr>
      <xdr:spPr>
        <a:xfrm>
          <a:off x="4628029" y="10230972"/>
          <a:ext cx="288000" cy="288000"/>
        </a:xfrm>
        <a:prstGeom prst="mathPlus">
          <a:avLst>
            <a:gd name="adj1" fmla="val 13996"/>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515470</xdr:colOff>
      <xdr:row>47</xdr:row>
      <xdr:rowOff>33619</xdr:rowOff>
    </xdr:from>
    <xdr:to>
      <xdr:col>4</xdr:col>
      <xdr:colOff>803470</xdr:colOff>
      <xdr:row>48</xdr:row>
      <xdr:rowOff>131119</xdr:rowOff>
    </xdr:to>
    <xdr:sp macro="" textlink="">
      <xdr:nvSpPr>
        <xdr:cNvPr id="287" name="Plus Sign 286">
          <a:extLst>
            <a:ext uri="{FF2B5EF4-FFF2-40B4-BE49-F238E27FC236}">
              <a16:creationId xmlns:a16="http://schemas.microsoft.com/office/drawing/2014/main" id="{5C1D854E-3BC8-4465-B239-5012951F781E}"/>
            </a:ext>
          </a:extLst>
        </xdr:cNvPr>
        <xdr:cNvSpPr/>
      </xdr:nvSpPr>
      <xdr:spPr>
        <a:xfrm>
          <a:off x="6331323" y="10230972"/>
          <a:ext cx="288000" cy="288000"/>
        </a:xfrm>
        <a:prstGeom prst="mathPlus">
          <a:avLst>
            <a:gd name="adj1" fmla="val 13996"/>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481852</xdr:colOff>
      <xdr:row>47</xdr:row>
      <xdr:rowOff>33619</xdr:rowOff>
    </xdr:from>
    <xdr:to>
      <xdr:col>5</xdr:col>
      <xdr:colOff>769852</xdr:colOff>
      <xdr:row>48</xdr:row>
      <xdr:rowOff>131119</xdr:rowOff>
    </xdr:to>
    <xdr:sp macro="" textlink="">
      <xdr:nvSpPr>
        <xdr:cNvPr id="288" name="Plus Sign 287">
          <a:extLst>
            <a:ext uri="{FF2B5EF4-FFF2-40B4-BE49-F238E27FC236}">
              <a16:creationId xmlns:a16="http://schemas.microsoft.com/office/drawing/2014/main" id="{EE6A69B9-818D-4685-BFE9-7D7591E545AF}"/>
            </a:ext>
          </a:extLst>
        </xdr:cNvPr>
        <xdr:cNvSpPr/>
      </xdr:nvSpPr>
      <xdr:spPr>
        <a:xfrm>
          <a:off x="8012205" y="10230972"/>
          <a:ext cx="288000" cy="288000"/>
        </a:xfrm>
        <a:prstGeom prst="mathPlus">
          <a:avLst>
            <a:gd name="adj1" fmla="val 13996"/>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493058</xdr:colOff>
      <xdr:row>47</xdr:row>
      <xdr:rowOff>33619</xdr:rowOff>
    </xdr:from>
    <xdr:to>
      <xdr:col>6</xdr:col>
      <xdr:colOff>781058</xdr:colOff>
      <xdr:row>48</xdr:row>
      <xdr:rowOff>131119</xdr:rowOff>
    </xdr:to>
    <xdr:sp macro="" textlink="">
      <xdr:nvSpPr>
        <xdr:cNvPr id="289" name="Plus Sign 288">
          <a:extLst>
            <a:ext uri="{FF2B5EF4-FFF2-40B4-BE49-F238E27FC236}">
              <a16:creationId xmlns:a16="http://schemas.microsoft.com/office/drawing/2014/main" id="{CC1A0D76-69AB-486D-9DEA-A23861356424}"/>
            </a:ext>
          </a:extLst>
        </xdr:cNvPr>
        <xdr:cNvSpPr/>
      </xdr:nvSpPr>
      <xdr:spPr>
        <a:xfrm>
          <a:off x="9737911" y="10230972"/>
          <a:ext cx="288000" cy="288000"/>
        </a:xfrm>
        <a:prstGeom prst="mathPlus">
          <a:avLst>
            <a:gd name="adj1" fmla="val 13996"/>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1131794</xdr:colOff>
      <xdr:row>46</xdr:row>
      <xdr:rowOff>100850</xdr:rowOff>
    </xdr:from>
    <xdr:to>
      <xdr:col>8</xdr:col>
      <xdr:colOff>1455794</xdr:colOff>
      <xdr:row>48</xdr:row>
      <xdr:rowOff>79850</xdr:rowOff>
    </xdr:to>
    <xdr:sp macro="" textlink="">
      <xdr:nvSpPr>
        <xdr:cNvPr id="291" name="Multiplication Sign 290">
          <a:extLst>
            <a:ext uri="{FF2B5EF4-FFF2-40B4-BE49-F238E27FC236}">
              <a16:creationId xmlns:a16="http://schemas.microsoft.com/office/drawing/2014/main" id="{C35CE687-770D-4340-BD05-D4C2E0CE745A}"/>
            </a:ext>
          </a:extLst>
        </xdr:cNvPr>
        <xdr:cNvSpPr/>
      </xdr:nvSpPr>
      <xdr:spPr>
        <a:xfrm>
          <a:off x="13805647" y="10107703"/>
          <a:ext cx="324000" cy="360000"/>
        </a:xfrm>
        <a:prstGeom prst="mathMultiply">
          <a:avLst>
            <a:gd name="adj1" fmla="val 12092"/>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795618</xdr:colOff>
      <xdr:row>46</xdr:row>
      <xdr:rowOff>100850</xdr:rowOff>
    </xdr:from>
    <xdr:to>
      <xdr:col>7</xdr:col>
      <xdr:colOff>1119618</xdr:colOff>
      <xdr:row>48</xdr:row>
      <xdr:rowOff>79850</xdr:rowOff>
    </xdr:to>
    <xdr:sp macro="" textlink="">
      <xdr:nvSpPr>
        <xdr:cNvPr id="292" name="Multiplication Sign 291">
          <a:extLst>
            <a:ext uri="{FF2B5EF4-FFF2-40B4-BE49-F238E27FC236}">
              <a16:creationId xmlns:a16="http://schemas.microsoft.com/office/drawing/2014/main" id="{2B138E9A-EE55-4976-BC53-5A68B25A837C}"/>
            </a:ext>
          </a:extLst>
        </xdr:cNvPr>
        <xdr:cNvSpPr/>
      </xdr:nvSpPr>
      <xdr:spPr>
        <a:xfrm>
          <a:off x="11754971" y="10107703"/>
          <a:ext cx="324000" cy="360000"/>
        </a:xfrm>
        <a:prstGeom prst="mathMultiply">
          <a:avLst>
            <a:gd name="adj1" fmla="val 12092"/>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819876</xdr:colOff>
      <xdr:row>80</xdr:row>
      <xdr:rowOff>18662</xdr:rowOff>
    </xdr:from>
    <xdr:to>
      <xdr:col>4</xdr:col>
      <xdr:colOff>500592</xdr:colOff>
      <xdr:row>83</xdr:row>
      <xdr:rowOff>166161</xdr:rowOff>
    </xdr:to>
    <xdr:sp macro="" textlink="">
      <xdr:nvSpPr>
        <xdr:cNvPr id="300" name="Rectangle 299">
          <a:extLst>
            <a:ext uri="{FF2B5EF4-FFF2-40B4-BE49-F238E27FC236}">
              <a16:creationId xmlns:a16="http://schemas.microsoft.com/office/drawing/2014/main" id="{BB4CA80F-C795-4111-AA71-2615B422CC16}"/>
            </a:ext>
          </a:extLst>
        </xdr:cNvPr>
        <xdr:cNvSpPr/>
      </xdr:nvSpPr>
      <xdr:spPr>
        <a:xfrm>
          <a:off x="4921229" y="15931015"/>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marL="0" indent="0" algn="ctr"/>
          <a:r>
            <a:rPr lang="en-AU" sz="900" b="1">
              <a:solidFill>
                <a:schemeClr val="tx1"/>
              </a:solidFill>
              <a:latin typeface="+mj-lt"/>
              <a:ea typeface="+mn-ea"/>
              <a:cs typeface="Arial" panose="020B0604020202020204" pitchFamily="34" charset="0"/>
            </a:rPr>
            <a:t>No of days in decision period</a:t>
          </a:r>
        </a:p>
      </xdr:txBody>
    </xdr:sp>
    <xdr:clientData/>
  </xdr:twoCellAnchor>
  <xdr:twoCellAnchor>
    <xdr:from>
      <xdr:col>2</xdr:col>
      <xdr:colOff>2386853</xdr:colOff>
      <xdr:row>87</xdr:row>
      <xdr:rowOff>145677</xdr:rowOff>
    </xdr:from>
    <xdr:to>
      <xdr:col>3</xdr:col>
      <xdr:colOff>356188</xdr:colOff>
      <xdr:row>91</xdr:row>
      <xdr:rowOff>37625</xdr:rowOff>
    </xdr:to>
    <xdr:sp macro="" textlink="">
      <xdr:nvSpPr>
        <xdr:cNvPr id="302" name="Rectangle 301">
          <a:extLst>
            <a:ext uri="{FF2B5EF4-FFF2-40B4-BE49-F238E27FC236}">
              <a16:creationId xmlns:a16="http://schemas.microsoft.com/office/drawing/2014/main" id="{5F2D075C-ADFB-467A-8064-7F8B578C4606}"/>
            </a:ext>
          </a:extLst>
        </xdr:cNvPr>
        <xdr:cNvSpPr/>
      </xdr:nvSpPr>
      <xdr:spPr>
        <a:xfrm>
          <a:off x="3104029" y="17391530"/>
          <a:ext cx="1353512" cy="653948"/>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Variable true up cost ($)</a:t>
          </a:r>
        </a:p>
      </xdr:txBody>
    </xdr:sp>
    <xdr:clientData/>
  </xdr:twoCellAnchor>
  <xdr:twoCellAnchor>
    <xdr:from>
      <xdr:col>3</xdr:col>
      <xdr:colOff>470647</xdr:colOff>
      <xdr:row>88</xdr:row>
      <xdr:rowOff>22413</xdr:rowOff>
    </xdr:from>
    <xdr:to>
      <xdr:col>3</xdr:col>
      <xdr:colOff>784412</xdr:colOff>
      <xdr:row>91</xdr:row>
      <xdr:rowOff>11206</xdr:rowOff>
    </xdr:to>
    <xdr:sp macro="" textlink="">
      <xdr:nvSpPr>
        <xdr:cNvPr id="303" name="Division Sign 302">
          <a:extLst>
            <a:ext uri="{FF2B5EF4-FFF2-40B4-BE49-F238E27FC236}">
              <a16:creationId xmlns:a16="http://schemas.microsoft.com/office/drawing/2014/main" id="{4648D8B4-ED86-4C71-831B-394B783852C2}"/>
            </a:ext>
          </a:extLst>
        </xdr:cNvPr>
        <xdr:cNvSpPr/>
      </xdr:nvSpPr>
      <xdr:spPr>
        <a:xfrm>
          <a:off x="4572000" y="17458766"/>
          <a:ext cx="313765" cy="560293"/>
        </a:xfrm>
        <a:prstGeom prst="mathDivide">
          <a:avLst>
            <a:gd name="adj1" fmla="val 5502"/>
            <a:gd name="adj2" fmla="val 7682"/>
            <a:gd name="adj3" fmla="val 5826"/>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874059</xdr:colOff>
      <xdr:row>86</xdr:row>
      <xdr:rowOff>91578</xdr:rowOff>
    </xdr:from>
    <xdr:to>
      <xdr:col>6</xdr:col>
      <xdr:colOff>1064558</xdr:colOff>
      <xdr:row>92</xdr:row>
      <xdr:rowOff>98976</xdr:rowOff>
    </xdr:to>
    <xdr:sp macro="" textlink="">
      <xdr:nvSpPr>
        <xdr:cNvPr id="305" name="Rectangle 304">
          <a:extLst>
            <a:ext uri="{FF2B5EF4-FFF2-40B4-BE49-F238E27FC236}">
              <a16:creationId xmlns:a16="http://schemas.microsoft.com/office/drawing/2014/main" id="{5739D8DD-16EC-463A-BF8E-4084B893CB86}"/>
            </a:ext>
          </a:extLst>
        </xdr:cNvPr>
        <xdr:cNvSpPr/>
      </xdr:nvSpPr>
      <xdr:spPr>
        <a:xfrm>
          <a:off x="4975412" y="17146931"/>
          <a:ext cx="5333999" cy="1150398"/>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marL="0" indent="0" algn="ctr"/>
          <a:r>
            <a:rPr lang="en-AU" sz="900" b="1">
              <a:solidFill>
                <a:schemeClr val="bg1"/>
              </a:solidFill>
              <a:latin typeface="+mj-lt"/>
              <a:ea typeface="+mn-ea"/>
              <a:cs typeface="Arial" panose="020B0604020202020204" pitchFamily="34" charset="0"/>
            </a:rPr>
            <a:t>Electricity consumption in the decision period</a:t>
          </a:r>
        </a:p>
      </xdr:txBody>
    </xdr:sp>
    <xdr:clientData/>
  </xdr:twoCellAnchor>
  <xdr:twoCellAnchor>
    <xdr:from>
      <xdr:col>5</xdr:col>
      <xdr:colOff>1252261</xdr:colOff>
      <xdr:row>87</xdr:row>
      <xdr:rowOff>175544</xdr:rowOff>
    </xdr:from>
    <xdr:to>
      <xdr:col>6</xdr:col>
      <xdr:colOff>932977</xdr:colOff>
      <xdr:row>91</xdr:row>
      <xdr:rowOff>132543</xdr:rowOff>
    </xdr:to>
    <xdr:sp macro="" textlink="">
      <xdr:nvSpPr>
        <xdr:cNvPr id="306" name="Rectangle 305">
          <a:extLst>
            <a:ext uri="{FF2B5EF4-FFF2-40B4-BE49-F238E27FC236}">
              <a16:creationId xmlns:a16="http://schemas.microsoft.com/office/drawing/2014/main" id="{6146A29A-734B-4F50-BC17-C28F8AC84447}"/>
            </a:ext>
          </a:extLst>
        </xdr:cNvPr>
        <xdr:cNvSpPr/>
      </xdr:nvSpPr>
      <xdr:spPr>
        <a:xfrm>
          <a:off x="8782614" y="17421397"/>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Days in year</a:t>
          </a:r>
        </a:p>
      </xdr:txBody>
    </xdr:sp>
    <xdr:clientData/>
  </xdr:twoCellAnchor>
  <xdr:twoCellAnchor>
    <xdr:from>
      <xdr:col>4</xdr:col>
      <xdr:colOff>1156056</xdr:colOff>
      <xdr:row>87</xdr:row>
      <xdr:rowOff>175544</xdr:rowOff>
    </xdr:from>
    <xdr:to>
      <xdr:col>5</xdr:col>
      <xdr:colOff>836772</xdr:colOff>
      <xdr:row>91</xdr:row>
      <xdr:rowOff>132543</xdr:rowOff>
    </xdr:to>
    <xdr:sp macro="" textlink="">
      <xdr:nvSpPr>
        <xdr:cNvPr id="307" name="Rectangle 306">
          <a:extLst>
            <a:ext uri="{FF2B5EF4-FFF2-40B4-BE49-F238E27FC236}">
              <a16:creationId xmlns:a16="http://schemas.microsoft.com/office/drawing/2014/main" id="{A7BD6ACE-A101-4C27-8769-F08FCFEB08E4}"/>
            </a:ext>
          </a:extLst>
        </xdr:cNvPr>
        <xdr:cNvSpPr/>
      </xdr:nvSpPr>
      <xdr:spPr>
        <a:xfrm>
          <a:off x="6971909" y="17421397"/>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marL="0" indent="0" algn="ctr"/>
          <a:r>
            <a:rPr lang="en-AU" sz="900" b="1">
              <a:solidFill>
                <a:schemeClr val="tx1"/>
              </a:solidFill>
              <a:latin typeface="+mj-lt"/>
              <a:ea typeface="+mn-ea"/>
              <a:cs typeface="Arial" panose="020B0604020202020204" pitchFamily="34" charset="0"/>
            </a:rPr>
            <a:t>No of days in decision period</a:t>
          </a:r>
        </a:p>
      </xdr:txBody>
    </xdr:sp>
    <xdr:clientData/>
  </xdr:twoCellAnchor>
  <xdr:twoCellAnchor>
    <xdr:from>
      <xdr:col>5</xdr:col>
      <xdr:colOff>896476</xdr:colOff>
      <xdr:row>88</xdr:row>
      <xdr:rowOff>100854</xdr:rowOff>
    </xdr:from>
    <xdr:to>
      <xdr:col>5</xdr:col>
      <xdr:colOff>1210241</xdr:colOff>
      <xdr:row>91</xdr:row>
      <xdr:rowOff>89647</xdr:rowOff>
    </xdr:to>
    <xdr:sp macro="" textlink="">
      <xdr:nvSpPr>
        <xdr:cNvPr id="308" name="Division Sign 307">
          <a:extLst>
            <a:ext uri="{FF2B5EF4-FFF2-40B4-BE49-F238E27FC236}">
              <a16:creationId xmlns:a16="http://schemas.microsoft.com/office/drawing/2014/main" id="{F1FD4628-552A-4D2A-81EF-137B9B835502}"/>
            </a:ext>
          </a:extLst>
        </xdr:cNvPr>
        <xdr:cNvSpPr/>
      </xdr:nvSpPr>
      <xdr:spPr>
        <a:xfrm>
          <a:off x="8426829" y="17537207"/>
          <a:ext cx="313765" cy="560293"/>
        </a:xfrm>
        <a:prstGeom prst="mathDivide">
          <a:avLst>
            <a:gd name="adj1" fmla="val 5502"/>
            <a:gd name="adj2" fmla="val 7682"/>
            <a:gd name="adj3" fmla="val 5826"/>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1088818</xdr:colOff>
      <xdr:row>87</xdr:row>
      <xdr:rowOff>164339</xdr:rowOff>
    </xdr:from>
    <xdr:to>
      <xdr:col>4</xdr:col>
      <xdr:colOff>769534</xdr:colOff>
      <xdr:row>91</xdr:row>
      <xdr:rowOff>121338</xdr:rowOff>
    </xdr:to>
    <xdr:sp macro="" textlink="">
      <xdr:nvSpPr>
        <xdr:cNvPr id="309" name="Rectangle 308">
          <a:extLst>
            <a:ext uri="{FF2B5EF4-FFF2-40B4-BE49-F238E27FC236}">
              <a16:creationId xmlns:a16="http://schemas.microsoft.com/office/drawing/2014/main" id="{705EBDF4-0060-441D-9397-CBE79E9CBF9F}"/>
            </a:ext>
          </a:extLst>
        </xdr:cNvPr>
        <xdr:cNvSpPr/>
      </xdr:nvSpPr>
      <xdr:spPr>
        <a:xfrm>
          <a:off x="5190171" y="17410192"/>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marL="0" indent="0" algn="ctr"/>
          <a:r>
            <a:rPr lang="en-AU" sz="900" b="1">
              <a:solidFill>
                <a:schemeClr val="tx1"/>
              </a:solidFill>
              <a:latin typeface="+mj-lt"/>
              <a:ea typeface="+mn-ea"/>
              <a:cs typeface="Arial" panose="020B0604020202020204" pitchFamily="34" charset="0"/>
            </a:rPr>
            <a:t>Electricity Consumption (kWh/year)</a:t>
          </a:r>
        </a:p>
      </xdr:txBody>
    </xdr:sp>
    <xdr:clientData/>
  </xdr:twoCellAnchor>
  <xdr:twoCellAnchor>
    <xdr:from>
      <xdr:col>4</xdr:col>
      <xdr:colOff>795618</xdr:colOff>
      <xdr:row>88</xdr:row>
      <xdr:rowOff>190497</xdr:rowOff>
    </xdr:from>
    <xdr:to>
      <xdr:col>4</xdr:col>
      <xdr:colOff>1155618</xdr:colOff>
      <xdr:row>90</xdr:row>
      <xdr:rowOff>169497</xdr:rowOff>
    </xdr:to>
    <xdr:sp macro="" textlink="">
      <xdr:nvSpPr>
        <xdr:cNvPr id="315" name="Multiplication Sign 314">
          <a:extLst>
            <a:ext uri="{FF2B5EF4-FFF2-40B4-BE49-F238E27FC236}">
              <a16:creationId xmlns:a16="http://schemas.microsoft.com/office/drawing/2014/main" id="{BF25BBD1-7480-4007-A6C1-15063B30BB84}"/>
            </a:ext>
          </a:extLst>
        </xdr:cNvPr>
        <xdr:cNvSpPr/>
      </xdr:nvSpPr>
      <xdr:spPr>
        <a:xfrm>
          <a:off x="6611471" y="17626850"/>
          <a:ext cx="360000" cy="360000"/>
        </a:xfrm>
        <a:prstGeom prst="mathMultiply">
          <a:avLst>
            <a:gd name="adj1" fmla="val 1209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1131794</xdr:colOff>
      <xdr:row>64</xdr:row>
      <xdr:rowOff>22409</xdr:rowOff>
    </xdr:from>
    <xdr:to>
      <xdr:col>6</xdr:col>
      <xdr:colOff>1455794</xdr:colOff>
      <xdr:row>66</xdr:row>
      <xdr:rowOff>1409</xdr:rowOff>
    </xdr:to>
    <xdr:sp macro="" textlink="">
      <xdr:nvSpPr>
        <xdr:cNvPr id="316" name="Multiplication Sign 315">
          <a:extLst>
            <a:ext uri="{FF2B5EF4-FFF2-40B4-BE49-F238E27FC236}">
              <a16:creationId xmlns:a16="http://schemas.microsoft.com/office/drawing/2014/main" id="{EFE8E95F-CB71-4152-8093-E492D58B34F6}"/>
            </a:ext>
          </a:extLst>
        </xdr:cNvPr>
        <xdr:cNvSpPr/>
      </xdr:nvSpPr>
      <xdr:spPr>
        <a:xfrm>
          <a:off x="10376647" y="14410762"/>
          <a:ext cx="324000" cy="360000"/>
        </a:xfrm>
        <a:prstGeom prst="mathMultiply">
          <a:avLst>
            <a:gd name="adj1" fmla="val 12092"/>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1187823</xdr:colOff>
      <xdr:row>70</xdr:row>
      <xdr:rowOff>67236</xdr:rowOff>
    </xdr:from>
    <xdr:to>
      <xdr:col>6</xdr:col>
      <xdr:colOff>1008531</xdr:colOff>
      <xdr:row>75</xdr:row>
      <xdr:rowOff>61546</xdr:rowOff>
    </xdr:to>
    <xdr:sp macro="" textlink="">
      <xdr:nvSpPr>
        <xdr:cNvPr id="317" name="TextBox 316">
          <a:extLst>
            <a:ext uri="{FF2B5EF4-FFF2-40B4-BE49-F238E27FC236}">
              <a16:creationId xmlns:a16="http://schemas.microsoft.com/office/drawing/2014/main" id="{F1AF5684-43AE-4D70-9C07-EC17F6AFF7C1}"/>
            </a:ext>
          </a:extLst>
        </xdr:cNvPr>
        <xdr:cNvSpPr txBox="1"/>
      </xdr:nvSpPr>
      <xdr:spPr>
        <a:xfrm>
          <a:off x="7003676" y="15598589"/>
          <a:ext cx="3249708" cy="946810"/>
        </a:xfrm>
        <a:prstGeom prst="rect">
          <a:avLst/>
        </a:prstGeom>
        <a:noFill/>
        <a:ln w="28575" cmpd="sng">
          <a:solidFill>
            <a:schemeClr val="bg1"/>
          </a:solidFill>
          <a:prstDash val="sysDash"/>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marL="0" indent="0" algn="ctr"/>
          <a:r>
            <a:rPr lang="en-AU" sz="900" b="1">
              <a:solidFill>
                <a:schemeClr val="bg1"/>
              </a:solidFill>
              <a:latin typeface="+mj-lt"/>
              <a:ea typeface="+mn-ea"/>
              <a:cs typeface="Arial" panose="020B0604020202020204" pitchFamily="34" charset="0"/>
            </a:rPr>
            <a:t>Cost allowance in previous decision ($)</a:t>
          </a:r>
        </a:p>
      </xdr:txBody>
    </xdr:sp>
    <xdr:clientData/>
  </xdr:twoCellAnchor>
  <xdr:twoCellAnchor>
    <xdr:from>
      <xdr:col>2</xdr:col>
      <xdr:colOff>2442882</xdr:colOff>
      <xdr:row>70</xdr:row>
      <xdr:rowOff>67236</xdr:rowOff>
    </xdr:from>
    <xdr:to>
      <xdr:col>4</xdr:col>
      <xdr:colOff>593913</xdr:colOff>
      <xdr:row>75</xdr:row>
      <xdr:rowOff>61546</xdr:rowOff>
    </xdr:to>
    <xdr:sp macro="" textlink="">
      <xdr:nvSpPr>
        <xdr:cNvPr id="318" name="TextBox 317">
          <a:extLst>
            <a:ext uri="{FF2B5EF4-FFF2-40B4-BE49-F238E27FC236}">
              <a16:creationId xmlns:a16="http://schemas.microsoft.com/office/drawing/2014/main" id="{202740BD-B50D-4A73-8C33-3F9DCE6117D4}"/>
            </a:ext>
          </a:extLst>
        </xdr:cNvPr>
        <xdr:cNvSpPr txBox="1"/>
      </xdr:nvSpPr>
      <xdr:spPr>
        <a:xfrm>
          <a:off x="3160058" y="15598589"/>
          <a:ext cx="3249708" cy="946810"/>
        </a:xfrm>
        <a:prstGeom prst="rect">
          <a:avLst/>
        </a:prstGeom>
        <a:noFill/>
        <a:ln w="28575" cmpd="sng">
          <a:solidFill>
            <a:schemeClr val="bg1"/>
          </a:solidFill>
          <a:prstDash val="sysDash"/>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marL="0" indent="0" algn="ctr"/>
          <a:r>
            <a:rPr lang="en-AU" sz="900" b="1">
              <a:solidFill>
                <a:schemeClr val="bg1"/>
              </a:solidFill>
              <a:latin typeface="+mj-lt"/>
              <a:ea typeface="+mn-ea"/>
              <a:cs typeface="Arial" panose="020B0604020202020204" pitchFamily="34" charset="0"/>
            </a:rPr>
            <a:t>Actual cost ($)</a:t>
          </a:r>
        </a:p>
      </xdr:txBody>
    </xdr:sp>
    <xdr:clientData/>
  </xdr:twoCellAnchor>
  <xdr:twoCellAnchor>
    <xdr:from>
      <xdr:col>2</xdr:col>
      <xdr:colOff>2496111</xdr:colOff>
      <xdr:row>71</xdr:row>
      <xdr:rowOff>29868</xdr:rowOff>
    </xdr:from>
    <xdr:to>
      <xdr:col>3</xdr:col>
      <xdr:colOff>507150</xdr:colOff>
      <xdr:row>74</xdr:row>
      <xdr:rowOff>177367</xdr:rowOff>
    </xdr:to>
    <xdr:sp macro="" textlink="">
      <xdr:nvSpPr>
        <xdr:cNvPr id="319" name="Rectangle 318">
          <a:extLst>
            <a:ext uri="{FF2B5EF4-FFF2-40B4-BE49-F238E27FC236}">
              <a16:creationId xmlns:a16="http://schemas.microsoft.com/office/drawing/2014/main" id="{B2EDC7DB-8586-45E6-A9A1-9C24D02EA727}"/>
            </a:ext>
          </a:extLst>
        </xdr:cNvPr>
        <xdr:cNvSpPr/>
      </xdr:nvSpPr>
      <xdr:spPr>
        <a:xfrm>
          <a:off x="3213287" y="15751721"/>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Actual cost ($)</a:t>
          </a:r>
        </a:p>
      </xdr:txBody>
    </xdr:sp>
    <xdr:clientData/>
  </xdr:twoCellAnchor>
  <xdr:twoCellAnchor>
    <xdr:from>
      <xdr:col>3</xdr:col>
      <xdr:colOff>819876</xdr:colOff>
      <xdr:row>71</xdr:row>
      <xdr:rowOff>29868</xdr:rowOff>
    </xdr:from>
    <xdr:to>
      <xdr:col>4</xdr:col>
      <xdr:colOff>500592</xdr:colOff>
      <xdr:row>74</xdr:row>
      <xdr:rowOff>177367</xdr:rowOff>
    </xdr:to>
    <xdr:sp macro="" textlink="">
      <xdr:nvSpPr>
        <xdr:cNvPr id="320" name="Rectangle 319">
          <a:extLst>
            <a:ext uri="{FF2B5EF4-FFF2-40B4-BE49-F238E27FC236}">
              <a16:creationId xmlns:a16="http://schemas.microsoft.com/office/drawing/2014/main" id="{26546092-F699-4524-9B96-7019E70CF5FE}"/>
            </a:ext>
          </a:extLst>
        </xdr:cNvPr>
        <xdr:cNvSpPr/>
      </xdr:nvSpPr>
      <xdr:spPr>
        <a:xfrm>
          <a:off x="4921229" y="15751721"/>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marL="0" indent="0" algn="ctr"/>
          <a:r>
            <a:rPr lang="en-AU" sz="900" b="1">
              <a:solidFill>
                <a:schemeClr val="tx1"/>
              </a:solidFill>
              <a:latin typeface="+mj-lt"/>
              <a:ea typeface="+mn-ea"/>
              <a:cs typeface="Arial" panose="020B0604020202020204" pitchFamily="34" charset="0"/>
            </a:rPr>
            <a:t>Proportion of actual cost</a:t>
          </a:r>
          <a:r>
            <a:rPr lang="en-AU" sz="900" b="1" baseline="0">
              <a:solidFill>
                <a:schemeClr val="tx1"/>
              </a:solidFill>
              <a:latin typeface="+mj-lt"/>
              <a:ea typeface="+mn-ea"/>
              <a:cs typeface="Arial" panose="020B0604020202020204" pitchFamily="34" charset="0"/>
            </a:rPr>
            <a:t> period to the decision period</a:t>
          </a:r>
          <a:r>
            <a:rPr lang="en-AU" sz="900" b="1">
              <a:solidFill>
                <a:schemeClr val="tx1"/>
              </a:solidFill>
              <a:latin typeface="+mj-lt"/>
              <a:ea typeface="+mn-ea"/>
              <a:cs typeface="Arial" panose="020B0604020202020204" pitchFamily="34" charset="0"/>
            </a:rPr>
            <a:t> (%)</a:t>
          </a:r>
        </a:p>
      </xdr:txBody>
    </xdr:sp>
    <xdr:clientData/>
  </xdr:twoCellAnchor>
  <xdr:twoCellAnchor>
    <xdr:from>
      <xdr:col>8</xdr:col>
      <xdr:colOff>98584</xdr:colOff>
      <xdr:row>69</xdr:row>
      <xdr:rowOff>11207</xdr:rowOff>
    </xdr:from>
    <xdr:to>
      <xdr:col>8</xdr:col>
      <xdr:colOff>1629674</xdr:colOff>
      <xdr:row>75</xdr:row>
      <xdr:rowOff>130669</xdr:rowOff>
    </xdr:to>
    <xdr:sp macro="" textlink="">
      <xdr:nvSpPr>
        <xdr:cNvPr id="321" name="Rectangle 320">
          <a:extLst>
            <a:ext uri="{FF2B5EF4-FFF2-40B4-BE49-F238E27FC236}">
              <a16:creationId xmlns:a16="http://schemas.microsoft.com/office/drawing/2014/main" id="{607C5251-B08D-44F7-A4C7-70A024AF66EA}"/>
            </a:ext>
          </a:extLst>
        </xdr:cNvPr>
        <xdr:cNvSpPr/>
      </xdr:nvSpPr>
      <xdr:spPr>
        <a:xfrm>
          <a:off x="12772437" y="15352060"/>
          <a:ext cx="1531090" cy="1262462"/>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bg1"/>
              </a:solidFill>
              <a:latin typeface="+mj-lt"/>
              <a:ea typeface="+mn-ea"/>
              <a:cs typeface="Arial" panose="020B0604020202020204" pitchFamily="34" charset="0"/>
            </a:rPr>
            <a:t>Retail Margin factor</a:t>
          </a:r>
        </a:p>
        <a:p>
          <a:pPr marL="0" indent="0" algn="ctr"/>
          <a:endParaRPr lang="en-AU" sz="900" b="1">
            <a:solidFill>
              <a:schemeClr val="bg1"/>
            </a:solidFill>
            <a:latin typeface="+mj-lt"/>
            <a:ea typeface="+mn-ea"/>
            <a:cs typeface="Arial" panose="020B0604020202020204" pitchFamily="34" charset="0"/>
          </a:endParaRPr>
        </a:p>
        <a:p>
          <a:pPr marL="0" indent="0" algn="ctr"/>
          <a:r>
            <a:rPr lang="en-AU" sz="900" b="1">
              <a:solidFill>
                <a:schemeClr val="bg1"/>
              </a:solidFill>
              <a:latin typeface="+mj-lt"/>
              <a:ea typeface="+mn-ea"/>
              <a:cs typeface="Arial" panose="020B0604020202020204" pitchFamily="34" charset="0"/>
            </a:rPr>
            <a:t>1 + Retail Margin (previous decision)</a:t>
          </a:r>
        </a:p>
      </xdr:txBody>
    </xdr:sp>
    <xdr:clientData/>
  </xdr:twoCellAnchor>
  <xdr:twoCellAnchor>
    <xdr:from>
      <xdr:col>9</xdr:col>
      <xdr:colOff>410956</xdr:colOff>
      <xdr:row>69</xdr:row>
      <xdr:rowOff>11207</xdr:rowOff>
    </xdr:from>
    <xdr:to>
      <xdr:col>10</xdr:col>
      <xdr:colOff>217340</xdr:colOff>
      <xdr:row>75</xdr:row>
      <xdr:rowOff>130669</xdr:rowOff>
    </xdr:to>
    <xdr:sp macro="" textlink="">
      <xdr:nvSpPr>
        <xdr:cNvPr id="322" name="Rectangle 321">
          <a:extLst>
            <a:ext uri="{FF2B5EF4-FFF2-40B4-BE49-F238E27FC236}">
              <a16:creationId xmlns:a16="http://schemas.microsoft.com/office/drawing/2014/main" id="{FFCD3DC8-D4F8-4A59-9C3D-9F849D4ECFCE}"/>
            </a:ext>
          </a:extLst>
        </xdr:cNvPr>
        <xdr:cNvSpPr/>
      </xdr:nvSpPr>
      <xdr:spPr>
        <a:xfrm>
          <a:off x="14799309" y="15352060"/>
          <a:ext cx="1520884" cy="1262462"/>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bg1"/>
              </a:solidFill>
              <a:latin typeface="+mj-lt"/>
              <a:ea typeface="+mn-ea"/>
              <a:cs typeface="Arial" panose="020B0604020202020204" pitchFamily="34" charset="0"/>
            </a:rPr>
            <a:t>GST factor</a:t>
          </a:r>
        </a:p>
        <a:p>
          <a:pPr marL="0" indent="0" algn="ctr"/>
          <a:endParaRPr lang="en-AU" sz="900" b="1">
            <a:solidFill>
              <a:schemeClr val="bg1"/>
            </a:solidFill>
            <a:latin typeface="+mj-lt"/>
            <a:ea typeface="+mn-ea"/>
            <a:cs typeface="Arial" panose="020B0604020202020204" pitchFamily="34" charset="0"/>
          </a:endParaRPr>
        </a:p>
        <a:p>
          <a:pPr marL="0" indent="0" algn="ctr"/>
          <a:endParaRPr lang="en-AU" sz="900" b="1">
            <a:solidFill>
              <a:schemeClr val="bg1"/>
            </a:solidFill>
            <a:latin typeface="+mj-lt"/>
            <a:ea typeface="+mn-ea"/>
            <a:cs typeface="Arial" panose="020B0604020202020204" pitchFamily="34" charset="0"/>
          </a:endParaRPr>
        </a:p>
        <a:p>
          <a:pPr marL="0" indent="0" algn="ctr"/>
          <a:r>
            <a:rPr lang="en-AU" sz="900" b="1">
              <a:solidFill>
                <a:schemeClr val="bg1"/>
              </a:solidFill>
              <a:latin typeface="+mj-lt"/>
              <a:ea typeface="+mn-ea"/>
              <a:cs typeface="Arial" panose="020B0604020202020204" pitchFamily="34" charset="0"/>
            </a:rPr>
            <a:t>1 + GST rate</a:t>
          </a:r>
        </a:p>
      </xdr:txBody>
    </xdr:sp>
    <xdr:clientData/>
  </xdr:twoCellAnchor>
  <xdr:twoCellAnchor>
    <xdr:from>
      <xdr:col>4</xdr:col>
      <xdr:colOff>1263463</xdr:colOff>
      <xdr:row>71</xdr:row>
      <xdr:rowOff>29868</xdr:rowOff>
    </xdr:from>
    <xdr:to>
      <xdr:col>5</xdr:col>
      <xdr:colOff>944179</xdr:colOff>
      <xdr:row>74</xdr:row>
      <xdr:rowOff>177367</xdr:rowOff>
    </xdr:to>
    <xdr:sp macro="" textlink="">
      <xdr:nvSpPr>
        <xdr:cNvPr id="323" name="Rectangle 322">
          <a:extLst>
            <a:ext uri="{FF2B5EF4-FFF2-40B4-BE49-F238E27FC236}">
              <a16:creationId xmlns:a16="http://schemas.microsoft.com/office/drawing/2014/main" id="{E03D2B5C-E66C-4C58-A0EF-14FCCB22A3F0}"/>
            </a:ext>
          </a:extLst>
        </xdr:cNvPr>
        <xdr:cNvSpPr/>
      </xdr:nvSpPr>
      <xdr:spPr>
        <a:xfrm>
          <a:off x="7079316" y="15751721"/>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900" b="1" i="0" u="none" strike="noStrike" kern="0" cap="none" spc="0" normalizeH="0" baseline="0" noProof="0">
              <a:ln>
                <a:noFill/>
              </a:ln>
              <a:solidFill>
                <a:prstClr val="black"/>
              </a:solidFill>
              <a:effectLst/>
              <a:uLnTx/>
              <a:uFillTx/>
              <a:latin typeface="Calibri Light" panose="020F0302020204030204"/>
              <a:ea typeface="+mn-ea"/>
              <a:cs typeface="Arial" panose="020B0604020202020204" pitchFamily="34" charset="0"/>
            </a:rPr>
            <a:t>Cost allowance in previous decision ($)</a:t>
          </a:r>
          <a:r>
            <a:rPr lang="en-AU" sz="900" b="1">
              <a:solidFill>
                <a:schemeClr val="tx1"/>
              </a:solidFill>
              <a:latin typeface="+mj-lt"/>
              <a:ea typeface="+mn-ea"/>
              <a:cs typeface="Arial" panose="020B0604020202020204" pitchFamily="34" charset="0"/>
            </a:rPr>
            <a:t> </a:t>
          </a:r>
        </a:p>
      </xdr:txBody>
    </xdr:sp>
    <xdr:clientData/>
  </xdr:twoCellAnchor>
  <xdr:twoCellAnchor>
    <xdr:from>
      <xdr:col>5</xdr:col>
      <xdr:colOff>1256905</xdr:colOff>
      <xdr:row>71</xdr:row>
      <xdr:rowOff>29868</xdr:rowOff>
    </xdr:from>
    <xdr:to>
      <xdr:col>6</xdr:col>
      <xdr:colOff>937621</xdr:colOff>
      <xdr:row>74</xdr:row>
      <xdr:rowOff>177367</xdr:rowOff>
    </xdr:to>
    <xdr:sp macro="" textlink="">
      <xdr:nvSpPr>
        <xdr:cNvPr id="324" name="Rectangle 323">
          <a:extLst>
            <a:ext uri="{FF2B5EF4-FFF2-40B4-BE49-F238E27FC236}">
              <a16:creationId xmlns:a16="http://schemas.microsoft.com/office/drawing/2014/main" id="{B63587B3-27B9-49E6-A7E0-0169DDBCB3EC}"/>
            </a:ext>
          </a:extLst>
        </xdr:cNvPr>
        <xdr:cNvSpPr/>
      </xdr:nvSpPr>
      <xdr:spPr>
        <a:xfrm>
          <a:off x="8787258" y="15751721"/>
          <a:ext cx="1395216" cy="718999"/>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marL="0" indent="0" algn="ctr"/>
          <a:r>
            <a:rPr lang="en-AU" sz="900" b="1">
              <a:solidFill>
                <a:schemeClr val="tx1"/>
              </a:solidFill>
              <a:latin typeface="+mj-lt"/>
              <a:ea typeface="+mn-ea"/>
              <a:cs typeface="Arial" panose="020B0604020202020204" pitchFamily="34" charset="0"/>
            </a:rPr>
            <a:t>Proportion of actual cost period to the decision period (%)</a:t>
          </a:r>
        </a:p>
      </xdr:txBody>
    </xdr:sp>
    <xdr:clientData/>
  </xdr:twoCellAnchor>
  <xdr:twoCellAnchor>
    <xdr:from>
      <xdr:col>2</xdr:col>
      <xdr:colOff>1804343</xdr:colOff>
      <xdr:row>72</xdr:row>
      <xdr:rowOff>67200</xdr:rowOff>
    </xdr:from>
    <xdr:to>
      <xdr:col>2</xdr:col>
      <xdr:colOff>2063899</xdr:colOff>
      <xdr:row>72</xdr:row>
      <xdr:rowOff>67200</xdr:rowOff>
    </xdr:to>
    <xdr:cxnSp macro="">
      <xdr:nvCxnSpPr>
        <xdr:cNvPr id="325" name="Straight Arrow Connector 324">
          <a:extLst>
            <a:ext uri="{FF2B5EF4-FFF2-40B4-BE49-F238E27FC236}">
              <a16:creationId xmlns:a16="http://schemas.microsoft.com/office/drawing/2014/main" id="{4BB9DD29-C5EE-42D0-9AA0-0789090C66BE}"/>
            </a:ext>
          </a:extLst>
        </xdr:cNvPr>
        <xdr:cNvCxnSpPr/>
      </xdr:nvCxnSpPr>
      <xdr:spPr>
        <a:xfrm>
          <a:off x="2521519" y="15979553"/>
          <a:ext cx="259556"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129226</xdr:colOff>
      <xdr:row>69</xdr:row>
      <xdr:rowOff>33618</xdr:rowOff>
    </xdr:from>
    <xdr:to>
      <xdr:col>2</xdr:col>
      <xdr:colOff>1650110</xdr:colOff>
      <xdr:row>75</xdr:row>
      <xdr:rowOff>127271</xdr:rowOff>
    </xdr:to>
    <xdr:sp macro="" textlink="">
      <xdr:nvSpPr>
        <xdr:cNvPr id="326" name="Rectangle 325">
          <a:extLst>
            <a:ext uri="{FF2B5EF4-FFF2-40B4-BE49-F238E27FC236}">
              <a16:creationId xmlns:a16="http://schemas.microsoft.com/office/drawing/2014/main" id="{F73402EF-4DFF-46EC-B706-25404FBE1292}"/>
            </a:ext>
          </a:extLst>
        </xdr:cNvPr>
        <xdr:cNvSpPr/>
      </xdr:nvSpPr>
      <xdr:spPr>
        <a:xfrm>
          <a:off x="846402" y="15374471"/>
          <a:ext cx="1520884" cy="1236653"/>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Variable true up  cost ($)</a:t>
          </a:r>
        </a:p>
      </xdr:txBody>
    </xdr:sp>
    <xdr:clientData/>
  </xdr:twoCellAnchor>
  <xdr:twoCellAnchor>
    <xdr:from>
      <xdr:col>3</xdr:col>
      <xdr:colOff>493059</xdr:colOff>
      <xdr:row>72</xdr:row>
      <xdr:rowOff>22410</xdr:rowOff>
    </xdr:from>
    <xdr:to>
      <xdr:col>3</xdr:col>
      <xdr:colOff>853059</xdr:colOff>
      <xdr:row>74</xdr:row>
      <xdr:rowOff>1410</xdr:rowOff>
    </xdr:to>
    <xdr:sp macro="" textlink="">
      <xdr:nvSpPr>
        <xdr:cNvPr id="327" name="Multiplication Sign 326">
          <a:extLst>
            <a:ext uri="{FF2B5EF4-FFF2-40B4-BE49-F238E27FC236}">
              <a16:creationId xmlns:a16="http://schemas.microsoft.com/office/drawing/2014/main" id="{890B365D-FA48-487A-84FB-17A726CD3177}"/>
            </a:ext>
          </a:extLst>
        </xdr:cNvPr>
        <xdr:cNvSpPr/>
      </xdr:nvSpPr>
      <xdr:spPr>
        <a:xfrm>
          <a:off x="4594412" y="15934763"/>
          <a:ext cx="360000" cy="360000"/>
        </a:xfrm>
        <a:prstGeom prst="mathMultiply">
          <a:avLst>
            <a:gd name="adj1" fmla="val 1209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930088</xdr:colOff>
      <xdr:row>72</xdr:row>
      <xdr:rowOff>22410</xdr:rowOff>
    </xdr:from>
    <xdr:to>
      <xdr:col>5</xdr:col>
      <xdr:colOff>1290088</xdr:colOff>
      <xdr:row>74</xdr:row>
      <xdr:rowOff>1410</xdr:rowOff>
    </xdr:to>
    <xdr:sp macro="" textlink="">
      <xdr:nvSpPr>
        <xdr:cNvPr id="328" name="Multiplication Sign 327">
          <a:extLst>
            <a:ext uri="{FF2B5EF4-FFF2-40B4-BE49-F238E27FC236}">
              <a16:creationId xmlns:a16="http://schemas.microsoft.com/office/drawing/2014/main" id="{1EA75FA3-31FC-4620-BD1C-B5A785BFB343}"/>
            </a:ext>
          </a:extLst>
        </xdr:cNvPr>
        <xdr:cNvSpPr/>
      </xdr:nvSpPr>
      <xdr:spPr>
        <a:xfrm>
          <a:off x="8460441" y="15934763"/>
          <a:ext cx="360000" cy="360000"/>
        </a:xfrm>
        <a:prstGeom prst="mathMultiply">
          <a:avLst>
            <a:gd name="adj1" fmla="val 1209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728382</xdr:colOff>
      <xdr:row>72</xdr:row>
      <xdr:rowOff>123265</xdr:rowOff>
    </xdr:from>
    <xdr:to>
      <xdr:col>4</xdr:col>
      <xdr:colOff>1088382</xdr:colOff>
      <xdr:row>73</xdr:row>
      <xdr:rowOff>76765</xdr:rowOff>
    </xdr:to>
    <xdr:sp macro="" textlink="">
      <xdr:nvSpPr>
        <xdr:cNvPr id="329" name="Minus Sign 328">
          <a:extLst>
            <a:ext uri="{FF2B5EF4-FFF2-40B4-BE49-F238E27FC236}">
              <a16:creationId xmlns:a16="http://schemas.microsoft.com/office/drawing/2014/main" id="{27344D81-3B2C-49BD-83E6-73908FD2F21F}"/>
            </a:ext>
          </a:extLst>
        </xdr:cNvPr>
        <xdr:cNvSpPr/>
      </xdr:nvSpPr>
      <xdr:spPr>
        <a:xfrm>
          <a:off x="6544235" y="16035618"/>
          <a:ext cx="360000" cy="144000"/>
        </a:xfrm>
        <a:prstGeom prst="mathMinus">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11206</xdr:colOff>
      <xdr:row>71</xdr:row>
      <xdr:rowOff>123262</xdr:rowOff>
    </xdr:from>
    <xdr:to>
      <xdr:col>9</xdr:col>
      <xdr:colOff>335206</xdr:colOff>
      <xdr:row>73</xdr:row>
      <xdr:rowOff>102262</xdr:rowOff>
    </xdr:to>
    <xdr:sp macro="" textlink="">
      <xdr:nvSpPr>
        <xdr:cNvPr id="330" name="Multiplication Sign 329">
          <a:extLst>
            <a:ext uri="{FF2B5EF4-FFF2-40B4-BE49-F238E27FC236}">
              <a16:creationId xmlns:a16="http://schemas.microsoft.com/office/drawing/2014/main" id="{778AFF1D-23F7-4ABD-B445-A954DF652578}"/>
            </a:ext>
          </a:extLst>
        </xdr:cNvPr>
        <xdr:cNvSpPr/>
      </xdr:nvSpPr>
      <xdr:spPr>
        <a:xfrm>
          <a:off x="14399559" y="15845115"/>
          <a:ext cx="324000" cy="360000"/>
        </a:xfrm>
        <a:prstGeom prst="mathMultiply">
          <a:avLst>
            <a:gd name="adj1" fmla="val 12092"/>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1456765</xdr:colOff>
      <xdr:row>71</xdr:row>
      <xdr:rowOff>123262</xdr:rowOff>
    </xdr:from>
    <xdr:to>
      <xdr:col>8</xdr:col>
      <xdr:colOff>66265</xdr:colOff>
      <xdr:row>73</xdr:row>
      <xdr:rowOff>102262</xdr:rowOff>
    </xdr:to>
    <xdr:sp macro="" textlink="">
      <xdr:nvSpPr>
        <xdr:cNvPr id="331" name="Multiplication Sign 330">
          <a:extLst>
            <a:ext uri="{FF2B5EF4-FFF2-40B4-BE49-F238E27FC236}">
              <a16:creationId xmlns:a16="http://schemas.microsoft.com/office/drawing/2014/main" id="{D17A4420-0A7F-4015-A5D5-690D5B39D37F}"/>
            </a:ext>
          </a:extLst>
        </xdr:cNvPr>
        <xdr:cNvSpPr/>
      </xdr:nvSpPr>
      <xdr:spPr>
        <a:xfrm>
          <a:off x="12416118" y="15845115"/>
          <a:ext cx="324000" cy="360000"/>
        </a:xfrm>
        <a:prstGeom prst="mathMultiply">
          <a:avLst>
            <a:gd name="adj1" fmla="val 12092"/>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1488113</xdr:colOff>
      <xdr:row>69</xdr:row>
      <xdr:rowOff>33619</xdr:rowOff>
    </xdr:from>
    <xdr:to>
      <xdr:col>7</xdr:col>
      <xdr:colOff>1304703</xdr:colOff>
      <xdr:row>75</xdr:row>
      <xdr:rowOff>153081</xdr:rowOff>
    </xdr:to>
    <xdr:sp macro="" textlink="">
      <xdr:nvSpPr>
        <xdr:cNvPr id="333" name="Rectangle 332">
          <a:extLst>
            <a:ext uri="{FF2B5EF4-FFF2-40B4-BE49-F238E27FC236}">
              <a16:creationId xmlns:a16="http://schemas.microsoft.com/office/drawing/2014/main" id="{15A0D768-84A2-4AB3-84EF-63A7BDF208BD}"/>
            </a:ext>
          </a:extLst>
        </xdr:cNvPr>
        <xdr:cNvSpPr/>
      </xdr:nvSpPr>
      <xdr:spPr>
        <a:xfrm>
          <a:off x="10732966" y="14634884"/>
          <a:ext cx="1531090" cy="1262462"/>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bg1"/>
              </a:solidFill>
              <a:latin typeface="+mj-lt"/>
              <a:ea typeface="+mn-ea"/>
              <a:cs typeface="Arial" panose="020B0604020202020204" pitchFamily="34" charset="0"/>
            </a:rPr>
            <a:t>Network loss factor (previous decision) excluding  for network true up costs </a:t>
          </a:r>
        </a:p>
      </xdr:txBody>
    </xdr:sp>
    <xdr:clientData/>
  </xdr:twoCellAnchor>
  <xdr:twoCellAnchor>
    <xdr:from>
      <xdr:col>6</xdr:col>
      <xdr:colOff>1131794</xdr:colOff>
      <xdr:row>71</xdr:row>
      <xdr:rowOff>145674</xdr:rowOff>
    </xdr:from>
    <xdr:to>
      <xdr:col>6</xdr:col>
      <xdr:colOff>1455794</xdr:colOff>
      <xdr:row>73</xdr:row>
      <xdr:rowOff>124674</xdr:rowOff>
    </xdr:to>
    <xdr:sp macro="" textlink="">
      <xdr:nvSpPr>
        <xdr:cNvPr id="334" name="Multiplication Sign 333">
          <a:extLst>
            <a:ext uri="{FF2B5EF4-FFF2-40B4-BE49-F238E27FC236}">
              <a16:creationId xmlns:a16="http://schemas.microsoft.com/office/drawing/2014/main" id="{55E610D7-52AC-415E-A3C2-05225874195B}"/>
            </a:ext>
          </a:extLst>
        </xdr:cNvPr>
        <xdr:cNvSpPr/>
      </xdr:nvSpPr>
      <xdr:spPr>
        <a:xfrm>
          <a:off x="10376647" y="15867527"/>
          <a:ext cx="324000" cy="360000"/>
        </a:xfrm>
        <a:prstGeom prst="mathMultiply">
          <a:avLst>
            <a:gd name="adj1" fmla="val 12092"/>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1796798</xdr:colOff>
      <xdr:row>100</xdr:row>
      <xdr:rowOff>120739</xdr:rowOff>
    </xdr:from>
    <xdr:to>
      <xdr:col>2</xdr:col>
      <xdr:colOff>2069478</xdr:colOff>
      <xdr:row>100</xdr:row>
      <xdr:rowOff>120739</xdr:rowOff>
    </xdr:to>
    <xdr:cxnSp macro="">
      <xdr:nvCxnSpPr>
        <xdr:cNvPr id="339" name="Straight Arrow Connector 338">
          <a:extLst>
            <a:ext uri="{FF2B5EF4-FFF2-40B4-BE49-F238E27FC236}">
              <a16:creationId xmlns:a16="http://schemas.microsoft.com/office/drawing/2014/main" id="{42EBF84B-F7CD-4EAA-8F43-9D669C8130C7}"/>
            </a:ext>
          </a:extLst>
        </xdr:cNvPr>
        <xdr:cNvCxnSpPr/>
      </xdr:nvCxnSpPr>
      <xdr:spPr>
        <a:xfrm>
          <a:off x="2513974" y="22129092"/>
          <a:ext cx="27268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67235</xdr:colOff>
      <xdr:row>97</xdr:row>
      <xdr:rowOff>11205</xdr:rowOff>
    </xdr:from>
    <xdr:to>
      <xdr:col>2</xdr:col>
      <xdr:colOff>1588119</xdr:colOff>
      <xdr:row>103</xdr:row>
      <xdr:rowOff>110742</xdr:rowOff>
    </xdr:to>
    <xdr:sp macro="" textlink="">
      <xdr:nvSpPr>
        <xdr:cNvPr id="340" name="Rectangle 339">
          <a:extLst>
            <a:ext uri="{FF2B5EF4-FFF2-40B4-BE49-F238E27FC236}">
              <a16:creationId xmlns:a16="http://schemas.microsoft.com/office/drawing/2014/main" id="{61C19F47-ABCF-4B81-9BBE-1875EAFDC2FC}"/>
            </a:ext>
          </a:extLst>
        </xdr:cNvPr>
        <xdr:cNvSpPr/>
      </xdr:nvSpPr>
      <xdr:spPr>
        <a:xfrm>
          <a:off x="784411" y="19767176"/>
          <a:ext cx="1520884" cy="1242537"/>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Annual bill ($/year)</a:t>
          </a:r>
        </a:p>
      </xdr:txBody>
    </xdr:sp>
    <xdr:clientData/>
  </xdr:twoCellAnchor>
  <xdr:twoCellAnchor>
    <xdr:from>
      <xdr:col>3</xdr:col>
      <xdr:colOff>666390</xdr:colOff>
      <xdr:row>100</xdr:row>
      <xdr:rowOff>5884</xdr:rowOff>
    </xdr:from>
    <xdr:to>
      <xdr:col>3</xdr:col>
      <xdr:colOff>1026390</xdr:colOff>
      <xdr:row>101</xdr:row>
      <xdr:rowOff>173972</xdr:rowOff>
    </xdr:to>
    <xdr:sp macro="" textlink="">
      <xdr:nvSpPr>
        <xdr:cNvPr id="342" name="Plus Sign 341">
          <a:extLst>
            <a:ext uri="{FF2B5EF4-FFF2-40B4-BE49-F238E27FC236}">
              <a16:creationId xmlns:a16="http://schemas.microsoft.com/office/drawing/2014/main" id="{E8AD6C28-C4D1-4706-A285-5A68CF21D22B}"/>
            </a:ext>
          </a:extLst>
        </xdr:cNvPr>
        <xdr:cNvSpPr/>
      </xdr:nvSpPr>
      <xdr:spPr>
        <a:xfrm>
          <a:off x="4767743" y="20333355"/>
          <a:ext cx="360000" cy="358588"/>
        </a:xfrm>
        <a:prstGeom prst="mathPlus">
          <a:avLst>
            <a:gd name="adj1" fmla="val 13996"/>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530629</xdr:colOff>
      <xdr:row>99</xdr:row>
      <xdr:rowOff>5552</xdr:rowOff>
    </xdr:from>
    <xdr:to>
      <xdr:col>8</xdr:col>
      <xdr:colOff>337013</xdr:colOff>
      <xdr:row>102</xdr:row>
      <xdr:rowOff>148135</xdr:rowOff>
    </xdr:to>
    <xdr:sp macro="" textlink="">
      <xdr:nvSpPr>
        <xdr:cNvPr id="350" name="Rectangle 349">
          <a:extLst>
            <a:ext uri="{FF2B5EF4-FFF2-40B4-BE49-F238E27FC236}">
              <a16:creationId xmlns:a16="http://schemas.microsoft.com/office/drawing/2014/main" id="{BA757D6B-BFEF-43A6-B459-38D08FF93059}"/>
            </a:ext>
          </a:extLst>
        </xdr:cNvPr>
        <xdr:cNvSpPr/>
      </xdr:nvSpPr>
      <xdr:spPr>
        <a:xfrm>
          <a:off x="11489982" y="20142523"/>
          <a:ext cx="1520884" cy="714083"/>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Variable Charge ($/kWh)</a:t>
          </a:r>
        </a:p>
      </xdr:txBody>
    </xdr:sp>
    <xdr:clientData/>
  </xdr:twoCellAnchor>
  <xdr:twoCellAnchor>
    <xdr:from>
      <xdr:col>8</xdr:col>
      <xdr:colOff>776338</xdr:colOff>
      <xdr:row>99</xdr:row>
      <xdr:rowOff>19244</xdr:rowOff>
    </xdr:from>
    <xdr:to>
      <xdr:col>9</xdr:col>
      <xdr:colOff>582721</xdr:colOff>
      <xdr:row>102</xdr:row>
      <xdr:rowOff>161827</xdr:rowOff>
    </xdr:to>
    <xdr:sp macro="" textlink="">
      <xdr:nvSpPr>
        <xdr:cNvPr id="351" name="Rectangle 350">
          <a:extLst>
            <a:ext uri="{FF2B5EF4-FFF2-40B4-BE49-F238E27FC236}">
              <a16:creationId xmlns:a16="http://schemas.microsoft.com/office/drawing/2014/main" id="{E92FC365-1B30-4065-A80B-9CDF521397BF}"/>
            </a:ext>
          </a:extLst>
        </xdr:cNvPr>
        <xdr:cNvSpPr/>
      </xdr:nvSpPr>
      <xdr:spPr>
        <a:xfrm>
          <a:off x="13450191" y="20156215"/>
          <a:ext cx="1520883" cy="714083"/>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Electricity Consumption (kWh/year)</a:t>
          </a:r>
        </a:p>
      </xdr:txBody>
    </xdr:sp>
    <xdr:clientData/>
  </xdr:twoCellAnchor>
  <xdr:twoCellAnchor>
    <xdr:from>
      <xdr:col>8</xdr:col>
      <xdr:colOff>397448</xdr:colOff>
      <xdr:row>99</xdr:row>
      <xdr:rowOff>162763</xdr:rowOff>
    </xdr:from>
    <xdr:to>
      <xdr:col>8</xdr:col>
      <xdr:colOff>757448</xdr:colOff>
      <xdr:row>101</xdr:row>
      <xdr:rowOff>141763</xdr:rowOff>
    </xdr:to>
    <xdr:sp macro="" textlink="">
      <xdr:nvSpPr>
        <xdr:cNvPr id="352" name="Multiplication Sign 351">
          <a:extLst>
            <a:ext uri="{FF2B5EF4-FFF2-40B4-BE49-F238E27FC236}">
              <a16:creationId xmlns:a16="http://schemas.microsoft.com/office/drawing/2014/main" id="{4472E3C1-46DE-4F68-B86E-F93CEBFD1182}"/>
            </a:ext>
          </a:extLst>
        </xdr:cNvPr>
        <xdr:cNvSpPr/>
      </xdr:nvSpPr>
      <xdr:spPr>
        <a:xfrm>
          <a:off x="13071301" y="20299734"/>
          <a:ext cx="360000" cy="360000"/>
        </a:xfrm>
        <a:prstGeom prst="mathMultiply">
          <a:avLst>
            <a:gd name="adj1" fmla="val 1209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10</xdr:col>
      <xdr:colOff>85984</xdr:colOff>
      <xdr:row>44</xdr:row>
      <xdr:rowOff>76726</xdr:rowOff>
    </xdr:from>
    <xdr:to>
      <xdr:col>10</xdr:col>
      <xdr:colOff>1606868</xdr:colOff>
      <xdr:row>50</xdr:row>
      <xdr:rowOff>84125</xdr:rowOff>
    </xdr:to>
    <xdr:sp macro="" textlink="">
      <xdr:nvSpPr>
        <xdr:cNvPr id="354" name="Rectangle 353">
          <a:extLst>
            <a:ext uri="{FF2B5EF4-FFF2-40B4-BE49-F238E27FC236}">
              <a16:creationId xmlns:a16="http://schemas.microsoft.com/office/drawing/2014/main" id="{C416DD5E-C7B5-46FB-8C33-EAD81808BC98}"/>
            </a:ext>
          </a:extLst>
        </xdr:cNvPr>
        <xdr:cNvSpPr/>
      </xdr:nvSpPr>
      <xdr:spPr>
        <a:xfrm>
          <a:off x="16188837" y="9904285"/>
          <a:ext cx="1520884" cy="1150399"/>
        </a:xfrm>
        <a:prstGeom prst="rect">
          <a:avLst/>
        </a:prstGeom>
        <a:solidFill>
          <a:srgbClr val="236192"/>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bg1"/>
              </a:solidFill>
              <a:latin typeface="+mj-lt"/>
              <a:ea typeface="+mn-ea"/>
              <a:cs typeface="Arial" panose="020B0604020202020204" pitchFamily="34" charset="0"/>
            </a:rPr>
            <a:t>No of days in</a:t>
          </a:r>
          <a:r>
            <a:rPr lang="en-AU" sz="900" b="1" baseline="0">
              <a:solidFill>
                <a:schemeClr val="bg1"/>
              </a:solidFill>
              <a:latin typeface="+mj-lt"/>
              <a:ea typeface="+mn-ea"/>
              <a:cs typeface="Arial" panose="020B0604020202020204" pitchFamily="34" charset="0"/>
            </a:rPr>
            <a:t> decision period</a:t>
          </a:r>
          <a:endParaRPr lang="en-AU" sz="900" b="1">
            <a:solidFill>
              <a:schemeClr val="bg1"/>
            </a:solidFill>
            <a:latin typeface="+mj-lt"/>
            <a:ea typeface="+mn-ea"/>
            <a:cs typeface="Arial" panose="020B0604020202020204" pitchFamily="34" charset="0"/>
          </a:endParaRPr>
        </a:p>
      </xdr:txBody>
    </xdr:sp>
    <xdr:clientData/>
  </xdr:twoCellAnchor>
  <xdr:twoCellAnchor>
    <xdr:from>
      <xdr:col>9</xdr:col>
      <xdr:colOff>1423146</xdr:colOff>
      <xdr:row>46</xdr:row>
      <xdr:rowOff>56026</xdr:rowOff>
    </xdr:from>
    <xdr:to>
      <xdr:col>10</xdr:col>
      <xdr:colOff>22411</xdr:colOff>
      <xdr:row>49</xdr:row>
      <xdr:rowOff>44819</xdr:rowOff>
    </xdr:to>
    <xdr:sp macro="" textlink="">
      <xdr:nvSpPr>
        <xdr:cNvPr id="356" name="Division Sign 355">
          <a:extLst>
            <a:ext uri="{FF2B5EF4-FFF2-40B4-BE49-F238E27FC236}">
              <a16:creationId xmlns:a16="http://schemas.microsoft.com/office/drawing/2014/main" id="{77997CB6-18A5-4B2A-B909-150F1D3DCB7F}"/>
            </a:ext>
          </a:extLst>
        </xdr:cNvPr>
        <xdr:cNvSpPr/>
      </xdr:nvSpPr>
      <xdr:spPr>
        <a:xfrm>
          <a:off x="15811499" y="10264585"/>
          <a:ext cx="313765" cy="560293"/>
        </a:xfrm>
        <a:prstGeom prst="mathDivide">
          <a:avLst>
            <a:gd name="adj1" fmla="val 5502"/>
            <a:gd name="adj2" fmla="val 7682"/>
            <a:gd name="adj3" fmla="val 5826"/>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2525279</xdr:colOff>
      <xdr:row>99</xdr:row>
      <xdr:rowOff>5552</xdr:rowOff>
    </xdr:from>
    <xdr:to>
      <xdr:col>3</xdr:col>
      <xdr:colOff>661986</xdr:colOff>
      <xdr:row>102</xdr:row>
      <xdr:rowOff>148135</xdr:rowOff>
    </xdr:to>
    <xdr:sp macro="" textlink="">
      <xdr:nvSpPr>
        <xdr:cNvPr id="364" name="Rectangle 363">
          <a:extLst>
            <a:ext uri="{FF2B5EF4-FFF2-40B4-BE49-F238E27FC236}">
              <a16:creationId xmlns:a16="http://schemas.microsoft.com/office/drawing/2014/main" id="{ABAE0765-9D58-4D91-B609-09EC0F85A1F4}"/>
            </a:ext>
          </a:extLst>
        </xdr:cNvPr>
        <xdr:cNvSpPr/>
      </xdr:nvSpPr>
      <xdr:spPr>
        <a:xfrm>
          <a:off x="3242455" y="20142523"/>
          <a:ext cx="1520884" cy="714083"/>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Supply Charge ($/day)</a:t>
          </a:r>
        </a:p>
      </xdr:txBody>
    </xdr:sp>
    <xdr:clientData/>
  </xdr:twoCellAnchor>
  <xdr:twoCellAnchor>
    <xdr:from>
      <xdr:col>6</xdr:col>
      <xdr:colOff>328923</xdr:colOff>
      <xdr:row>99</xdr:row>
      <xdr:rowOff>5552</xdr:rowOff>
    </xdr:from>
    <xdr:to>
      <xdr:col>7</xdr:col>
      <xdr:colOff>135307</xdr:colOff>
      <xdr:row>102</xdr:row>
      <xdr:rowOff>148135</xdr:rowOff>
    </xdr:to>
    <xdr:sp macro="" textlink="">
      <xdr:nvSpPr>
        <xdr:cNvPr id="367" name="Rectangle 366">
          <a:extLst>
            <a:ext uri="{FF2B5EF4-FFF2-40B4-BE49-F238E27FC236}">
              <a16:creationId xmlns:a16="http://schemas.microsoft.com/office/drawing/2014/main" id="{629DA65D-668C-4222-A214-C1E35F7FF5D8}"/>
            </a:ext>
          </a:extLst>
        </xdr:cNvPr>
        <xdr:cNvSpPr/>
      </xdr:nvSpPr>
      <xdr:spPr>
        <a:xfrm>
          <a:off x="9573776" y="20142523"/>
          <a:ext cx="1520884" cy="714083"/>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Variable Charge ($/day)</a:t>
          </a:r>
        </a:p>
      </xdr:txBody>
    </xdr:sp>
    <xdr:clientData/>
  </xdr:twoCellAnchor>
  <xdr:twoCellAnchor>
    <xdr:from>
      <xdr:col>3</xdr:col>
      <xdr:colOff>1057308</xdr:colOff>
      <xdr:row>99</xdr:row>
      <xdr:rowOff>5552</xdr:rowOff>
    </xdr:from>
    <xdr:to>
      <xdr:col>4</xdr:col>
      <xdr:colOff>863692</xdr:colOff>
      <xdr:row>102</xdr:row>
      <xdr:rowOff>148135</xdr:rowOff>
    </xdr:to>
    <xdr:sp macro="" textlink="">
      <xdr:nvSpPr>
        <xdr:cNvPr id="370" name="Rectangle 369">
          <a:extLst>
            <a:ext uri="{FF2B5EF4-FFF2-40B4-BE49-F238E27FC236}">
              <a16:creationId xmlns:a16="http://schemas.microsoft.com/office/drawing/2014/main" id="{D66FB4B1-21D5-4228-AD4A-D16B253E9D3F}"/>
            </a:ext>
          </a:extLst>
        </xdr:cNvPr>
        <xdr:cNvSpPr/>
      </xdr:nvSpPr>
      <xdr:spPr>
        <a:xfrm>
          <a:off x="5158661" y="20142523"/>
          <a:ext cx="1520884" cy="714083"/>
        </a:xfrm>
        <a:prstGeom prst="rect">
          <a:avLst/>
        </a:prstGeom>
        <a:solidFill>
          <a:srgbClr val="CE0058"/>
        </a:solidFill>
        <a:ln w="9525" cmpd="sng">
          <a:solidFill>
            <a:sysClr val="windowText" lastClr="000000"/>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900" b="1" baseline="0">
              <a:solidFill>
                <a:schemeClr val="bg1"/>
              </a:solidFill>
              <a:latin typeface="+mj-lt"/>
              <a:ea typeface="+mn-ea"/>
              <a:cs typeface="Arial" panose="020B0604020202020204" pitchFamily="34" charset="0"/>
            </a:rPr>
            <a:t>True up Supply Charge ($/day)</a:t>
          </a:r>
        </a:p>
      </xdr:txBody>
    </xdr:sp>
    <xdr:clientData/>
  </xdr:twoCellAnchor>
  <xdr:twoCellAnchor>
    <xdr:from>
      <xdr:col>4</xdr:col>
      <xdr:colOff>1325429</xdr:colOff>
      <xdr:row>99</xdr:row>
      <xdr:rowOff>19244</xdr:rowOff>
    </xdr:from>
    <xdr:to>
      <xdr:col>5</xdr:col>
      <xdr:colOff>1131812</xdr:colOff>
      <xdr:row>102</xdr:row>
      <xdr:rowOff>161827</xdr:rowOff>
    </xdr:to>
    <xdr:sp macro="" textlink="">
      <xdr:nvSpPr>
        <xdr:cNvPr id="371" name="Rectangle 370">
          <a:extLst>
            <a:ext uri="{FF2B5EF4-FFF2-40B4-BE49-F238E27FC236}">
              <a16:creationId xmlns:a16="http://schemas.microsoft.com/office/drawing/2014/main" id="{760A07A7-CBB2-4C1D-9A7D-2CCA155F9119}"/>
            </a:ext>
          </a:extLst>
        </xdr:cNvPr>
        <xdr:cNvSpPr/>
      </xdr:nvSpPr>
      <xdr:spPr>
        <a:xfrm>
          <a:off x="7141282" y="20156215"/>
          <a:ext cx="1520883" cy="714083"/>
        </a:xfrm>
        <a:prstGeom prst="rect">
          <a:avLst/>
        </a:prstGeom>
        <a:solidFill>
          <a:srgbClr val="AFCDDB"/>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r>
            <a:rPr lang="en-AU" sz="900" b="1">
              <a:solidFill>
                <a:schemeClr val="tx1"/>
              </a:solidFill>
              <a:latin typeface="+mj-lt"/>
              <a:ea typeface="+mn-ea"/>
              <a:cs typeface="Arial" panose="020B0604020202020204" pitchFamily="34" charset="0"/>
            </a:rPr>
            <a:t>No. of days in decision period</a:t>
          </a:r>
        </a:p>
      </xdr:txBody>
    </xdr:sp>
    <xdr:clientData/>
  </xdr:twoCellAnchor>
  <xdr:twoCellAnchor>
    <xdr:from>
      <xdr:col>4</xdr:col>
      <xdr:colOff>946540</xdr:colOff>
      <xdr:row>99</xdr:row>
      <xdr:rowOff>162763</xdr:rowOff>
    </xdr:from>
    <xdr:to>
      <xdr:col>4</xdr:col>
      <xdr:colOff>1306540</xdr:colOff>
      <xdr:row>101</xdr:row>
      <xdr:rowOff>141763</xdr:rowOff>
    </xdr:to>
    <xdr:sp macro="" textlink="">
      <xdr:nvSpPr>
        <xdr:cNvPr id="372" name="Multiplication Sign 371">
          <a:extLst>
            <a:ext uri="{FF2B5EF4-FFF2-40B4-BE49-F238E27FC236}">
              <a16:creationId xmlns:a16="http://schemas.microsoft.com/office/drawing/2014/main" id="{81691C69-885B-4970-81E0-D1A92355878E}"/>
            </a:ext>
          </a:extLst>
        </xdr:cNvPr>
        <xdr:cNvSpPr/>
      </xdr:nvSpPr>
      <xdr:spPr>
        <a:xfrm>
          <a:off x="6762393" y="20299734"/>
          <a:ext cx="360000" cy="360000"/>
        </a:xfrm>
        <a:prstGeom prst="mathMultiply">
          <a:avLst>
            <a:gd name="adj1" fmla="val 1209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1338743</xdr:colOff>
      <xdr:row>99</xdr:row>
      <xdr:rowOff>162767</xdr:rowOff>
    </xdr:from>
    <xdr:to>
      <xdr:col>5</xdr:col>
      <xdr:colOff>1698743</xdr:colOff>
      <xdr:row>101</xdr:row>
      <xdr:rowOff>140355</xdr:rowOff>
    </xdr:to>
    <xdr:sp macro="" textlink="">
      <xdr:nvSpPr>
        <xdr:cNvPr id="373" name="Plus Sign 372">
          <a:extLst>
            <a:ext uri="{FF2B5EF4-FFF2-40B4-BE49-F238E27FC236}">
              <a16:creationId xmlns:a16="http://schemas.microsoft.com/office/drawing/2014/main" id="{FB16B03C-08EC-47A8-B710-6BA0DB9795FC}"/>
            </a:ext>
          </a:extLst>
        </xdr:cNvPr>
        <xdr:cNvSpPr/>
      </xdr:nvSpPr>
      <xdr:spPr>
        <a:xfrm>
          <a:off x="8869096" y="20299738"/>
          <a:ext cx="360000" cy="358588"/>
        </a:xfrm>
        <a:prstGeom prst="mathPlus">
          <a:avLst>
            <a:gd name="adj1" fmla="val 13996"/>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139712</xdr:colOff>
      <xdr:row>100</xdr:row>
      <xdr:rowOff>5884</xdr:rowOff>
    </xdr:from>
    <xdr:to>
      <xdr:col>7</xdr:col>
      <xdr:colOff>499712</xdr:colOff>
      <xdr:row>101</xdr:row>
      <xdr:rowOff>173972</xdr:rowOff>
    </xdr:to>
    <xdr:sp macro="" textlink="">
      <xdr:nvSpPr>
        <xdr:cNvPr id="374" name="Plus Sign 373">
          <a:extLst>
            <a:ext uri="{FF2B5EF4-FFF2-40B4-BE49-F238E27FC236}">
              <a16:creationId xmlns:a16="http://schemas.microsoft.com/office/drawing/2014/main" id="{C84484D9-A829-4589-8B06-7978E8EC4943}"/>
            </a:ext>
          </a:extLst>
        </xdr:cNvPr>
        <xdr:cNvSpPr/>
      </xdr:nvSpPr>
      <xdr:spPr>
        <a:xfrm>
          <a:off x="11099065" y="20333355"/>
          <a:ext cx="360000" cy="358588"/>
        </a:xfrm>
        <a:prstGeom prst="mathPlus">
          <a:avLst>
            <a:gd name="adj1" fmla="val 13996"/>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907678</xdr:colOff>
      <xdr:row>62</xdr:row>
      <xdr:rowOff>160617</xdr:rowOff>
    </xdr:from>
    <xdr:to>
      <xdr:col>18</xdr:col>
      <xdr:colOff>44824</xdr:colOff>
      <xdr:row>80</xdr:row>
      <xdr:rowOff>112992</xdr:rowOff>
    </xdr:to>
    <xdr:graphicFrame macro="">
      <xdr:nvGraphicFramePr>
        <xdr:cNvPr id="2" name="Chart 10">
          <a:extLst>
            <a:ext uri="{FF2B5EF4-FFF2-40B4-BE49-F238E27FC236}">
              <a16:creationId xmlns:a16="http://schemas.microsoft.com/office/drawing/2014/main" id="{6B9003A5-B986-4356-A803-DDC3C5891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907678</xdr:colOff>
      <xdr:row>80</xdr:row>
      <xdr:rowOff>175277</xdr:rowOff>
    </xdr:from>
    <xdr:to>
      <xdr:col>18</xdr:col>
      <xdr:colOff>44824</xdr:colOff>
      <xdr:row>98</xdr:row>
      <xdr:rowOff>157815</xdr:rowOff>
    </xdr:to>
    <xdr:graphicFrame macro="">
      <xdr:nvGraphicFramePr>
        <xdr:cNvPr id="3" name="Chart 7">
          <a:extLst>
            <a:ext uri="{FF2B5EF4-FFF2-40B4-BE49-F238E27FC236}">
              <a16:creationId xmlns:a16="http://schemas.microsoft.com/office/drawing/2014/main" id="{B2196A4E-ED60-4F8F-B9E8-1D42CBF4A5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907678</xdr:colOff>
      <xdr:row>99</xdr:row>
      <xdr:rowOff>29601</xdr:rowOff>
    </xdr:from>
    <xdr:to>
      <xdr:col>18</xdr:col>
      <xdr:colOff>44824</xdr:colOff>
      <xdr:row>117</xdr:row>
      <xdr:rowOff>12139</xdr:rowOff>
    </xdr:to>
    <xdr:graphicFrame macro="">
      <xdr:nvGraphicFramePr>
        <xdr:cNvPr id="4" name="Chart 7">
          <a:extLst>
            <a:ext uri="{FF2B5EF4-FFF2-40B4-BE49-F238E27FC236}">
              <a16:creationId xmlns:a16="http://schemas.microsoft.com/office/drawing/2014/main" id="{0238B6AE-7E01-4608-A57A-52786E1EC2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907678</xdr:colOff>
      <xdr:row>117</xdr:row>
      <xdr:rowOff>96836</xdr:rowOff>
    </xdr:from>
    <xdr:to>
      <xdr:col>18</xdr:col>
      <xdr:colOff>44824</xdr:colOff>
      <xdr:row>135</xdr:row>
      <xdr:rowOff>79374</xdr:rowOff>
    </xdr:to>
    <xdr:graphicFrame macro="">
      <xdr:nvGraphicFramePr>
        <xdr:cNvPr id="5" name="Chart 7">
          <a:extLst>
            <a:ext uri="{FF2B5EF4-FFF2-40B4-BE49-F238E27FC236}">
              <a16:creationId xmlns:a16="http://schemas.microsoft.com/office/drawing/2014/main" id="{CB952DB2-5D2F-4BA9-A5F6-FB84A1D6F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907677</xdr:colOff>
      <xdr:row>44</xdr:row>
      <xdr:rowOff>100853</xdr:rowOff>
    </xdr:from>
    <xdr:to>
      <xdr:col>8</xdr:col>
      <xdr:colOff>537881</xdr:colOff>
      <xdr:row>62</xdr:row>
      <xdr:rowOff>53228</xdr:rowOff>
    </xdr:to>
    <xdr:graphicFrame macro="">
      <xdr:nvGraphicFramePr>
        <xdr:cNvPr id="6" name="Chart 10">
          <a:extLst>
            <a:ext uri="{FF2B5EF4-FFF2-40B4-BE49-F238E27FC236}">
              <a16:creationId xmlns:a16="http://schemas.microsoft.com/office/drawing/2014/main" id="{B3CFD82B-E111-4E65-ADBD-4076E183A2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672352</xdr:colOff>
      <xdr:row>44</xdr:row>
      <xdr:rowOff>100853</xdr:rowOff>
    </xdr:from>
    <xdr:to>
      <xdr:col>18</xdr:col>
      <xdr:colOff>44822</xdr:colOff>
      <xdr:row>62</xdr:row>
      <xdr:rowOff>53228</xdr:rowOff>
    </xdr:to>
    <xdr:graphicFrame macro="">
      <xdr:nvGraphicFramePr>
        <xdr:cNvPr id="7" name="Chart 10">
          <a:extLst>
            <a:ext uri="{FF2B5EF4-FFF2-40B4-BE49-F238E27FC236}">
              <a16:creationId xmlns:a16="http://schemas.microsoft.com/office/drawing/2014/main" id="{43991E3B-B6B8-42FA-8757-071C40EC1D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907678</xdr:colOff>
      <xdr:row>62</xdr:row>
      <xdr:rowOff>160617</xdr:rowOff>
    </xdr:from>
    <xdr:to>
      <xdr:col>18</xdr:col>
      <xdr:colOff>44824</xdr:colOff>
      <xdr:row>80</xdr:row>
      <xdr:rowOff>112992</xdr:rowOff>
    </xdr:to>
    <xdr:graphicFrame macro="">
      <xdr:nvGraphicFramePr>
        <xdr:cNvPr id="2" name="Chart 10">
          <a:extLst>
            <a:ext uri="{FF2B5EF4-FFF2-40B4-BE49-F238E27FC236}">
              <a16:creationId xmlns:a16="http://schemas.microsoft.com/office/drawing/2014/main" id="{D83EBEB0-5D44-4DEB-A530-A47DD2C877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907678</xdr:colOff>
      <xdr:row>80</xdr:row>
      <xdr:rowOff>175277</xdr:rowOff>
    </xdr:from>
    <xdr:to>
      <xdr:col>18</xdr:col>
      <xdr:colOff>44824</xdr:colOff>
      <xdr:row>98</xdr:row>
      <xdr:rowOff>157815</xdr:rowOff>
    </xdr:to>
    <xdr:graphicFrame macro="">
      <xdr:nvGraphicFramePr>
        <xdr:cNvPr id="3" name="Chart 7">
          <a:extLst>
            <a:ext uri="{FF2B5EF4-FFF2-40B4-BE49-F238E27FC236}">
              <a16:creationId xmlns:a16="http://schemas.microsoft.com/office/drawing/2014/main" id="{C8F69C97-BA85-4A95-BFA7-752679B605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907678</xdr:colOff>
      <xdr:row>99</xdr:row>
      <xdr:rowOff>29601</xdr:rowOff>
    </xdr:from>
    <xdr:to>
      <xdr:col>18</xdr:col>
      <xdr:colOff>44824</xdr:colOff>
      <xdr:row>117</xdr:row>
      <xdr:rowOff>12139</xdr:rowOff>
    </xdr:to>
    <xdr:graphicFrame macro="">
      <xdr:nvGraphicFramePr>
        <xdr:cNvPr id="4" name="Chart 7">
          <a:extLst>
            <a:ext uri="{FF2B5EF4-FFF2-40B4-BE49-F238E27FC236}">
              <a16:creationId xmlns:a16="http://schemas.microsoft.com/office/drawing/2014/main" id="{83B8C798-A99B-4036-9782-2AFA465DC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907678</xdr:colOff>
      <xdr:row>117</xdr:row>
      <xdr:rowOff>96836</xdr:rowOff>
    </xdr:from>
    <xdr:to>
      <xdr:col>18</xdr:col>
      <xdr:colOff>44824</xdr:colOff>
      <xdr:row>135</xdr:row>
      <xdr:rowOff>79374</xdr:rowOff>
    </xdr:to>
    <xdr:graphicFrame macro="">
      <xdr:nvGraphicFramePr>
        <xdr:cNvPr id="5" name="Chart 7">
          <a:extLst>
            <a:ext uri="{FF2B5EF4-FFF2-40B4-BE49-F238E27FC236}">
              <a16:creationId xmlns:a16="http://schemas.microsoft.com/office/drawing/2014/main" id="{6C3ADA48-611A-43EF-9626-BFA013CFF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907677</xdr:colOff>
      <xdr:row>44</xdr:row>
      <xdr:rowOff>100853</xdr:rowOff>
    </xdr:from>
    <xdr:to>
      <xdr:col>8</xdr:col>
      <xdr:colOff>537881</xdr:colOff>
      <xdr:row>62</xdr:row>
      <xdr:rowOff>53228</xdr:rowOff>
    </xdr:to>
    <xdr:graphicFrame macro="">
      <xdr:nvGraphicFramePr>
        <xdr:cNvPr id="6" name="Chart 10">
          <a:extLst>
            <a:ext uri="{FF2B5EF4-FFF2-40B4-BE49-F238E27FC236}">
              <a16:creationId xmlns:a16="http://schemas.microsoft.com/office/drawing/2014/main" id="{8EAA7332-ADE2-49EE-9C13-16DDCAB217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672352</xdr:colOff>
      <xdr:row>44</xdr:row>
      <xdr:rowOff>100853</xdr:rowOff>
    </xdr:from>
    <xdr:to>
      <xdr:col>18</xdr:col>
      <xdr:colOff>44822</xdr:colOff>
      <xdr:row>62</xdr:row>
      <xdr:rowOff>53228</xdr:rowOff>
    </xdr:to>
    <xdr:graphicFrame macro="">
      <xdr:nvGraphicFramePr>
        <xdr:cNvPr id="7" name="Chart 10">
          <a:extLst>
            <a:ext uri="{FF2B5EF4-FFF2-40B4-BE49-F238E27FC236}">
              <a16:creationId xmlns:a16="http://schemas.microsoft.com/office/drawing/2014/main" id="{A29068B5-C181-43F8-B015-689DDA072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907678</xdr:colOff>
      <xdr:row>62</xdr:row>
      <xdr:rowOff>160617</xdr:rowOff>
    </xdr:from>
    <xdr:to>
      <xdr:col>18</xdr:col>
      <xdr:colOff>44824</xdr:colOff>
      <xdr:row>80</xdr:row>
      <xdr:rowOff>112992</xdr:rowOff>
    </xdr:to>
    <xdr:graphicFrame macro="">
      <xdr:nvGraphicFramePr>
        <xdr:cNvPr id="2" name="Chart 10">
          <a:extLst>
            <a:ext uri="{FF2B5EF4-FFF2-40B4-BE49-F238E27FC236}">
              <a16:creationId xmlns:a16="http://schemas.microsoft.com/office/drawing/2014/main" id="{B3B31E42-665B-4124-A636-5EE957044B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907678</xdr:colOff>
      <xdr:row>80</xdr:row>
      <xdr:rowOff>175277</xdr:rowOff>
    </xdr:from>
    <xdr:to>
      <xdr:col>18</xdr:col>
      <xdr:colOff>44824</xdr:colOff>
      <xdr:row>98</xdr:row>
      <xdr:rowOff>157815</xdr:rowOff>
    </xdr:to>
    <xdr:graphicFrame macro="">
      <xdr:nvGraphicFramePr>
        <xdr:cNvPr id="3" name="Chart 7">
          <a:extLst>
            <a:ext uri="{FF2B5EF4-FFF2-40B4-BE49-F238E27FC236}">
              <a16:creationId xmlns:a16="http://schemas.microsoft.com/office/drawing/2014/main" id="{08A6A41E-218E-408B-BEE8-1A7FDC1334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907678</xdr:colOff>
      <xdr:row>99</xdr:row>
      <xdr:rowOff>29601</xdr:rowOff>
    </xdr:from>
    <xdr:to>
      <xdr:col>18</xdr:col>
      <xdr:colOff>44824</xdr:colOff>
      <xdr:row>117</xdr:row>
      <xdr:rowOff>12139</xdr:rowOff>
    </xdr:to>
    <xdr:graphicFrame macro="">
      <xdr:nvGraphicFramePr>
        <xdr:cNvPr id="4" name="Chart 7">
          <a:extLst>
            <a:ext uri="{FF2B5EF4-FFF2-40B4-BE49-F238E27FC236}">
              <a16:creationId xmlns:a16="http://schemas.microsoft.com/office/drawing/2014/main" id="{56D24223-21D9-476F-89C0-C1CF8DDE22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907678</xdr:colOff>
      <xdr:row>117</xdr:row>
      <xdr:rowOff>96836</xdr:rowOff>
    </xdr:from>
    <xdr:to>
      <xdr:col>18</xdr:col>
      <xdr:colOff>44824</xdr:colOff>
      <xdr:row>135</xdr:row>
      <xdr:rowOff>79374</xdr:rowOff>
    </xdr:to>
    <xdr:graphicFrame macro="">
      <xdr:nvGraphicFramePr>
        <xdr:cNvPr id="5" name="Chart 7">
          <a:extLst>
            <a:ext uri="{FF2B5EF4-FFF2-40B4-BE49-F238E27FC236}">
              <a16:creationId xmlns:a16="http://schemas.microsoft.com/office/drawing/2014/main" id="{83823CD5-DC41-4181-9F29-A7ECCB853C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907678</xdr:colOff>
      <xdr:row>44</xdr:row>
      <xdr:rowOff>104587</xdr:rowOff>
    </xdr:from>
    <xdr:to>
      <xdr:col>8</xdr:col>
      <xdr:colOff>537882</xdr:colOff>
      <xdr:row>62</xdr:row>
      <xdr:rowOff>56962</xdr:rowOff>
    </xdr:to>
    <xdr:graphicFrame macro="">
      <xdr:nvGraphicFramePr>
        <xdr:cNvPr id="6" name="Chart 10">
          <a:extLst>
            <a:ext uri="{FF2B5EF4-FFF2-40B4-BE49-F238E27FC236}">
              <a16:creationId xmlns:a16="http://schemas.microsoft.com/office/drawing/2014/main" id="{B3D7187F-9A5E-4AA5-B927-9D15E15E0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672353</xdr:colOff>
      <xdr:row>44</xdr:row>
      <xdr:rowOff>104587</xdr:rowOff>
    </xdr:from>
    <xdr:to>
      <xdr:col>18</xdr:col>
      <xdr:colOff>44823</xdr:colOff>
      <xdr:row>62</xdr:row>
      <xdr:rowOff>56962</xdr:rowOff>
    </xdr:to>
    <xdr:graphicFrame macro="">
      <xdr:nvGraphicFramePr>
        <xdr:cNvPr id="7" name="Chart 10">
          <a:extLst>
            <a:ext uri="{FF2B5EF4-FFF2-40B4-BE49-F238E27FC236}">
              <a16:creationId xmlns:a16="http://schemas.microsoft.com/office/drawing/2014/main" id="{00C0FD0A-19DA-43B1-A959-FB9904E3C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104320</xdr:colOff>
      <xdr:row>5</xdr:row>
      <xdr:rowOff>70757</xdr:rowOff>
    </xdr:from>
    <xdr:to>
      <xdr:col>14</xdr:col>
      <xdr:colOff>22463</xdr:colOff>
      <xdr:row>45</xdr:row>
      <xdr:rowOff>13614</xdr:rowOff>
    </xdr:to>
    <xdr:graphicFrame macro="">
      <xdr:nvGraphicFramePr>
        <xdr:cNvPr id="6" name="Chart 2">
          <a:extLst>
            <a:ext uri="{FF2B5EF4-FFF2-40B4-BE49-F238E27FC236}">
              <a16:creationId xmlns:a16="http://schemas.microsoft.com/office/drawing/2014/main" id="{36181057-C480-4A8B-B881-B2553151CA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963705</xdr:colOff>
      <xdr:row>6</xdr:row>
      <xdr:rowOff>2988</xdr:rowOff>
    </xdr:from>
    <xdr:to>
      <xdr:col>9</xdr:col>
      <xdr:colOff>239058</xdr:colOff>
      <xdr:row>30</xdr:row>
      <xdr:rowOff>141942</xdr:rowOff>
    </xdr:to>
    <xdr:graphicFrame macro="">
      <xdr:nvGraphicFramePr>
        <xdr:cNvPr id="2" name="Chart 2">
          <a:extLst>
            <a:ext uri="{FF2B5EF4-FFF2-40B4-BE49-F238E27FC236}">
              <a16:creationId xmlns:a16="http://schemas.microsoft.com/office/drawing/2014/main" id="{123A56CC-33A1-40A0-8702-223FA79C98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907678</xdr:colOff>
      <xdr:row>42</xdr:row>
      <xdr:rowOff>160617</xdr:rowOff>
    </xdr:from>
    <xdr:to>
      <xdr:col>18</xdr:col>
      <xdr:colOff>44824</xdr:colOff>
      <xdr:row>60</xdr:row>
      <xdr:rowOff>112992</xdr:rowOff>
    </xdr:to>
    <xdr:graphicFrame macro="">
      <xdr:nvGraphicFramePr>
        <xdr:cNvPr id="2" name="Chart 10">
          <a:extLst>
            <a:ext uri="{FF2B5EF4-FFF2-40B4-BE49-F238E27FC236}">
              <a16:creationId xmlns:a16="http://schemas.microsoft.com/office/drawing/2014/main" id="{8565595B-7FAA-479A-A7D3-57BB2B8C8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907678</xdr:colOff>
      <xdr:row>60</xdr:row>
      <xdr:rowOff>175277</xdr:rowOff>
    </xdr:from>
    <xdr:to>
      <xdr:col>18</xdr:col>
      <xdr:colOff>44824</xdr:colOff>
      <xdr:row>78</xdr:row>
      <xdr:rowOff>157815</xdr:rowOff>
    </xdr:to>
    <xdr:graphicFrame macro="">
      <xdr:nvGraphicFramePr>
        <xdr:cNvPr id="4" name="Chart 7">
          <a:extLst>
            <a:ext uri="{FF2B5EF4-FFF2-40B4-BE49-F238E27FC236}">
              <a16:creationId xmlns:a16="http://schemas.microsoft.com/office/drawing/2014/main" id="{2BD2A987-8E85-44CD-9F89-757E0B960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773205</xdr:colOff>
      <xdr:row>48</xdr:row>
      <xdr:rowOff>168088</xdr:rowOff>
    </xdr:from>
    <xdr:to>
      <xdr:col>18</xdr:col>
      <xdr:colOff>526677</xdr:colOff>
      <xdr:row>66</xdr:row>
      <xdr:rowOff>120463</xdr:rowOff>
    </xdr:to>
    <xdr:graphicFrame macro="">
      <xdr:nvGraphicFramePr>
        <xdr:cNvPr id="34" name="Chart 2">
          <a:extLst>
            <a:ext uri="{FF2B5EF4-FFF2-40B4-BE49-F238E27FC236}">
              <a16:creationId xmlns:a16="http://schemas.microsoft.com/office/drawing/2014/main" id="{D040CF9C-F69E-4D26-ABFE-CBED982A7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773204</xdr:colOff>
      <xdr:row>66</xdr:row>
      <xdr:rowOff>189098</xdr:rowOff>
    </xdr:from>
    <xdr:to>
      <xdr:col>18</xdr:col>
      <xdr:colOff>526677</xdr:colOff>
      <xdr:row>84</xdr:row>
      <xdr:rowOff>165286</xdr:rowOff>
    </xdr:to>
    <xdr:graphicFrame macro="">
      <xdr:nvGraphicFramePr>
        <xdr:cNvPr id="30" name="Chart 5">
          <a:extLst>
            <a:ext uri="{FF2B5EF4-FFF2-40B4-BE49-F238E27FC236}">
              <a16:creationId xmlns:a16="http://schemas.microsoft.com/office/drawing/2014/main" id="{5CEC7687-26D8-4497-9E38-9F1619D5F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773205</xdr:colOff>
      <xdr:row>48</xdr:row>
      <xdr:rowOff>168088</xdr:rowOff>
    </xdr:from>
    <xdr:to>
      <xdr:col>18</xdr:col>
      <xdr:colOff>526677</xdr:colOff>
      <xdr:row>66</xdr:row>
      <xdr:rowOff>120463</xdr:rowOff>
    </xdr:to>
    <xdr:graphicFrame macro="">
      <xdr:nvGraphicFramePr>
        <xdr:cNvPr id="2" name="Chart 2">
          <a:extLst>
            <a:ext uri="{FF2B5EF4-FFF2-40B4-BE49-F238E27FC236}">
              <a16:creationId xmlns:a16="http://schemas.microsoft.com/office/drawing/2014/main" id="{146769BA-7C68-4312-9D7E-52B47B57E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773204</xdr:colOff>
      <xdr:row>66</xdr:row>
      <xdr:rowOff>189098</xdr:rowOff>
    </xdr:from>
    <xdr:to>
      <xdr:col>18</xdr:col>
      <xdr:colOff>526677</xdr:colOff>
      <xdr:row>84</xdr:row>
      <xdr:rowOff>165286</xdr:rowOff>
    </xdr:to>
    <xdr:graphicFrame macro="">
      <xdr:nvGraphicFramePr>
        <xdr:cNvPr id="3" name="Chart 5">
          <a:extLst>
            <a:ext uri="{FF2B5EF4-FFF2-40B4-BE49-F238E27FC236}">
              <a16:creationId xmlns:a16="http://schemas.microsoft.com/office/drawing/2014/main" id="{39A6BE29-1106-459C-B739-C3F8413699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773205</xdr:colOff>
      <xdr:row>29</xdr:row>
      <xdr:rowOff>168088</xdr:rowOff>
    </xdr:from>
    <xdr:to>
      <xdr:col>18</xdr:col>
      <xdr:colOff>526677</xdr:colOff>
      <xdr:row>47</xdr:row>
      <xdr:rowOff>120463</xdr:rowOff>
    </xdr:to>
    <xdr:graphicFrame macro="">
      <xdr:nvGraphicFramePr>
        <xdr:cNvPr id="2" name="Chart 2">
          <a:extLst>
            <a:ext uri="{FF2B5EF4-FFF2-40B4-BE49-F238E27FC236}">
              <a16:creationId xmlns:a16="http://schemas.microsoft.com/office/drawing/2014/main" id="{F9F7873A-FDB5-4C41-8328-6FC738A7AD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773204</xdr:colOff>
      <xdr:row>47</xdr:row>
      <xdr:rowOff>189098</xdr:rowOff>
    </xdr:from>
    <xdr:to>
      <xdr:col>18</xdr:col>
      <xdr:colOff>526677</xdr:colOff>
      <xdr:row>65</xdr:row>
      <xdr:rowOff>165286</xdr:rowOff>
    </xdr:to>
    <xdr:graphicFrame macro="">
      <xdr:nvGraphicFramePr>
        <xdr:cNvPr id="3" name="Chart 5">
          <a:extLst>
            <a:ext uri="{FF2B5EF4-FFF2-40B4-BE49-F238E27FC236}">
              <a16:creationId xmlns:a16="http://schemas.microsoft.com/office/drawing/2014/main" id="{EBC942B5-5AAB-4125-890D-D0EB872E2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773206</xdr:colOff>
      <xdr:row>30</xdr:row>
      <xdr:rowOff>168088</xdr:rowOff>
    </xdr:from>
    <xdr:to>
      <xdr:col>9</xdr:col>
      <xdr:colOff>571499</xdr:colOff>
      <xdr:row>48</xdr:row>
      <xdr:rowOff>120463</xdr:rowOff>
    </xdr:to>
    <xdr:graphicFrame macro="">
      <xdr:nvGraphicFramePr>
        <xdr:cNvPr id="2" name="Chart 2">
          <a:extLst>
            <a:ext uri="{FF2B5EF4-FFF2-40B4-BE49-F238E27FC236}">
              <a16:creationId xmlns:a16="http://schemas.microsoft.com/office/drawing/2014/main" id="{868AE987-B90B-4AB7-B6A6-5C83745EA0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818029</xdr:colOff>
      <xdr:row>48</xdr:row>
      <xdr:rowOff>189098</xdr:rowOff>
    </xdr:from>
    <xdr:to>
      <xdr:col>9</xdr:col>
      <xdr:colOff>616323</xdr:colOff>
      <xdr:row>66</xdr:row>
      <xdr:rowOff>165286</xdr:rowOff>
    </xdr:to>
    <xdr:graphicFrame macro="">
      <xdr:nvGraphicFramePr>
        <xdr:cNvPr id="3" name="Chart 5">
          <a:extLst>
            <a:ext uri="{FF2B5EF4-FFF2-40B4-BE49-F238E27FC236}">
              <a16:creationId xmlns:a16="http://schemas.microsoft.com/office/drawing/2014/main" id="{C1387789-DF90-4DA8-BEC3-9C33E7B15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806824</xdr:colOff>
      <xdr:row>115</xdr:row>
      <xdr:rowOff>0</xdr:rowOff>
    </xdr:from>
    <xdr:to>
      <xdr:col>17</xdr:col>
      <xdr:colOff>84886</xdr:colOff>
      <xdr:row>132</xdr:row>
      <xdr:rowOff>166688</xdr:rowOff>
    </xdr:to>
    <xdr:graphicFrame macro="">
      <xdr:nvGraphicFramePr>
        <xdr:cNvPr id="16" name="Chart 3">
          <a:extLst>
            <a:ext uri="{FF2B5EF4-FFF2-40B4-BE49-F238E27FC236}">
              <a16:creationId xmlns:a16="http://schemas.microsoft.com/office/drawing/2014/main" id="{24BFF312-1AFD-4DA6-8D90-81EE6E39A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806824</xdr:colOff>
      <xdr:row>133</xdr:row>
      <xdr:rowOff>56029</xdr:rowOff>
    </xdr:from>
    <xdr:to>
      <xdr:col>17</xdr:col>
      <xdr:colOff>84886</xdr:colOff>
      <xdr:row>151</xdr:row>
      <xdr:rowOff>32217</xdr:rowOff>
    </xdr:to>
    <xdr:graphicFrame macro="">
      <xdr:nvGraphicFramePr>
        <xdr:cNvPr id="22" name="Chart 5">
          <a:extLst>
            <a:ext uri="{FF2B5EF4-FFF2-40B4-BE49-F238E27FC236}">
              <a16:creationId xmlns:a16="http://schemas.microsoft.com/office/drawing/2014/main" id="{001E2790-2171-42D1-92C5-6DC402771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963705</xdr:colOff>
      <xdr:row>6</xdr:row>
      <xdr:rowOff>2988</xdr:rowOff>
    </xdr:from>
    <xdr:to>
      <xdr:col>9</xdr:col>
      <xdr:colOff>239058</xdr:colOff>
      <xdr:row>30</xdr:row>
      <xdr:rowOff>141942</xdr:rowOff>
    </xdr:to>
    <xdr:graphicFrame macro="">
      <xdr:nvGraphicFramePr>
        <xdr:cNvPr id="3" name="Chart 2">
          <a:extLst>
            <a:ext uri="{FF2B5EF4-FFF2-40B4-BE49-F238E27FC236}">
              <a16:creationId xmlns:a16="http://schemas.microsoft.com/office/drawing/2014/main" id="{2999F432-0003-4EEF-B7D1-1CBC13CDF5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ork\C%2021%2024182%20%20VDO%202022%20-%20DDP%20-%20VDO%20calculation%20model%20-%20V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ntents"/>
      <sheetName val="User Guide"/>
      <sheetName val="Information"/>
      <sheetName val="Sources"/>
      <sheetName val="Version control"/>
      <sheetName val="Inputs"/>
      <sheetName val="General Assumptions"/>
      <sheetName val="CPI"/>
      <sheetName val="Calc_Rates"/>
      <sheetName val="Calc_TU_values"/>
      <sheetName val="Calc_TU_rates"/>
      <sheetName val="OP_Rates"/>
      <sheetName val="OP_CMAB"/>
      <sheetName val="CH_CostStack_RES"/>
      <sheetName val="CH_CostStack_SME"/>
      <sheetName val="CH_Bill impacts full year 2"/>
      <sheetName val="CH_Bill impacts half year"/>
      <sheetName val="CH_Bill impacts 4 monthly"/>
      <sheetName val="CH_Bill impacts monthly"/>
      <sheetName val="CH_Revised proposal impact"/>
      <sheetName val="CH_CY bills 2020 vs 2021"/>
      <sheetName val="TU_simple working"/>
      <sheetName val="CH_Bill impact annual"/>
      <sheetName val="CH_Bill impact six month"/>
      <sheetName val="CH_Bill impact monthly"/>
      <sheetName val="CH_Bill impact full year"/>
      <sheetName val="CH_Industry impact"/>
      <sheetName val="CH_CostElements_Anytime"/>
      <sheetName val="CH_CostItems_Anytime"/>
      <sheetName val="Lookup refs"/>
      <sheetName val="Checks"/>
      <sheetName val="Change Log"/>
      <sheetName val="Blank_WkSheet"/>
      <sheetName val="C 21 24182  VDO 2022 - DDP - VD"/>
    </sheetNames>
    <sheetDataSet>
      <sheetData sheetId="0">
        <row r="1">
          <cell r="B1" t="str">
            <v>VDO calculation model</v>
          </cell>
        </row>
      </sheetData>
      <sheetData sheetId="1"/>
      <sheetData sheetId="2"/>
      <sheetData sheetId="3"/>
      <sheetData sheetId="4"/>
      <sheetData sheetId="5"/>
      <sheetData sheetId="6">
        <row r="230">
          <cell r="D230">
            <v>6.5500000000000003E-2</v>
          </cell>
        </row>
        <row r="232">
          <cell r="D232">
            <v>2</v>
          </cell>
        </row>
        <row r="234">
          <cell r="D234">
            <v>6</v>
          </cell>
        </row>
        <row r="236">
          <cell r="D236">
            <v>44378</v>
          </cell>
        </row>
        <row r="238">
          <cell r="D238">
            <v>44439</v>
          </cell>
        </row>
        <row r="242">
          <cell r="D242">
            <v>44562</v>
          </cell>
        </row>
        <row r="244">
          <cell r="D244">
            <v>44742</v>
          </cell>
        </row>
        <row r="246">
          <cell r="D246">
            <v>12</v>
          </cell>
        </row>
        <row r="248">
          <cell r="D248">
            <v>12</v>
          </cell>
        </row>
      </sheetData>
      <sheetData sheetId="7">
        <row r="7">
          <cell r="D7">
            <v>365</v>
          </cell>
        </row>
        <row r="8">
          <cell r="D8">
            <v>12</v>
          </cell>
        </row>
        <row r="10">
          <cell r="D10">
            <v>52</v>
          </cell>
        </row>
        <row r="15">
          <cell r="D15">
            <v>0.1</v>
          </cell>
        </row>
      </sheetData>
      <sheetData sheetId="8"/>
      <sheetData sheetId="9">
        <row r="5">
          <cell r="D5" t="str">
            <v>VDO 2021 - Variation final</v>
          </cell>
        </row>
        <row r="249">
          <cell r="D249" t="str">
            <v>VDO 2022 - Draft</v>
          </cell>
        </row>
      </sheetData>
      <sheetData sheetId="10">
        <row r="79">
          <cell r="D79">
            <v>0</v>
          </cell>
        </row>
        <row r="82">
          <cell r="D82">
            <v>3.2230594392551382E-2</v>
          </cell>
        </row>
        <row r="310">
          <cell r="D310">
            <v>0.16986301369863013</v>
          </cell>
        </row>
        <row r="312">
          <cell r="D312">
            <v>3.2230594392551382E-2</v>
          </cell>
        </row>
      </sheetData>
      <sheetData sheetId="11">
        <row r="141">
          <cell r="E141">
            <v>181</v>
          </cell>
        </row>
      </sheetData>
      <sheetData sheetId="12"/>
      <sheetData sheetId="13"/>
      <sheetData sheetId="14"/>
      <sheetData sheetId="15"/>
      <sheetData sheetId="16"/>
      <sheetData sheetId="17">
        <row r="39">
          <cell r="D39">
            <v>0.5</v>
          </cell>
          <cell r="E39">
            <v>0.5</v>
          </cell>
        </row>
      </sheetData>
      <sheetData sheetId="18">
        <row r="39">
          <cell r="D39">
            <v>0.33333333333333331</v>
          </cell>
        </row>
      </sheetData>
      <sheetData sheetId="19"/>
      <sheetData sheetId="20"/>
      <sheetData sheetId="21">
        <row r="110">
          <cell r="D110">
            <v>0.66666666666666663</v>
          </cell>
          <cell r="E110">
            <v>0.33333333333333331</v>
          </cell>
        </row>
        <row r="111">
          <cell r="D111">
            <v>0.4</v>
          </cell>
        </row>
      </sheetData>
      <sheetData sheetId="22"/>
      <sheetData sheetId="23">
        <row r="138">
          <cell r="D138" t="str">
            <v>AusNet Services</v>
          </cell>
        </row>
      </sheetData>
      <sheetData sheetId="24">
        <row r="138">
          <cell r="D138" t="str">
            <v>AusNet Services</v>
          </cell>
        </row>
      </sheetData>
      <sheetData sheetId="25">
        <row r="138">
          <cell r="D138" t="str">
            <v>AusNet Services</v>
          </cell>
        </row>
      </sheetData>
      <sheetData sheetId="26">
        <row r="138">
          <cell r="D138" t="str">
            <v>AusNet Services</v>
          </cell>
        </row>
      </sheetData>
      <sheetData sheetId="27"/>
      <sheetData sheetId="28"/>
      <sheetData sheetId="29"/>
      <sheetData sheetId="30"/>
      <sheetData sheetId="31"/>
      <sheetData sheetId="32"/>
      <sheetData sheetId="33"/>
      <sheetData sheetId="34"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7AC8A96D-5314-4AAF-BE7C-9A6F933F5E1C}" autoFormatId="16" applyNumberFormats="0" applyBorderFormats="0" applyFontFormats="0" applyPatternFormats="0" applyAlignmentFormats="0" applyWidthHeightFormats="0">
  <queryTableRefresh nextId="3">
    <queryTableFields count="2">
      <queryTableField id="1" name="VDO decision" tableColumnId="1"/>
      <queryTableField id="2" name="Index" tableColumnId="2"/>
    </queryTableFields>
  </queryTableRefresh>
</queryTable>
</file>

<file path=xl/tables/_rels/table7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99DC0A2-AC8F-4B3C-9546-BB458AD3C7A6}" name="OP_Rates_RES_1" displayName="OP_Rates_RES_1" ref="C19:K27" totalsRowShown="0" headerRowDxfId="1091" headerRowBorderDxfId="1090" tableBorderDxfId="1089" headerRowCellStyle="Table col heading" dataCellStyle="Internal link/lookup">
  <tableColumns count="9">
    <tableColumn id="1" xr3:uid="{E78C1163-A3DD-48CF-86C4-4713E427B63D}" name="Rate name" dataCellStyle="Table cell"/>
    <tableColumn id="3" xr3:uid="{31ACDE4B-AAB5-4640-BE08-6E125BC844E4}" name="Unit" dataCellStyle="Table cell"/>
    <tableColumn id="4" xr3:uid="{B95AFB37-8599-48CB-B375-2E0E5F80DCD9}" name="Customer type" dataCellStyle="Table cell"/>
    <tableColumn id="2" xr3:uid="{F2682DF7-9005-4C15-A85A-9FA6E5E76CD8}" name="-" dataCellStyle="Table cell"/>
    <tableColumn id="5" xr3:uid="{9CB4A5E8-F8B3-45A6-9942-EC4FC685C94A}" name="Ausnet" dataDxfId="1088" dataCellStyle="Internal link/lookup">
      <calculatedColumnFormula>IF(SUMIFS(Calc_Rates!G$63:G$139,Calc_Rates!$C$63:$C$139,OP_Rates!$C20,Calc_Rates!$F$63:$F$139,OP_Rates!$E20)=0,"-",SUMIFS(Calc_Rates!G$63:G$139,Calc_Rates!$C$63:$C$139,OP_Rates!$C20,Calc_Rates!$F$63:$F$139,OP_Rates!$E20))</calculatedColumnFormula>
    </tableColumn>
    <tableColumn id="6" xr3:uid="{669EA234-B896-4973-A45B-9E0DF7CF06BA}" name="Citipower" dataDxfId="1087" dataCellStyle="Internal link/lookup">
      <calculatedColumnFormula>IF(SUMIFS(Calc_Rates!H$63:H$139,Calc_Rates!$C$63:$C$139,OP_Rates!$C20,Calc_Rates!$F$63:$F$139,OP_Rates!$E20)=0,"-",SUMIFS(Calc_Rates!H$63:H$139,Calc_Rates!$C$63:$C$139,OP_Rates!$C20,Calc_Rates!$F$63:$F$139,OP_Rates!$E20))</calculatedColumnFormula>
    </tableColumn>
    <tableColumn id="7" xr3:uid="{B77A7A81-62E1-4C8C-AE91-1162A78C6068}" name="Jemena" dataDxfId="1086" dataCellStyle="Internal link/lookup">
      <calculatedColumnFormula>IF(SUMIFS(Calc_Rates!I$63:I$139,Calc_Rates!$C$63:$C$139,OP_Rates!$C20,Calc_Rates!$F$63:$F$139,OP_Rates!$E20)=0,"-",SUMIFS(Calc_Rates!I$63:I$139,Calc_Rates!$C$63:$C$139,OP_Rates!$C20,Calc_Rates!$F$63:$F$139,OP_Rates!$E20))</calculatedColumnFormula>
    </tableColumn>
    <tableColumn id="8" xr3:uid="{A1C2027B-3C88-4875-88CB-ACD29E96093E}" name="Powercor" dataDxfId="1085" dataCellStyle="Internal link/lookup">
      <calculatedColumnFormula>IF(SUMIFS(Calc_Rates!J$63:J$139,Calc_Rates!$C$63:$C$139,OP_Rates!$C20,Calc_Rates!$F$63:$F$139,OP_Rates!$E20)=0,"-",SUMIFS(Calc_Rates!J$63:J$139,Calc_Rates!$C$63:$C$139,OP_Rates!$C20,Calc_Rates!$F$63:$F$139,OP_Rates!$E20))</calculatedColumnFormula>
    </tableColumn>
    <tableColumn id="9" xr3:uid="{FD9385BF-8187-449D-8F2C-5C88233245B6}" name="United Energy" dataDxfId="1084" dataCellStyle="Internal link/lookup">
      <calculatedColumnFormula>IF(SUMIFS(Calc_Rates!K$63:K$139,Calc_Rates!$C$63:$C$139,OP_Rates!$C20,Calc_Rates!$F$63:$F$139,OP_Rates!$E20)=0,"-",SUMIFS(Calc_Rates!K$63:K$139,Calc_Rates!$C$63:$C$139,OP_Rates!$C20,Calc_Rates!$F$63:$F$139,OP_Rates!$E20))</calculatedColumnFormula>
    </tableColumn>
  </tableColumns>
  <tableStyleInfo name="Default tabl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225A8613-B156-4E18-B29B-6F0EDD6D2F86}" name="OP_TotalRates_SME_1" displayName="OP_TotalRates_SME_1" ref="M8:U16" totalsRowShown="0" headerRowDxfId="1008" headerRowBorderDxfId="1007" tableBorderDxfId="1006" totalsRowBorderDxfId="1005" headerRowCellStyle="Table col heading" dataCellStyle="Table cell">
  <tableColumns count="9">
    <tableColumn id="1" xr3:uid="{C1A5C6F0-D41E-4832-A0D0-06DD1D76E1EE}" name="Rate name" dataCellStyle="Table cell"/>
    <tableColumn id="2" xr3:uid="{845C0D52-D2ED-4E94-BAD9-3BC221A1B4D6}" name="Unit" dataCellStyle="Table cell"/>
    <tableColumn id="3" xr3:uid="{F7EC689D-02E3-4F6F-B915-FB8FE642570C}" name="Customer type" dataCellStyle="Table cell"/>
    <tableColumn id="4" xr3:uid="{C4F34141-B33C-47EB-964B-78FFC9127264}" name="-" dataCellStyle="Table cell"/>
    <tableColumn id="5" xr3:uid="{759561F8-C1F4-4740-BBC1-CD3BBC1A4B6D}" name="Ausnet" dataDxfId="1004" dataCellStyle="Table cell">
      <calculatedColumnFormula array="1">ROUND(
SUMIFS(OP_Rates_SME_1[Ausnet],OP_Rates_SME_1[[Rate name]:[Rate name]],OP_TotalRates_SME_1[[#This Row],[Rate name]:[Rate name]])+
SUMIFS(OP_RatesTU_SME_1[Ausnet],
OP_RatesTU_SME_1[[Rate name]:[Rate name]],IF(OP_TotalRates_SME_1[[#This Row],[Unit]:[Unit]]&lt;&gt;"$",OP_TotalRates_SME_1[[#This Row],[Rate name]:[Rate name]],LEFT(OP_TotalRates_SME_1[[#This Row],[Rate name]:[Rate name]],LEN(OP_TotalRates_SME_1[[#This Row],[Rate name]:[Rate name]])-FIND(" - supply",OP_TotalRates_SME_1[[#This Row],[Rate name]:[Rate name]])-1))),4)</calculatedColumnFormula>
    </tableColumn>
    <tableColumn id="6" xr3:uid="{8DB3D203-F696-471E-A81B-2603227D4C1C}" name="Citipower" dataDxfId="1003" dataCellStyle="Table cell">
      <calculatedColumnFormula array="1">ROUND(
SUMIFS(OP_Rates_SME_1[Citipower],OP_Rates_SME_1[[Rate name]:[Rate name]],OP_TotalRates_SME_1[[#This Row],[Rate name]:[Rate name]])+
SUMIFS(OP_RatesTU_SME_1[Citipower],
OP_RatesTU_SME_1[[Rate name]:[Rate name]],IF(OP_TotalRates_SME_1[[#This Row],[Unit]:[Unit]]&lt;&gt;"$",OP_TotalRates_SME_1[[#This Row],[Rate name]:[Rate name]],LEFT(OP_TotalRates_SME_1[[#This Row],[Rate name]:[Rate name]],LEN(OP_TotalRates_SME_1[[#This Row],[Rate name]:[Rate name]])-FIND(" - supply",OP_TotalRates_SME_1[[#This Row],[Rate name]:[Rate name]])-1))),4)</calculatedColumnFormula>
    </tableColumn>
    <tableColumn id="7" xr3:uid="{12599797-6DB1-4752-A91D-D4F5623A9C9B}" name="Jemena" dataDxfId="1002" dataCellStyle="Table cell">
      <calculatedColumnFormula array="1">ROUND(
SUMIFS(OP_Rates_SME_1[Jemena],OP_Rates_SME_1[[Rate name]:[Rate name]],OP_TotalRates_SME_1[[#This Row],[Rate name]:[Rate name]])+
SUMIFS(OP_RatesTU_SME_1[Jemena],
OP_RatesTU_SME_1[[Rate name]:[Rate name]],IF(OP_TotalRates_SME_1[[#This Row],[Unit]:[Unit]]&lt;&gt;"$",OP_TotalRates_SME_1[[#This Row],[Rate name]:[Rate name]],LEFT(OP_TotalRates_SME_1[[#This Row],[Rate name]:[Rate name]],LEN(OP_TotalRates_SME_1[[#This Row],[Rate name]:[Rate name]])-FIND(" - supply",OP_TotalRates_SME_1[[#This Row],[Rate name]:[Rate name]])-1))),4)</calculatedColumnFormula>
    </tableColumn>
    <tableColumn id="8" xr3:uid="{38D6C70A-AEA2-4EE5-BB10-DC85E9F4FBEF}" name="Powercor" dataDxfId="1001" dataCellStyle="Table cell">
      <calculatedColumnFormula array="1">ROUND(
SUMIFS(OP_Rates_SME_1[Powercor],OP_Rates_SME_1[[Rate name]:[Rate name]],OP_TotalRates_SME_1[[#This Row],[Rate name]:[Rate name]])+
SUMIFS(OP_RatesTU_SME_1[Powercor],
OP_RatesTU_SME_1[[Rate name]:[Rate name]],IF(OP_TotalRates_SME_1[[#This Row],[Unit]:[Unit]]&lt;&gt;"$",OP_TotalRates_SME_1[[#This Row],[Rate name]:[Rate name]],LEFT(OP_TotalRates_SME_1[[#This Row],[Rate name]:[Rate name]],LEN(OP_TotalRates_SME_1[[#This Row],[Rate name]:[Rate name]])-FIND(" - supply",OP_TotalRates_SME_1[[#This Row],[Rate name]:[Rate name]])-1))),4)</calculatedColumnFormula>
    </tableColumn>
    <tableColumn id="9" xr3:uid="{3266CD91-BF6F-45E4-999E-6CBA79B9C8E8}" name="United Energy" dataDxfId="1000" dataCellStyle="Table cell">
      <calculatedColumnFormula array="1">ROUND(
SUMIFS(OP_Rates_SME_1[United Energy],OP_Rates_SME_1[[Rate name]:[Rate name]],OP_TotalRates_SME_1[[#This Row],[Rate name]:[Rate name]])+
SUMIFS(OP_RatesTU_SME_1[United Energy],
OP_RatesTU_SME_1[[Rate name]:[Rate name]],IF(OP_TotalRates_SME_1[[#This Row],[Unit]:[Unit]]&lt;&gt;"$",OP_TotalRates_SME_1[[#This Row],[Rate name]:[Rate name]],LEFT(OP_TotalRates_SME_1[[#This Row],[Rate name]:[Rate name]],LEN(OP_TotalRates_SME_1[[#This Row],[Rate name]:[Rate name]])-FIND(" - supply",OP_TotalRates_SME_1[[#This Row],[Rate name]:[Rate name]])-1))),4)</calculatedColumnFormula>
    </tableColumn>
  </tableColumns>
  <tableStyleInfo name="Default tabl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C66DF13A-03CD-4490-AE87-A347666CE9B0}" name="HYBills_SME7587" displayName="HYBills_SME7587" ref="C20:G23" totalsRowShown="0" headerRowDxfId="200" headerRowBorderDxfId="199" tableBorderDxfId="198" totalsRowBorderDxfId="197" headerRowCellStyle="Table col heading">
  <tableColumns count="5">
    <tableColumn id="1" xr3:uid="{6FC93720-0110-4674-8F46-5F550D72D0E2}" name="Usage profile" dataDxfId="196" dataCellStyle="Auto-populated"/>
    <tableColumn id="2" xr3:uid="{ED820952-645F-45CD-A851-8D7C9303685C}" name="Citipower - initial" dataDxfId="195" dataCellStyle="Table cell"/>
    <tableColumn id="3" xr3:uid="{7FB87C15-2860-472F-91B3-C57BF38623C3}" name="Citipower" dataDxfId="194" dataCellStyle="Table cell">
      <calculatedColumnFormula>E10/6</calculatedColumnFormula>
    </tableColumn>
    <tableColumn id="4" xr3:uid="{57423982-2132-4DD5-809C-67FDEA1D18F6}" name="Powercor - initial" dataDxfId="193" dataCellStyle="Table cell"/>
    <tableColumn id="5" xr3:uid="{F61D1084-0BEB-404B-969C-6F4F5E01FEF4}" name="Powercor" dataDxfId="192" dataCellStyle="Table cell">
      <calculatedColumnFormula>G10/6</calculatedColumnFormula>
    </tableColumn>
  </tableColumns>
  <tableStyleInfo name="Default tabl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84947345-F5BA-4D46-BDB0-C5908BFD384B}" name="HYBillImpact_RES7688" displayName="HYBillImpact_RES7688" ref="I9:M12" totalsRowShown="0" headerRowDxfId="191" headerRowBorderDxfId="190" tableBorderDxfId="189" totalsRowBorderDxfId="188" headerRowCellStyle="Table col heading">
  <tableColumns count="5">
    <tableColumn id="1" xr3:uid="{6289F6DC-882D-48D8-AAD1-C55FF95D47BA}" name="Usage profile" dataDxfId="187"/>
    <tableColumn id="2" xr3:uid="{44DFC1AC-C726-4E9B-B657-88B1CD1B60E9}" name="Citipower - initial" dataDxfId="186"/>
    <tableColumn id="3" xr3:uid="{7B2635A9-5E9E-4ED9-ABA7-0A2117288194}" name="Citipower" dataDxfId="185"/>
    <tableColumn id="4" xr3:uid="{F8537A62-C1B1-4B78-88E5-EF8EAA449B18}" name="Powercor - initial" dataDxfId="184"/>
    <tableColumn id="5" xr3:uid="{88D288E4-111F-4AFB-BBF0-2D30B71EA3F9}" name="Powercor" dataDxfId="183"/>
  </tableColumns>
  <tableStyleInfo name="Default tabl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78C5BCFC-CA50-464F-A2E8-C061DB629650}" name="HYBillImpact_SME7789" displayName="HYBillImpact_SME7789" ref="I20:M23" totalsRowShown="0" headerRowDxfId="182" headerRowBorderDxfId="181" tableBorderDxfId="180" totalsRowBorderDxfId="179" headerRowCellStyle="Table col heading">
  <tableColumns count="5">
    <tableColumn id="1" xr3:uid="{FAF46B77-2FF9-4FF4-A094-25BC527F1088}" name="Usage profile"/>
    <tableColumn id="2" xr3:uid="{A3B74674-DDDA-403D-8B07-7077A372529E}" name="Citipower - initial" dataDxfId="178"/>
    <tableColumn id="3" xr3:uid="{6B5D04D4-66A9-4E21-984C-ABDCDF35A635}" name="Citipower" dataDxfId="177"/>
    <tableColumn id="4" xr3:uid="{F7AF044F-0F5C-453F-AEDD-44D7CF2AEFF8}" name="Powercor - initial" dataDxfId="176"/>
    <tableColumn id="5" xr3:uid="{B462BD58-2036-4E50-8F9E-A4FF8EB63BAC}" name="Powercor" dataDxfId="175"/>
  </tableColumns>
  <tableStyleInfo name="Default tabl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CC42B12D-D0AC-43DC-8D5E-3D850811EB98}" name="Table404244487890" displayName="Table404244487890" ref="O9:S12" totalsRowShown="0" headerRowDxfId="174" headerRowBorderDxfId="173" tableBorderDxfId="172" totalsRowBorderDxfId="171" headerRowCellStyle="Table col heading">
  <tableColumns count="5">
    <tableColumn id="1" xr3:uid="{1AC25B0D-8C17-4F50-986D-22589BFFEDF6}" name="Usage profile" dataDxfId="170"/>
    <tableColumn id="2" xr3:uid="{6FF1F86E-05E6-421C-BD32-7504205DAA2F}" name="Citipower - initial" dataDxfId="169">
      <calculatedColumnFormula>J10/D$10</calculatedColumnFormula>
    </tableColumn>
    <tableColumn id="3" xr3:uid="{2CBE64AF-9F9A-42F1-AED2-667191D9C817}" name="Citipower" dataDxfId="168">
      <calculatedColumnFormula>K10/E$10</calculatedColumnFormula>
    </tableColumn>
    <tableColumn id="4" xr3:uid="{4E6C417D-5EFD-4B73-BE2E-1863CB58E136}" name="Powercor - initial" dataDxfId="167">
      <calculatedColumnFormula>L10/F$10</calculatedColumnFormula>
    </tableColumn>
    <tableColumn id="5" xr3:uid="{6F2ED3F5-7015-4EA2-879B-B9E8DB7D0868}" name="Powercor" dataDxfId="166">
      <calculatedColumnFormula>M10/G$10</calculatedColumnFormula>
    </tableColumn>
  </tableColumns>
  <tableStyleInfo name="Default tabl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622563E1-534C-4B53-B842-0928ECCD31B7}" name="Table40324345647991" displayName="Table40324345647991" ref="S20:W23" totalsRowShown="0" headerRowDxfId="165" headerRowBorderDxfId="164" tableBorderDxfId="163" totalsRowBorderDxfId="162" headerRowCellStyle="Table col heading">
  <tableColumns count="5">
    <tableColumn id="1" xr3:uid="{0F3C4E3A-3C08-4734-B100-F686302DD008}" name="Usage profile"/>
    <tableColumn id="2" xr3:uid="{52CEA717-EC1B-4B49-B087-22B2DE9C3AF7}" name="Citipower - initial" dataDxfId="161">
      <calculatedColumnFormula>J21/D$21</calculatedColumnFormula>
    </tableColumn>
    <tableColumn id="3" xr3:uid="{3B1E805B-213D-41AB-AF4B-904DD7A0BF01}" name="Citipower" dataDxfId="160">
      <calculatedColumnFormula>K21/E$21</calculatedColumnFormula>
    </tableColumn>
    <tableColumn id="4" xr3:uid="{4E3A1041-4D3C-4465-9025-745587CF06EE}" name="Powercor - initial" dataDxfId="159">
      <calculatedColumnFormula>L21/F$21</calculatedColumnFormula>
    </tableColumn>
    <tableColumn id="5" xr3:uid="{D5506AE9-34B4-4454-AABD-95210DEE590D}" name="Powercor" dataDxfId="158">
      <calculatedColumnFormula>M21/G$21</calculatedColumnFormula>
    </tableColumn>
  </tableColumns>
  <tableStyleInfo name="Default tabl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1ED96846-D6CB-4FB9-96C6-59E276D1E766}" name="HYBillImpact_SME7789101" displayName="HYBillImpact_SME7789101" ref="O20:Q23" totalsRowShown="0" headerRowDxfId="157" headerRowBorderDxfId="156" tableBorderDxfId="155" totalsRowBorderDxfId="154" headerRowCellStyle="Table col heading">
  <tableColumns count="3">
    <tableColumn id="1" xr3:uid="{2CE5095A-CCD2-4FED-AAFE-0929F7EFE202}" name="Usage profile"/>
    <tableColumn id="2" xr3:uid="{6A907AC1-331D-45A5-A5E3-50EA2C62E61C}" name="Citipower" dataDxfId="153"/>
    <tableColumn id="3" xr3:uid="{5C94A17F-6A11-40CD-92F5-A86DA2C8A86C}" name="Poweror" dataDxfId="152"/>
  </tableColumns>
  <tableStyleInfo name="Default tabl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D0F66373-98EC-48E4-8E52-5EF11607B25C}" name="HYBills_RES110" displayName="HYBills_RES110" ref="C8:I28" totalsRowShown="0" headerRowDxfId="151" headerRowBorderDxfId="150" tableBorderDxfId="149" totalsRowBorderDxfId="148" headerRowCellStyle="Table col heading">
  <tableColumns count="7">
    <tableColumn id="1" xr3:uid="{2CC34203-0F1A-4555-A32E-02742F664045}" name="Description" dataDxfId="147" dataCellStyle="Auto-populated"/>
    <tableColumn id="2" xr3:uid="{DC704903-B039-44FB-807E-1E39EEA20A49}" name="Ausnet" dataDxfId="146">
      <calculatedColumnFormula>ROUNDUP(1645.0868307369,0)</calculatedColumnFormula>
    </tableColumn>
    <tableColumn id="3" xr3:uid="{345F6471-7088-4919-9150-86B4ACD4CA25}" name="Citipower" dataDxfId="145">
      <calculatedColumnFormula>ROUNDUP(1419.6034655694,0)</calculatedColumnFormula>
    </tableColumn>
    <tableColumn id="4" xr3:uid="{3887606E-04BC-4018-B7E0-D90377C9FA45}" name="Jemena" dataDxfId="144">
      <calculatedColumnFormula>ROUNDUP(1495.43737702661,0)</calculatedColumnFormula>
    </tableColumn>
    <tableColumn id="5" xr3:uid="{ECDB6D2D-C39B-4B6F-A3E0-81CEAB591587}" name="Powercor" dataDxfId="143">
      <calculatedColumnFormula>ROUNDUP(1516.79037731658,0)</calculatedColumnFormula>
    </tableColumn>
    <tableColumn id="6" xr3:uid="{3E016426-3B79-413F-80E5-45E8C7D75F1E}" name="United Energy" dataDxfId="142">
      <calculatedColumnFormula>ROUNDUP(1507.72468254172,0)</calculatedColumnFormula>
    </tableColumn>
    <tableColumn id="7" xr3:uid="{4C2F3EA6-D6CB-4B72-AB57-40C11A641B29}" name="Victoria" dataDxfId="141">
      <calculatedColumnFormula>AVERAGE(HYBills_RES110[[#This Row],[Ausnet]:[United Energy]])</calculatedColumnFormula>
    </tableColumn>
  </tableColumns>
  <tableStyleInfo name="Default tabl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BC6E3F2A-9EEA-430E-86F1-B73BBE60580E}" name="HYBills_RES11098" displayName="HYBills_RES11098" ref="C31:I51" totalsRowShown="0" headerRowDxfId="140" headerRowBorderDxfId="139" tableBorderDxfId="138" totalsRowBorderDxfId="137" headerRowCellStyle="Table col heading">
  <tableColumns count="7">
    <tableColumn id="1" xr3:uid="{E1FADBB6-1D1C-42A5-BF58-36CF316CA0B4}" name="Description" dataDxfId="136" dataCellStyle="Auto-populated"/>
    <tableColumn id="2" xr3:uid="{B426056C-67CC-482F-B404-E687D0B9D8BB}" name="Ausnet" dataDxfId="135">
      <calculatedColumnFormula>ROUNDUP(1645.0868307369,0)</calculatedColumnFormula>
    </tableColumn>
    <tableColumn id="3" xr3:uid="{0304F9D2-F491-45EC-A06C-AF0D0F381C14}" name="Citipower" dataDxfId="134">
      <calculatedColumnFormula>ROUNDUP(1419.6034655694,0)</calculatedColumnFormula>
    </tableColumn>
    <tableColumn id="4" xr3:uid="{10DC8E0A-69F0-4C64-B624-49295F64F57C}" name="Jemena" dataDxfId="133">
      <calculatedColumnFormula>ROUNDUP(1495.43737702661,0)</calculatedColumnFormula>
    </tableColumn>
    <tableColumn id="5" xr3:uid="{F2EBBCA0-596B-4954-87FD-A6475C5F5F1D}" name="Powercor" dataDxfId="132">
      <calculatedColumnFormula>ROUNDUP(1516.79037731658,0)</calculatedColumnFormula>
    </tableColumn>
    <tableColumn id="6" xr3:uid="{E5E64A79-A702-4C73-A368-B1052E2039B9}" name="United Energy" dataDxfId="131">
      <calculatedColumnFormula>ROUNDUP(1507.72468254172,0)</calculatedColumnFormula>
    </tableColumn>
    <tableColumn id="7" xr3:uid="{4AA1CBCF-5DC4-4310-9D82-503413A36BBF}" name="Victoria" dataDxfId="130">
      <calculatedColumnFormula>AVERAGE(HYBills_RES11098[[#This Row],[Ausnet]:[United Energy]])</calculatedColumnFormula>
    </tableColumn>
  </tableColumns>
  <tableStyleInfo name="Default tabl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8EB5B887-98D1-42C4-8621-EAFE4CC95D29}" name="HYBills_RES11099" displayName="HYBills_RES11099" ref="C54:I74" totalsRowShown="0" headerRowDxfId="129" headerRowBorderDxfId="128" tableBorderDxfId="127" totalsRowBorderDxfId="126" headerRowCellStyle="Table col heading">
  <tableColumns count="7">
    <tableColumn id="1" xr3:uid="{0E9A6C97-9839-4F09-8285-9E628F662D33}" name="Description" dataDxfId="125" dataCellStyle="Auto-populated"/>
    <tableColumn id="2" xr3:uid="{9564D6C7-A193-40BD-AFB2-BCDA9729E7AD}" name="Ausnet" dataDxfId="124">
      <calculatedColumnFormula>ROUNDUP(1645.0868307369,0)</calculatedColumnFormula>
    </tableColumn>
    <tableColumn id="3" xr3:uid="{842B0F7C-D0D2-413B-B852-FCE336151F72}" name="Citipower" dataDxfId="123">
      <calculatedColumnFormula>ROUNDUP(1419.6034655694,0)</calculatedColumnFormula>
    </tableColumn>
    <tableColumn id="4" xr3:uid="{2E8BE9C6-ABA9-4F6C-AE4F-B669EA5A2859}" name="Jemena" dataDxfId="122">
      <calculatedColumnFormula>ROUNDUP(1495.43737702661,0)</calculatedColumnFormula>
    </tableColumn>
    <tableColumn id="5" xr3:uid="{981FA2CA-CF5E-427C-838B-57E81496F269}" name="Powercor" dataDxfId="121">
      <calculatedColumnFormula>ROUNDUP(1516.79037731658,0)</calculatedColumnFormula>
    </tableColumn>
    <tableColumn id="6" xr3:uid="{C696DFB1-00C6-4BE2-ADAD-9644B8666ABC}" name="United Energy" dataDxfId="120">
      <calculatedColumnFormula>ROUNDUP(1507.72468254172,0)</calculatedColumnFormula>
    </tableColumn>
    <tableColumn id="7" xr3:uid="{85F9AA32-A109-4A6D-A356-E23827346091}" name="Victoria" dataDxfId="119">
      <calculatedColumnFormula>AVERAGE(HYBills_RES11099[[#This Row],[Ausnet]:[United Energy]])</calculatedColumnFormula>
    </tableColumn>
  </tableColumns>
  <tableStyleInfo name="Default tabl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1B25341F-C184-49B8-9D57-5465F6723FD9}" name="HYBills_RES11098100" displayName="HYBills_RES11098100" ref="C77:I97" totalsRowShown="0" headerRowDxfId="118" headerRowBorderDxfId="117" tableBorderDxfId="116" totalsRowBorderDxfId="115" headerRowCellStyle="Table col heading">
  <tableColumns count="7">
    <tableColumn id="1" xr3:uid="{5AF8A520-B3D7-4F0C-ABD4-C6EEC1FCC0AC}" name="Description" dataDxfId="114" dataCellStyle="Auto-populated"/>
    <tableColumn id="2" xr3:uid="{914015D8-61EC-4E84-8AFB-B47A6BA127C4}" name="Ausnet" dataDxfId="113">
      <calculatedColumnFormula>ROUNDUP(1645.0868307369,0)</calculatedColumnFormula>
    </tableColumn>
    <tableColumn id="3" xr3:uid="{31C25553-E2A4-442F-A316-A05646EA4AB8}" name="Citipower" dataDxfId="112">
      <calculatedColumnFormula>ROUNDUP(1419.6034655694,0)</calculatedColumnFormula>
    </tableColumn>
    <tableColumn id="4" xr3:uid="{FCC4CBA5-6BE9-4D6F-80B7-FA14E60EDB44}" name="Jemena" dataDxfId="111">
      <calculatedColumnFormula>ROUNDUP(1495.43737702661,0)</calculatedColumnFormula>
    </tableColumn>
    <tableColumn id="5" xr3:uid="{F00CA30C-7C5A-4286-9F53-18FB2D0A2D96}" name="Powercor" dataDxfId="110">
      <calculatedColumnFormula>ROUNDUP(1516.79037731658,0)</calculatedColumnFormula>
    </tableColumn>
    <tableColumn id="6" xr3:uid="{8188DD87-D993-4460-83C4-8FDA18D1D3AE}" name="United Energy" dataDxfId="109">
      <calculatedColumnFormula>ROUNDUP(1507.72468254172,0)</calculatedColumnFormula>
    </tableColumn>
    <tableColumn id="7" xr3:uid="{9C09BDB6-6BDB-4EFB-8DE7-A25561E3BBF3}" name="Victoria" dataDxfId="108">
      <calculatedColumnFormula>AVERAGE(HYBills_RES11098100[[#This Row],[Ausnet]:[United Energy]])</calculatedColumnFormula>
    </tableColumn>
  </tableColumns>
  <tableStyleInfo name="Default tabl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FEB8D17F-5D68-4130-BFBB-1A43FBFC16A3}" name="OP_RatesTU_RES_1" displayName="OP_RatesTU_RES_1" ref="C30:K39" totalsRowShown="0" headerRowDxfId="999" headerRowBorderDxfId="998" tableBorderDxfId="997" headerRowCellStyle="Table col heading" dataCellStyle="Internal link/lookup">
  <tableColumns count="9">
    <tableColumn id="1" xr3:uid="{EDE28CA5-A06C-49F9-A068-256EFAE7F168}" name="Rate name" dataDxfId="996" dataCellStyle="Table cell"/>
    <tableColumn id="2" xr3:uid="{F8BA328E-C870-4835-A420-6C613706B330}" name="Unit" dataDxfId="995" dataCellStyle="Table cell"/>
    <tableColumn id="3" xr3:uid="{2848F034-ACD7-4EBD-8A6C-818F974EFF49}" name="Customer type" dataDxfId="994" dataCellStyle="Table cell"/>
    <tableColumn id="4" xr3:uid="{2962F910-A75B-405C-9C97-A0C617F4A661}" name="Cost element" dataCellStyle="Table cell"/>
    <tableColumn id="5" xr3:uid="{686EA705-D4CF-4833-A268-FE69EB04E7AF}" name="Ausnet" dataDxfId="993" dataCellStyle="Internal link/lookup">
      <calculatedColumnFormula array="1">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name]]),0),MATCH(OP_RatesTU_RES_1[[#Headers],[Ausnet]],Calc_TUR_Net_1[[#Headers],[Ausnet]:[United Energy]],0)),
INDEX(Calc_TUR_NetCL_1[[Ausnet]:[United Energy]],MATCH(OP_RatesTU_RES_1[[#This Row],[Customer type]:[Customer type]],Calc_TUR_NetCL_1[[Customer type]:[Customer type]],0),MATCH(OP_RatesTU_RES_1[[#Headers],[Ausnet]],Calc_TUR_NetCL_1[[#Headers],[Ausnet]:[United Energy]],0))),
IF(OP_RatesTU_RES_1[[#This Row],[Cost element]:[Cost element]]="Environmental",
SUMIFS(INDEX(Calc_TUR_Env_1[[Ausnet]:[United Energy]],0,MATCH(OP_RatesTU_RES_1[[#Headers],[Ausnet]],Calc_TUR_Env_1[[#Headers],[Ausnet]:[United Energy]],0)),
Calc_TUR_Env_1[[Customer type]:[Customer type]],OP_RatesTU_RES_1[[#This Row],[Customer type]:[Customer type]],Calc_TUR_Env_1[[Rate type]:[Rate type]],OP_RatesTU_RES_1[[#This Row],[Rate name]:[Rate name]]),
"-")),"-")</calculatedColumnFormula>
    </tableColumn>
    <tableColumn id="6" xr3:uid="{9B8ED77B-C08F-4D34-8E42-4A9655A90B4C}" name="Citipower" dataDxfId="992" dataCellStyle="Internal link/lookup">
      <calculatedColumnFormula array="1">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name]]),0),MATCH(OP_RatesTU_RES_1[[#Headers],[Citipower]],Calc_TUR_Net_1[[#Headers],[Ausnet]:[United Energy]],0)),
INDEX(Calc_TUR_NetCL_1[[Ausnet]:[United Energy]],MATCH(OP_RatesTU_RES_1[[#This Row],[Customer type]:[Customer type]],Calc_TUR_NetCL_1[[Customer type]:[Customer type]],0),MATCH(OP_RatesTU_RES_1[[#Headers],[Citipower]],Calc_TUR_NetCL_1[[#Headers],[Ausnet]:[United Energy]],0))),
IF(OP_RatesTU_RES_1[[#This Row],[Cost element]:[Cost element]]="Environmental",
SUMIFS(INDEX(Calc_TUR_Env_1[[Ausnet]:[United Energy]],0,MATCH(OP_RatesTU_RES_1[[#Headers],[Citipower]],Calc_TUR_Env_1[[#Headers],[Ausnet]:[United Energy]],0)),
Calc_TUR_Env_1[[Customer type]:[Customer type]],OP_RatesTU_RES_1[[#This Row],[Customer type]:[Customer type]],Calc_TUR_Env_1[[Rate type]:[Rate type]],OP_RatesTU_RES_1[[#This Row],[Rate name]:[Rate name]]),
"-")),"-")</calculatedColumnFormula>
    </tableColumn>
    <tableColumn id="7" xr3:uid="{12E49AC4-261F-464A-AB58-F13487FE2360}" name="Jemena" dataDxfId="991" dataCellStyle="Internal link/lookup">
      <calculatedColumnFormula array="1">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name]]),0),MATCH(OP_RatesTU_RES_1[[#Headers],[Jemena]],Calc_TUR_Net_1[[#Headers],[Ausnet]:[United Energy]],0)),
INDEX(Calc_TUR_NetCL_1[[Ausnet]:[United Energy]],MATCH(OP_RatesTU_RES_1[[#This Row],[Customer type]:[Customer type]],Calc_TUR_NetCL_1[[Customer type]:[Customer type]],0),MATCH(OP_RatesTU_RES_1[[#Headers],[Jemena]],Calc_TUR_NetCL_1[[#Headers],[Ausnet]:[United Energy]],0))),
IF(OP_RatesTU_RES_1[[#This Row],[Cost element]:[Cost element]]="Environmental",
SUMIFS(INDEX(Calc_TUR_Env_1[[Ausnet]:[United Energy]],0,MATCH(OP_RatesTU_RES_1[[#Headers],[Jemena]],Calc_TUR_Env_1[[#Headers],[Ausnet]:[United Energy]],0)),
Calc_TUR_Env_1[[Customer type]:[Customer type]],OP_RatesTU_RES_1[[#This Row],[Customer type]:[Customer type]],Calc_TUR_Env_1[[Rate type]:[Rate type]],OP_RatesTU_RES_1[[#This Row],[Rate name]:[Rate name]]),
"-")),"-")</calculatedColumnFormula>
    </tableColumn>
    <tableColumn id="8" xr3:uid="{5A3667C2-AFFE-442F-B9A7-EB8AEA384D28}" name="Powercor" dataDxfId="990" dataCellStyle="Internal link/lookup">
      <calculatedColumnFormula array="1">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name]]),0),MATCH(OP_RatesTU_RES_1[[#Headers],[Powercor]],Calc_TUR_Net_1[[#Headers],[Ausnet]:[United Energy]],0)),
INDEX(Calc_TUR_NetCL_1[[Ausnet]:[United Energy]],MATCH(OP_RatesTU_RES_1[[#This Row],[Customer type]:[Customer type]],Calc_TUR_NetCL_1[[Customer type]:[Customer type]],0),MATCH(OP_RatesTU_RES_1[[#Headers],[Powercor]],Calc_TUR_NetCL_1[[#Headers],[Ausnet]:[United Energy]],0))),
IF(OP_RatesTU_RES_1[[#This Row],[Cost element]:[Cost element]]="Environmental",
SUMIFS(INDEX(Calc_TUR_Env_1[[Ausnet]:[United Energy]],0,MATCH(OP_RatesTU_RES_1[[#Headers],[Powercor]],Calc_TUR_Env_1[[#Headers],[Ausnet]:[United Energy]],0)),
Calc_TUR_Env_1[[Customer type]:[Customer type]],OP_RatesTU_RES_1[[#This Row],[Customer type]:[Customer type]],Calc_TUR_Env_1[[Rate type]:[Rate type]],OP_RatesTU_RES_1[[#This Row],[Rate name]:[Rate name]]),
"-")),"-")</calculatedColumnFormula>
    </tableColumn>
    <tableColumn id="9" xr3:uid="{B2228E7E-67E5-4ECB-BC40-E0E7E16BAD7E}" name="United Energy" dataDxfId="989" dataCellStyle="Internal link/lookup">
      <calculatedColumnFormula array="1">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name]]),0),MATCH(OP_RatesTU_RES_1[[#Headers],[United Energy]],Calc_TUR_Net_1[[#Headers],[Ausnet]:[United Energy]],0)),
INDEX(Calc_TUR_NetCL_1[[Ausnet]:[United Energy]],MATCH(OP_RatesTU_RES_1[[#This Row],[Customer type]:[Customer type]],Calc_TUR_NetCL_1[[Customer type]:[Customer type]],0),MATCH(OP_RatesTU_RES_1[[#Headers],[United Energy]],Calc_TUR_NetCL_1[[#Headers],[Ausnet]:[United Energy]],0))),
IF(OP_RatesTU_RES_1[[#This Row],[Cost element]:[Cost element]]="Environmental",
SUMIFS(INDEX(Calc_TUR_Env_1[[Ausnet]:[United Energy]],0,MATCH(OP_RatesTU_RES_1[[#Headers],[United Energy]],Calc_TUR_Env_1[[#Headers],[Ausnet]:[United Energy]],0)),
Calc_TUR_Env_1[[Customer type]:[Customer type]],OP_RatesTU_RES_1[[#This Row],[Customer type]:[Customer type]],Calc_TUR_Env_1[[Rate type]:[Rate type]],OP_RatesTU_RES_1[[#This Row],[Rate name]:[Rate name]]),
"-")),"-")</calculatedColumnFormula>
    </tableColumn>
  </tableColumns>
  <tableStyleInfo name="Default tabl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5F2A24A7-D395-41CC-A4FE-445680629E79}" name="CostStackCalcs_SME_1" displayName="CostStackCalcs_SME_1" ref="C53:I67" totalsRowShown="0" headerRowDxfId="107" dataDxfId="105" headerRowBorderDxfId="106" tableBorderDxfId="104" totalsRowBorderDxfId="103" headerRowCellStyle="Table col heading" dataCellStyle="Table cell">
  <tableColumns count="7">
    <tableColumn id="1" xr3:uid="{2C3F7EC5-9641-4046-B37A-BFE4DDB76FA9}" name="Labels" totalsRowDxfId="102" dataCellStyle="Table cell" totalsRowCellStyle="Table cell"/>
    <tableColumn id="2" xr3:uid="{F4EEB8D3-5E29-497A-91C5-C84362708D0B}" name="Ausnet" dataDxfId="101" totalsRowDxfId="100" dataCellStyle="Table cell" totalsRowCellStyle="Table cell"/>
    <tableColumn id="3" xr3:uid="{53E877F1-0030-4F5B-895C-FD0F39E18003}" name="Citipower" dataDxfId="99" totalsRowDxfId="98" dataCellStyle="Table cell" totalsRowCellStyle="Table cell"/>
    <tableColumn id="4" xr3:uid="{6B4C0EE3-C1FB-4A3E-BC00-06BC626584A2}" name="Jemena" dataDxfId="97" totalsRowDxfId="96" dataCellStyle="Table cell" totalsRowCellStyle="Table cell"/>
    <tableColumn id="5" xr3:uid="{6D442226-E791-49B6-BF08-9797BDB39C1E}" name="Powercor" dataDxfId="95" totalsRowDxfId="94" dataCellStyle="Table cell" totalsRowCellStyle="Table cell"/>
    <tableColumn id="6" xr3:uid="{41570DF7-E820-4633-96F6-787E7B61EA6E}" name="United Energy" dataDxfId="93" totalsRowDxfId="92" dataCellStyle="Table cell" totalsRowCellStyle="Table cell"/>
    <tableColumn id="7" xr3:uid="{A7767476-7FA8-4DF1-B725-B67BCC79642D}" name="Average" dataDxfId="91" totalsRowDxfId="90" dataCellStyle="Table cell" totalsRowCellStyle="Table cell">
      <calculatedColumnFormula>AVERAGE(D54:H54)</calculatedColumnFormula>
    </tableColumn>
  </tableColumns>
  <tableStyleInfo name="Default tabl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884F98A0-205F-4590-A32C-0DD96E1A9932}" name="CostStackCalcs_SME_2" displayName="CostStackCalcs_SME_2" ref="K53:Q67" totalsRowShown="0" headerRowDxfId="89" dataDxfId="87" headerRowBorderDxfId="88" tableBorderDxfId="86" totalsRowBorderDxfId="85" headerRowCellStyle="Table col heading" dataCellStyle="Table cell">
  <tableColumns count="7">
    <tableColumn id="1" xr3:uid="{5703EB57-D132-469C-A83A-5D5BBEA3CB70}" name="Labels" dataCellStyle="Table cell"/>
    <tableColumn id="2" xr3:uid="{CCE36173-8B93-42C5-B639-232E23A0EA19}" name="Ausnet" dataDxfId="84" dataCellStyle="Table cell"/>
    <tableColumn id="3" xr3:uid="{A1C621FE-626C-4858-810E-1E29A4035476}" name="Citipower" dataDxfId="83" dataCellStyle="Table cell"/>
    <tableColumn id="4" xr3:uid="{B26EF358-3C03-48B2-90E1-681EAC53F6DA}" name="Jemena" dataDxfId="82" dataCellStyle="Table cell"/>
    <tableColumn id="5" xr3:uid="{E5D33A0A-4CED-403A-B081-00D19170CF61}" name="Powercor" dataDxfId="81" dataCellStyle="Table cell"/>
    <tableColumn id="6" xr3:uid="{C7D6F793-8DBD-4DE2-BAC0-9F4CA5E0749D}" name="United Energy" dataDxfId="80" dataCellStyle="Table cell"/>
    <tableColumn id="7" xr3:uid="{51B1312E-5597-49F7-A3A9-BC9267D577AC}" name="Average" dataDxfId="79" dataCellStyle="Table cell">
      <calculatedColumnFormula>AVERAGE(L54:P54)</calculatedColumnFormula>
    </tableColumn>
  </tableColumns>
  <tableStyleInfo name="Default tabl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C4F0BCE2-26BB-4C88-9ADA-ECCF036325B1}" name="CH_BITariff4271" displayName="CH_BITariff4271" ref="C162:P207" totalsRowShown="0" headerRowDxfId="78" headerRowBorderDxfId="77" tableBorderDxfId="76" headerRowCellStyle="Table col heading">
  <tableColumns count="14">
    <tableColumn id="1" xr3:uid="{E24CB8E1-70D4-4CEA-8D81-A8474C631992}" name="Rate name" dataCellStyle="Table cell"/>
    <tableColumn id="2" xr3:uid="{F5883E64-001F-4B56-A1E0-7B654C729105}" name="Unit" dataCellStyle="Table cell"/>
    <tableColumn id="4" xr3:uid="{C3FC039E-CB2A-4275-82D6-2FC93DC9DB8D}" name="Decision" dataCellStyle="Table cell"/>
    <tableColumn id="14" xr3:uid="{942240AC-EF70-46DE-9C93-B10AD058AA6A}" name="Rate type" dataDxfId="75" dataCellStyle="Table cell"/>
    <tableColumn id="3" xr3:uid="{54802FEA-E2C7-4E1E-B108-B4010FEF4D94}" name="Customer type" dataCellStyle="Table cell"/>
    <tableColumn id="10" xr3:uid="{3BBDB598-F81D-4629-87B1-18096DE84C23}" name="Tariff type" dataCellStyle="Table cell"/>
    <tableColumn id="5" xr3:uid="{F5430F31-10B4-4FEC-839E-20D597AE88B5}" name="Ausnet" dataDxfId="74" dataCellStyle="Table cell"/>
    <tableColumn id="6" xr3:uid="{B40C6116-3B50-43B8-AF7D-8F1EE0F66C30}" name="Citipower" dataDxfId="73" dataCellStyle="Table cell"/>
    <tableColumn id="7" xr3:uid="{8870F2D0-D28C-49A4-9991-685C1FA2DA6F}" name="Jemena" dataDxfId="72" dataCellStyle="Table cell"/>
    <tableColumn id="8" xr3:uid="{7B04AB2F-F218-497E-BFF9-C0B56B1A36FF}" name="Powercor" dataDxfId="71" dataCellStyle="Table cell"/>
    <tableColumn id="9" xr3:uid="{2A2C8E10-C93A-4431-BBE4-1A1383AFF9E1}" name="United Energy" dataDxfId="70" dataCellStyle="Table cell"/>
    <tableColumn id="11" xr3:uid="{771E621B-9DC5-4E2C-AEE3-CA9845291BDF}" name=" " dataDxfId="69" dataCellStyle="Table cell"/>
    <tableColumn id="12" xr3:uid="{6D9FDD64-416B-40DE-B77B-D8AF5F2469D2}" name="Usage unit" dataDxfId="68" dataCellStyle="Table cell"/>
    <tableColumn id="13" xr3:uid="{50C247C2-8F5A-4DE4-A52C-DEC3F53F776C}" name="Usage value" dataDxfId="67" dataCellStyle="Table cell"/>
  </tableColumns>
  <tableStyleInfo name="Default tabl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697892F1-55C3-4676-8AE2-FBF0A2AA49C5}" name="CH_BITariff1314372" displayName="CH_BITariff1314372" ref="C211:M257" totalsRowShown="0" headerRowDxfId="66" headerRowBorderDxfId="65" tableBorderDxfId="64" headerRowCellStyle="Table col heading" dataCellStyle="Table cell">
  <tableColumns count="11">
    <tableColumn id="1" xr3:uid="{87DF2ADD-741E-49F9-9B76-DD325E56FF67}" name="Rate name" dataCellStyle="Table cell"/>
    <tableColumn id="2" xr3:uid="{E8CF16CD-1E62-46ED-B2D3-8CFBB279E81A}" name="Unit" dataCellStyle="Table cell"/>
    <tableColumn id="4" xr3:uid="{497D7364-35EF-4F80-AF4B-5C3FF1A78DAB}" name="Decision" dataCellStyle="Table cell"/>
    <tableColumn id="6" xr3:uid="{76B9AE3F-A997-41A0-812E-E8203A1F7485}" name="Rate type" dataCellStyle="Table cell"/>
    <tableColumn id="3" xr3:uid="{FDB70B09-CA4C-45AA-90D4-6CD76B13B8B7}" name="Customer type" dataCellStyle="Table cell"/>
    <tableColumn id="10" xr3:uid="{879A46F2-2E83-43E1-A7AF-EE623D7C97FA}" name="Tariff type" dataCellStyle="Table cell"/>
    <tableColumn id="5" xr3:uid="{5142A4CB-5CF0-4BC4-99F9-F00DE2FD0166}" name="Ausnet" dataDxfId="63" dataCellStyle="Table cell"/>
    <tableColumn id="11" xr3:uid="{9B767477-7357-4DE8-8DFF-0FF8A8C2243F}" name="Citipower" dataDxfId="62" dataCellStyle="Table cell"/>
    <tableColumn id="12" xr3:uid="{0CFEA157-DE83-4EC3-962E-4FEBAFCCB368}" name="Jemena" dataDxfId="61" dataCellStyle="Table cell"/>
    <tableColumn id="13" xr3:uid="{2344D614-5FC7-4D75-861E-57607C7D2149}" name="Powercor" dataDxfId="60" dataCellStyle="Table cell"/>
    <tableColumn id="14" xr3:uid="{86940791-2002-43F5-A907-5A802257FFFB}" name="United Energy" dataDxfId="59" dataCellStyle="Table cell"/>
  </tableColumns>
  <tableStyleInfo name="Default tabl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2583909-9758-40BD-BF36-98FA8CD14947}" name="CH_BITariff4232" displayName="CH_BITariff4232" ref="C162:P192" totalsRowShown="0" headerRowDxfId="58" headerRowBorderDxfId="57" tableBorderDxfId="56" headerRowCellStyle="Table col heading">
  <tableColumns count="14">
    <tableColumn id="1" xr3:uid="{3825B149-61DD-430E-A63C-A25537D4B1E6}" name="Rate name" dataCellStyle="Table cell"/>
    <tableColumn id="2" xr3:uid="{0D4044BD-5726-4D45-9A70-B152666D3139}" name="Unit" dataCellStyle="Table cell"/>
    <tableColumn id="4" xr3:uid="{4E06CE0F-0908-4094-9AE6-C7925EF1FA12}" name="Decision" dataCellStyle="Table cell"/>
    <tableColumn id="14" xr3:uid="{7051432E-2B91-4B07-94E3-A711E890AA2E}" name="Rate type" dataDxfId="55" dataCellStyle="Table cell"/>
    <tableColumn id="3" xr3:uid="{C41C7CDC-B415-439B-950F-C7F5F2E93BB8}" name="Customer type" dataCellStyle="Table cell"/>
    <tableColumn id="10" xr3:uid="{EDB8EF83-929B-4CC8-82F5-97E37B590D15}" name="Tariff type" dataCellStyle="Table cell"/>
    <tableColumn id="5" xr3:uid="{5E3F8ADE-17F2-4958-8CAA-54382448D0F6}" name="Ausnet" dataDxfId="54" dataCellStyle="Table cell"/>
    <tableColumn id="6" xr3:uid="{1CB9031C-BE2D-4A11-B202-3EAB6B32D137}" name="Citipower" dataDxfId="53" dataCellStyle="Table cell"/>
    <tableColumn id="7" xr3:uid="{A970683B-06FF-412B-A782-64481BDCA2C6}" name="Jemena" dataDxfId="52" dataCellStyle="Table cell"/>
    <tableColumn id="8" xr3:uid="{F8A16009-2C73-409D-A3F9-32E2D910137F}" name="Powercor" dataDxfId="51" dataCellStyle="Table cell"/>
    <tableColumn id="9" xr3:uid="{318E0FBA-7962-406F-8A75-9EB92875B29E}" name="United Energy" dataDxfId="50" dataCellStyle="Table cell"/>
    <tableColumn id="11" xr3:uid="{4BC065C9-A91B-4F26-B959-80A6674E48CE}" name=" " dataDxfId="49" dataCellStyle="Table cell"/>
    <tableColumn id="12" xr3:uid="{9277E8F9-58ED-4A1E-A983-B51ED2C146FB}" name="Usage unit" dataDxfId="48" dataCellStyle="Table cell"/>
    <tableColumn id="13" xr3:uid="{2F28D563-9F80-414F-B51B-1E8F7182179E}" name="Usage value" dataDxfId="47" dataCellStyle="Table cell"/>
  </tableColumns>
  <tableStyleInfo name="Default tabl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DC803B1-84D1-476B-9372-20DEA75AB30B}" name="CH_BITariff1314341" displayName="CH_BITariff1314341" ref="C195:M225" totalsRowShown="0" headerRowDxfId="46" headerRowBorderDxfId="45" tableBorderDxfId="44" headerRowCellStyle="Table col heading" dataCellStyle="Table cell">
  <tableColumns count="11">
    <tableColumn id="1" xr3:uid="{FEE9C1CC-9F56-4F32-8816-C3DEC8AB3488}" name="Rate name" dataCellStyle="Table cell"/>
    <tableColumn id="2" xr3:uid="{DEAF0A21-771D-4901-A842-440A9AA65A13}" name="Unit" dataCellStyle="Table cell"/>
    <tableColumn id="4" xr3:uid="{59FADDD9-92A3-4BF8-8EFD-6780A71BD7AD}" name="Decision" dataCellStyle="Table cell"/>
    <tableColumn id="6" xr3:uid="{ED9FD0B6-2E73-4139-9BD2-5D235254C56F}" name="Rate type" dataCellStyle="Table cell"/>
    <tableColumn id="3" xr3:uid="{45197305-EC96-4633-9B6B-E57BEB1BE808}" name="Customer type" dataCellStyle="Table cell"/>
    <tableColumn id="10" xr3:uid="{8929F3D5-429C-49CC-9019-36FBAC814E27}" name="Tariff type" dataCellStyle="Table cell"/>
    <tableColumn id="5" xr3:uid="{E7F31691-3739-409E-B61B-C15F0BD4D43A}" name="Ausnet" dataDxfId="43" dataCellStyle="Table cell">
      <calculatedColumnFormula>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calculatedColumnFormula>
    </tableColumn>
    <tableColumn id="11" xr3:uid="{4183C8A8-65FE-4C77-9280-2B7E5AE2C2DB}" name="Citipower" dataDxfId="42" dataCellStyle="Table cell">
      <calculatedColumnFormula>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calculatedColumnFormula>
    </tableColumn>
    <tableColumn id="12" xr3:uid="{54D5F7A1-4305-4A2D-9E9A-8CAF26BFF822}" name="Jemena" dataDxfId="41" dataCellStyle="Table cell">
      <calculatedColumnFormula>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calculatedColumnFormula>
    </tableColumn>
    <tableColumn id="13" xr3:uid="{F62DC7E7-F478-448F-AA75-3F823FA944F4}" name="Powercor" dataDxfId="40" dataCellStyle="Table cell">
      <calculatedColumnFormula>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calculatedColumnFormula>
    </tableColumn>
    <tableColumn id="14" xr3:uid="{322A7C61-E159-401A-9E91-E68C52A93712}" name="United Energy" dataDxfId="39" dataCellStyle="Table cell">
      <calculatedColumnFormula>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calculatedColumnFormula>
    </tableColumn>
  </tableColumns>
  <tableStyleInfo name="Default tabl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F8509A4-B85B-4A8D-AF40-29DFBA0E9DBD}" name="LU_Units" displayName="LU_Units" ref="E7:E20" totalsRowShown="0" dataDxfId="37" headerRowBorderDxfId="38" tableBorderDxfId="36" totalsRowBorderDxfId="35" headerRowCellStyle="Table col heading" dataCellStyle="Hard-coded">
  <tableColumns count="1">
    <tableColumn id="1" xr3:uid="{9C6E56E0-72A9-4D72-9F61-583216BE24AD}" name="Units" dataDxfId="34" dataCellStyle="Hard-coded"/>
  </tableColumns>
  <tableStyleInfo name="Default tabl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51C4FA7-4A02-4FE2-8E4B-E86988411993}" name="LU_FixedVariable" displayName="LU_FixedVariable" ref="C7:C10" totalsRowShown="0" dataDxfId="32" headerRowBorderDxfId="33" tableBorderDxfId="31" totalsRowBorderDxfId="30" headerRowCellStyle="Table col heading" dataCellStyle="Hard-coded">
  <tableColumns count="1">
    <tableColumn id="1" xr3:uid="{6E304742-6DCB-4D36-AA6E-D41E67A17680}" name="Fixed/Variable" dataDxfId="29" dataCellStyle="Hard-coded"/>
  </tableColumns>
  <tableStyleInfo name="Default tabl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6E1678C-13B5-41F4-9732-B8998A6F29D0}" name="LU_CustType" displayName="LU_CustType" ref="G7:G10" totalsRowShown="0" dataDxfId="27" headerRowBorderDxfId="28" tableBorderDxfId="26" totalsRowBorderDxfId="25" headerRowCellStyle="Table col heading" dataCellStyle="Hard-coded">
  <tableColumns count="1">
    <tableColumn id="1" xr3:uid="{E4257759-0421-4BCD-A015-75722E8DBCF3}" name="Customer type" dataDxfId="24" dataCellStyle="Hard-coded"/>
  </tableColumns>
  <tableStyleInfo name="Default tabl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854E2C13-AB39-4E55-BF00-537BD955FF56}" name="RateCheck_VDO2021F" displayName="RateCheck_VDO2021F" ref="C27:H40" totalsRowShown="0" headerRowDxfId="23" dataDxfId="21" headerRowBorderDxfId="22" tableBorderDxfId="20" headerRowCellStyle="Table col heading" dataCellStyle="Hard-coded">
  <tableColumns count="6">
    <tableColumn id="1" xr3:uid="{954CA8C7-DCA5-4214-B453-E3EA5EFC0397}" name="Rate" dataCellStyle="Table cell"/>
    <tableColumn id="3" xr3:uid="{B5B5C9C8-4877-4263-B8AE-FE45F3B68DBC}" name="Ausnet" dataDxfId="19" dataCellStyle="Hard-coded"/>
    <tableColumn id="4" xr3:uid="{EE605F25-1750-458F-801E-0914EE0179A6}" name="Citipower" dataDxfId="18" dataCellStyle="Hard-coded"/>
    <tableColumn id="5" xr3:uid="{F52402BD-584A-40D2-ABB7-A65654466E21}" name="Jemena" dataDxfId="17" dataCellStyle="Hard-coded"/>
    <tableColumn id="6" xr3:uid="{56410595-734B-4A5F-AE6B-12BFEEFC2E1E}" name="Powercor" dataDxfId="16" dataCellStyle="Hard-coded"/>
    <tableColumn id="7" xr3:uid="{0EF249CE-159C-491B-9904-231D97C050D8}" name="United Energy" dataDxfId="15" dataCellStyle="Hard-coded"/>
  </tableColumns>
  <tableStyleInfo name="Default tabl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B81553BE-E008-47C5-AF75-1727F1702120}" name="OP_RatesTU_SME_1" displayName="OP_RatesTU_SME_1" ref="M30:U39" totalsRowShown="0" headerRowDxfId="988" headerRowBorderDxfId="987" tableBorderDxfId="986" headerRowCellStyle="Table col heading" dataCellStyle="Internal link/lookup">
  <tableColumns count="9">
    <tableColumn id="1" xr3:uid="{45406C57-34CB-4B65-8E2B-1D5152BD0A25}" name="Rate name" dataDxfId="985" dataCellStyle="Table cell"/>
    <tableColumn id="2" xr3:uid="{2FA43327-1E12-456B-A0E8-9000AD58FD7D}" name="Unit" dataDxfId="984" dataCellStyle="Table cell"/>
    <tableColumn id="3" xr3:uid="{4C2AA5BA-F3B5-45BE-85C2-C987C331A4BA}" name="Customer type" dataDxfId="983" dataCellStyle="Table cell"/>
    <tableColumn id="4" xr3:uid="{9DC50DAB-4D1C-4AC1-A5AF-E33DB96A5A0F}" name="Cost element" dataCellStyle="Table cell"/>
    <tableColumn id="5" xr3:uid="{A13D3C70-92AE-4F16-91DA-A2562019C4A7}" name="Ausnet" dataDxfId="982" dataCellStyle="Internal link/lookup">
      <calculatedColumnFormula array="1">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name]]),0),MATCH(OP_RatesTU_SME_1[[#Headers],[Ausnet]],Calc_TUR_Net_1[[#Headers],[Ausnet]:[United Energy]],0)),
IF(OP_RatesTU_SME_1[[#This Row],[Cost element]:[Cost element]]="Environmental",
SUMIFS(INDEX(Calc_TUR_Env_1[[Ausnet]:[United Energy]],0,MATCH(OP_RatesTU_SME_1[[#Headers],[Ausnet]],Calc_TUR_Env_1[[#Headers],[Ausnet]:[United Energy]],0)),
Calc_TUR_Env_1[[Customer type]:[Customer type]],OP_RatesTU_SME_1[[#This Row],[Customer type]:[Customer type]],Calc_TUR_Env_1[[Rate type]:[Rate type]],OP_RatesTU_SME_1[[#This Row],[Rate name]:[Rate name]]),
"-")),"-")</calculatedColumnFormula>
    </tableColumn>
    <tableColumn id="6" xr3:uid="{6C8D8A13-598E-4820-8EAC-0364F4D1FB1E}" name="Citipower" dataDxfId="981" dataCellStyle="Internal link/lookup">
      <calculatedColumnFormula array="1">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name]]),0),MATCH(OP_RatesTU_SME_1[[#Headers],[Citipower]],Calc_TUR_Net_1[[#Headers],[Ausnet]:[United Energy]],0)),
IF(OP_RatesTU_SME_1[[#This Row],[Cost element]:[Cost element]]="Environmental",
SUMIFS(INDEX(Calc_TUR_Env_1[[Ausnet]:[United Energy]],0,MATCH(OP_RatesTU_SME_1[[#Headers],[Citipower]],Calc_TUR_Env_1[[#Headers],[Ausnet]:[United Energy]],0)),
Calc_TUR_Env_1[[Customer type]:[Customer type]],OP_RatesTU_SME_1[[#This Row],[Customer type]:[Customer type]],Calc_TUR_Env_1[[Rate type]:[Rate type]],OP_RatesTU_SME_1[[#This Row],[Rate name]:[Rate name]]),
"-")),"-")</calculatedColumnFormula>
    </tableColumn>
    <tableColumn id="7" xr3:uid="{7DD7EBBA-DA06-49A8-AC07-9371903F86CD}" name="Jemena" dataDxfId="980" dataCellStyle="Internal link/lookup">
      <calculatedColumnFormula array="1">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name]]),0),MATCH(OP_RatesTU_SME_1[[#Headers],[Jemena]],Calc_TUR_Net_1[[#Headers],[Ausnet]:[United Energy]],0)),
IF(OP_RatesTU_SME_1[[#This Row],[Cost element]:[Cost element]]="Environmental",
SUMIFS(INDEX(Calc_TUR_Env_1[[Ausnet]:[United Energy]],0,MATCH(OP_RatesTU_SME_1[[#Headers],[Jemena]],Calc_TUR_Env_1[[#Headers],[Ausnet]:[United Energy]],0)),
Calc_TUR_Env_1[[Customer type]:[Customer type]],OP_RatesTU_SME_1[[#This Row],[Customer type]:[Customer type]],Calc_TUR_Env_1[[Rate type]:[Rate type]],OP_RatesTU_SME_1[[#This Row],[Rate name]:[Rate name]]),
"-")),"-")</calculatedColumnFormula>
    </tableColumn>
    <tableColumn id="8" xr3:uid="{F9EC145C-9D67-49B2-A213-5370F048104E}" name="Powercor" dataDxfId="979" dataCellStyle="Internal link/lookup">
      <calculatedColumnFormula array="1">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name]]),0),MATCH(OP_RatesTU_SME_1[[#Headers],[Powercor]],Calc_TUR_Net_1[[#Headers],[Ausnet]:[United Energy]],0)),
IF(OP_RatesTU_SME_1[[#This Row],[Cost element]:[Cost element]]="Environmental",
SUMIFS(INDEX(Calc_TUR_Env_1[[Ausnet]:[United Energy]],0,MATCH(OP_RatesTU_SME_1[[#Headers],[Powercor]],Calc_TUR_Env_1[[#Headers],[Ausnet]:[United Energy]],0)),
Calc_TUR_Env_1[[Customer type]:[Customer type]],OP_RatesTU_SME_1[[#This Row],[Customer type]:[Customer type]],Calc_TUR_Env_1[[Rate type]:[Rate type]],OP_RatesTU_SME_1[[#This Row],[Rate name]:[Rate name]]),
"-")),"-")</calculatedColumnFormula>
    </tableColumn>
    <tableColumn id="9" xr3:uid="{4EC1B886-E7FA-4600-BED1-B95F3DBB98F2}" name="United Energy" dataDxfId="978" dataCellStyle="Internal link/lookup">
      <calculatedColumnFormula array="1">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name]]),0),MATCH(OP_RatesTU_SME_1[[#Headers],[United Energy]],Calc_TUR_Net_1[[#Headers],[Ausnet]:[United Energy]],0)),
IF(OP_RatesTU_SME_1[[#This Row],[Cost element]:[Cost element]]="Environmental",
SUMIFS(INDEX(Calc_TUR_Env_1[[Ausnet]:[United Energy]],0,MATCH(OP_RatesTU_SME_1[[#Headers],[United Energy]],Calc_TUR_Env_1[[#Headers],[Ausnet]:[United Energy]],0)),
Calc_TUR_Env_1[[Customer type]:[Customer type]],OP_RatesTU_SME_1[[#This Row],[Customer type]:[Customer type]],Calc_TUR_Env_1[[Rate type]:[Rate type]],OP_RatesTU_SME_1[[#This Row],[Rate name]:[Rate name]]),
"-")),"-")</calculatedColumnFormula>
    </tableColumn>
  </tableColumns>
  <tableStyleInfo name="Default tabl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D8DA846E-6B6E-42E3-B6E6-BFA08ECB3EFE}" name="LU_UsageProfiles" displayName="LU_UsageProfiles" ref="I7:I13" totalsRowShown="0" dataDxfId="13" headerRowBorderDxfId="14" tableBorderDxfId="12" totalsRowBorderDxfId="11" headerRowCellStyle="Table col heading" dataCellStyle="Hard-coded">
  <autoFilter ref="I7:I13" xr:uid="{C360791E-1C8C-48A7-B83A-F08229D11B5E}"/>
  <tableColumns count="1">
    <tableColumn id="1" xr3:uid="{D93DFBC2-B77B-456C-A30C-DC8C8723D2BF}" name="Usage profiles" dataDxfId="10" dataCellStyle="Hard-coded"/>
  </tableColumns>
  <tableStyleInfo name="Default tabl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33B05AB1-E99A-458A-9C88-192052931E87}" name="VDOHistorical" displayName="VDOHistorical" ref="C45:K133" totalsRowShown="0" headerRowDxfId="9" dataDxfId="7" headerRowBorderDxfId="8" tableBorderDxfId="6" headerRowCellStyle="Table col heading" dataCellStyle="Hard-coded">
  <autoFilter ref="C45:K133" xr:uid="{86E15CBF-B4EA-4F63-A830-D24511A2B878}"/>
  <tableColumns count="9">
    <tableColumn id="1" xr3:uid="{D8610868-F7A3-4B3B-B4DD-27E9A9AFA65B}" name="VDO decision"/>
    <tableColumn id="3" xr3:uid="{94ECC930-7FB0-4BBE-921A-8D95156265AB}" name="Customer type" dataCellStyle="Table cell"/>
    <tableColumn id="4" xr3:uid="{1E6A7B3F-8770-4A28-BBB6-006AA926898D}" name="Cost element" dataCellStyle="Table cell"/>
    <tableColumn id="5" xr3:uid="{1E205A00-E7F8-4167-BA2A-56FF393E1D92}" name="Ausnet" dataDxfId="5" dataCellStyle="Hard-coded"/>
    <tableColumn id="6" xr3:uid="{B12708B7-462F-4814-8480-C9295BD74306}" name="Citipower" dataDxfId="4" dataCellStyle="Hard-coded"/>
    <tableColumn id="7" xr3:uid="{750F435A-3819-4A1C-B22A-53D8EAC77B39}" name="Jemena" dataDxfId="3" dataCellStyle="Hard-coded"/>
    <tableColumn id="8" xr3:uid="{64B77632-0221-4CFB-ABE1-3867EE6943A7}" name="Powercor" dataDxfId="2" dataCellStyle="Hard-coded"/>
    <tableColumn id="9" xr3:uid="{813FD7B9-19E7-4879-BE36-6D0202CC0974}" name="United Energy" dataDxfId="1" dataCellStyle="Hard-coded"/>
    <tableColumn id="10" xr3:uid="{AABFB965-5885-42ED-B6B3-2C39EB34FEF6}" name="Average" dataDxfId="0" dataCellStyle="Hard-coded"/>
  </tableColumns>
  <tableStyleInfo name="Default tabl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981ECF00-A28C-4DAE-BCAD-B3F05BFD6430}" name="CMAB_RES_1" displayName="CMAB_RES_1" ref="C10:I13" totalsRowShown="0" headerRowDxfId="977" headerRowBorderDxfId="976" tableBorderDxfId="975" totalsRowBorderDxfId="974" headerRowCellStyle="Table col heading">
  <tableColumns count="7">
    <tableColumn id="1" xr3:uid="{84FEBB47-56AD-49B3-9311-BA71F8AEC495}" name="Customer type"/>
    <tableColumn id="2" xr3:uid="{AC9F98FB-8140-41C9-84B7-22980FC208CE}" name="Usage profile"/>
    <tableColumn id="3" xr3:uid="{A389BDD1-8970-442A-9855-389673EB38C0}" name="Ausnet" dataDxfId="973" dataCellStyle="Table cell">
      <calculatedColumnFormula>IFERROR(
IF($D$7="VDO 2021 - Final",
ROUNDUP(
(INDEX(OP_TotalRates_RES_1[[Ausnet]:[United Energy]],MATCH("Anytime - supply",OP_TotalRates_RES_1[[Rate name]:[Rate name]],0),MATCH(E$10,OP_TotalRates_RES_1[[#Headers],[Ausnet]:[United Energy]],0))*DiY)+
(IFERROR((INDEX(OP_TotalRates_RES_1[[Ausnet]:[United Energy]],MATCH("Block 1",OP_TotalRates_RES_1[[Rate name]:[Rate name]],0),MATCH(E$10,OP_TotalRates_RES_1[[#Headers],[Ausnet]:[United Energy]],0))*
INDEX(Input_Usage[[F-PreviousVDO_Input]:[F-NextVDO_Input]],MATCH($D11&amp;" - Block 1",Input_Usage[[Ref]:[Ref]],0),MATCH($D$7,Inputs!$I$134:$O$134,0))),0)+
IFERROR((INDEX(OP_TotalRates_RES_1[[Ausnet]:[United Energy]],MATCH("Balance",OP_TotalRates_RES_1[[Rate name]:[Rate name]],0),MATCH(E$10,OP_TotalRates_RES_1[[#Headers],[Ausnet]:[United Energy]],0))*
INDEX(Input_Usage[[F-PreviousVDO_Input]:[F-NextVDO_Input]],MATCH($D11&amp;" - Balance",Input_Usage[[Ref]:[Ref]],0),MATCH($D$7,Inputs!$I$134:$O$134,0))),0)+
IFERROR((INDEX(OP_TotalRates_RES_1[[Ausnet]:[United Energy]],MATCH("Single rate",OP_TotalRates_RES_1[[Rate name]:[Rate name]],0),MATCH(E$10,OP_TotalRates_RES_1[[#Headers],[Ausnet]:[United Energy]],0))*
INDEX(Input_Usage[[F-PreviousVDO_Input]:[F-NextVDO_Input]],MATCH($D11&amp;" - Annual",Input_Usage[[Ref]:[Ref]],0),MATCH($D$7,Inputs!$I$134:$O$134,0))),0)),0),
ROUNDUP(
(INDEX(OP_TotalRates_RES_1[[Ausnet]:[United Energy]],MATCH("TOU - supply",OP_TotalRates_RES_1[[Rate name]:[Rate name]],0),MATCH(E$10,OP_TotalRates_RES_1[[#Headers],[Ausnet]:[United Energy]],0))*DiY)+
(INDEX(OP_TotalRates_RES_1[[Ausnet]:[United Energy]],MATCH("Peak",OP_TotalRates_RES_1[[Rate name]:[Rate name]],0),MATCH(E$10,OP_TotalRates_RES_1[[#Headers],[Ausnet]:[United Energy]],0))*
INDEX(Input_Usage[[F-PreviousVDO_Input]:[F-NextVDO_Input]],MATCH($D11&amp;" - Peak",Input_Usage[[Ref]:[Ref]],0),MATCH($D$7,Inputs!$I$134:$O$134,0)))+
IFERROR((INDEX(OP_TotalRates_RES_1[[Ausnet]:[United Energy]],MATCH("TOU - Shoulder",OP_TotalRates_RES_1[[Rate name]:[Rate name]],0),MATCH(E$10,OP_TotalRates_RES_1[[#Headers],[Ausnet]:[United Energy]],0))*
INDEX(Input_Usage[[F-PreviousVDO_Input]:[F-NextVDO_Input]],MATCH($D11&amp;" - Shoulder",Input_Usage[[Ref]:[Ref]],0),MATCH($D$7,Inputs!$I$134:$O$134,0))),0)+
(INDEX(OP_TotalRates_RES_1[[Ausnet]:[United Energy]],MATCH("Off peak",OP_TotalRates_RES_1[[Rate name]:[Rate name]],0),MATCH(E$10,OP_TotalRates_RES_1[[#Headers],[Ausnet]:[United Energy]],0))*
INDEX(Input_Usage[[F-PreviousVDO_Input]:[F-NextVDO_Input]],MATCH($D11&amp;" - Off peak",Input_Usage[[Ref]:[Ref]],0),MATCH($D$7,Inputs!$I$134:$O$134,0))),0)),"-")</calculatedColumnFormula>
    </tableColumn>
    <tableColumn id="4" xr3:uid="{BA39D082-53B0-4996-8C75-52452724B87F}" name="Citipower">
      <calculatedColumnFormula>IFERROR(
IF($D$7="VDO 2021 - Final",
ROUNDUP(
(INDEX(OP_TotalRates_RES_1[[Ausnet]:[United Energy]],MATCH("Anytime - supply",OP_TotalRates_RES_1[[Rate name]:[Rate name]],0),MATCH(F$10,OP_TotalRates_RES_1[[#Headers],[Ausnet]:[United Energy]],0))*DiY)+
(IFERROR((INDEX(OP_TotalRates_RES_1[[Ausnet]:[United Energy]],MATCH("Block 1",OP_TotalRates_RES_1[[Rate name]:[Rate name]],0),MATCH(F$10,OP_TotalRates_RES_1[[#Headers],[Ausnet]:[United Energy]],0))*
INDEX(Input_Usage[[F-PreviousVDO_Input]:[F-NextVDO_Input]],MATCH($D11&amp;" - Block 1",Input_Usage[[Ref]:[Ref]],0),MATCH($D$7,Inputs!$I$134:$O$134,0))),0)+
IFERROR((INDEX(OP_TotalRates_RES_1[[Ausnet]:[United Energy]],MATCH("Balance",OP_TotalRates_RES_1[[Rate name]:[Rate name]],0),MATCH(F$10,OP_TotalRates_RES_1[[#Headers],[Ausnet]:[United Energy]],0))*
INDEX(Input_Usage[[F-PreviousVDO_Input]:[F-NextVDO_Input]],MATCH($D11&amp;" - Balance",Input_Usage[[Ref]:[Ref]],0),MATCH($D$7,Inputs!$I$134:$O$134,0))),0)+
IFERROR((INDEX(OP_TotalRates_RES_1[[Ausnet]:[United Energy]],MATCH("Single rate",OP_TotalRates_RES_1[[Rate name]:[Rate name]],0),MATCH(F$10,OP_TotalRates_RES_1[[#Headers],[Ausnet]:[United Energy]],0))*
INDEX(Input_Usage[[F-PreviousVDO_Input]:[F-NextVDO_Input]],MATCH($D11&amp;" - Annual",Input_Usage[[Ref]:[Ref]],0),MATCH($D$7,Inputs!$I$134:$O$134,0))),0)),0),
ROUNDUP(
(INDEX(OP_TotalRates_RES_1[[Ausnet]:[United Energy]],MATCH("TOU - supply",OP_TotalRates_RES_1[[Rate name]:[Rate name]],0),MATCH(F$10,OP_TotalRates_RES_1[[#Headers],[Ausnet]:[United Energy]],0))*DiY)+
(INDEX(OP_TotalRates_RES_1[[Ausnet]:[United Energy]],MATCH("Peak",OP_TotalRates_RES_1[[Rate name]:[Rate name]],0),MATCH(F$10,OP_TotalRates_RES_1[[#Headers],[Ausnet]:[United Energy]],0))*
INDEX(Input_Usage[[F-PreviousVDO_Input]:[F-NextVDO_Input]],MATCH($D11&amp;" - Peak",Input_Usage[[Ref]:[Ref]],0),MATCH($D$7,Inputs!$I$134:$O$134,0)))+
IFERROR((INDEX(OP_TotalRates_RES_1[[Ausnet]:[United Energy]],MATCH("TOU - Shoulder",OP_TotalRates_RES_1[[Rate name]:[Rate name]],0),MATCH(F$10,OP_TotalRates_RES_1[[#Headers],[Ausnet]:[United Energy]],0))*
INDEX(Input_Usage[[F-PreviousVDO_Input]:[F-NextVDO_Input]],MATCH($D11&amp;" - Shoulder",Input_Usage[[Ref]:[Ref]],0),MATCH($D$7,Inputs!$I$134:$O$134,0))),0)+
(INDEX(OP_TotalRates_RES_1[[Ausnet]:[United Energy]],MATCH("Off peak",OP_TotalRates_RES_1[[Rate name]:[Rate name]],0),MATCH(F$10,OP_TotalRates_RES_1[[#Headers],[Ausnet]:[United Energy]],0))*
INDEX(Input_Usage[[F-PreviousVDO_Input]:[F-NextVDO_Input]],MATCH($D11&amp;" - Off peak",Input_Usage[[Ref]:[Ref]],0),MATCH($D$7,Inputs!$I$134:$O$134,0))),0)),"-")</calculatedColumnFormula>
    </tableColumn>
    <tableColumn id="5" xr3:uid="{282AD3F8-3333-43B4-86C8-A1CA8ED95F00}" name="Jemena">
      <calculatedColumnFormula>IFERROR(
IF($D$7="VDO 2021 - Final",
ROUNDUP(
(INDEX(OP_TotalRates_RES_1[[Ausnet]:[United Energy]],MATCH("Anytime - supply",OP_TotalRates_RES_1[[Rate name]:[Rate name]],0),MATCH(G$10,OP_TotalRates_RES_1[[#Headers],[Ausnet]:[United Energy]],0))*DiY)+
(IFERROR((INDEX(OP_TotalRates_RES_1[[Ausnet]:[United Energy]],MATCH("Block 1",OP_TotalRates_RES_1[[Rate name]:[Rate name]],0),MATCH(G$10,OP_TotalRates_RES_1[[#Headers],[Ausnet]:[United Energy]],0))*
INDEX(Input_Usage[[F-PreviousVDO_Input]:[F-NextVDO_Input]],MATCH($D11&amp;" - Block 1",Input_Usage[[Ref]:[Ref]],0),MATCH($D$7,Inputs!$I$134:$O$134,0))),0)+
IFERROR((INDEX(OP_TotalRates_RES_1[[Ausnet]:[United Energy]],MATCH("Balance",OP_TotalRates_RES_1[[Rate name]:[Rate name]],0),MATCH(G$10,OP_TotalRates_RES_1[[#Headers],[Ausnet]:[United Energy]],0))*
INDEX(Input_Usage[[F-PreviousVDO_Input]:[F-NextVDO_Input]],MATCH($D11&amp;" - Balance",Input_Usage[[Ref]:[Ref]],0),MATCH($D$7,Inputs!$I$134:$O$134,0))),0)+
IFERROR((INDEX(OP_TotalRates_RES_1[[Ausnet]:[United Energy]],MATCH("Single rate",OP_TotalRates_RES_1[[Rate name]:[Rate name]],0),MATCH(G$10,OP_TotalRates_RES_1[[#Headers],[Ausnet]:[United Energy]],0))*
INDEX(Input_Usage[[F-PreviousVDO_Input]:[F-NextVDO_Input]],MATCH($D11&amp;" - Annual",Input_Usage[[Ref]:[Ref]],0),MATCH($D$7,Inputs!$I$134:$O$134,0))),0)),0),
ROUNDUP(
(INDEX(OP_TotalRates_RES_1[[Ausnet]:[United Energy]],MATCH("TOU - supply",OP_TotalRates_RES_1[[Rate name]:[Rate name]],0),MATCH(G$10,OP_TotalRates_RES_1[[#Headers],[Ausnet]:[United Energy]],0))*DiY)+
(INDEX(OP_TotalRates_RES_1[[Ausnet]:[United Energy]],MATCH("Peak",OP_TotalRates_RES_1[[Rate name]:[Rate name]],0),MATCH(G$10,OP_TotalRates_RES_1[[#Headers],[Ausnet]:[United Energy]],0))*
INDEX(Input_Usage[[F-PreviousVDO_Input]:[F-NextVDO_Input]],MATCH($D11&amp;" - Peak",Input_Usage[[Ref]:[Ref]],0),MATCH($D$7,Inputs!$I$134:$O$134,0)))+
IFERROR((INDEX(OP_TotalRates_RES_1[[Ausnet]:[United Energy]],MATCH("TOU - Shoulder",OP_TotalRates_RES_1[[Rate name]:[Rate name]],0),MATCH(G$10,OP_TotalRates_RES_1[[#Headers],[Ausnet]:[United Energy]],0))*
INDEX(Input_Usage[[F-PreviousVDO_Input]:[F-NextVDO_Input]],MATCH($D11&amp;" - Shoulder",Input_Usage[[Ref]:[Ref]],0),MATCH($D$7,Inputs!$I$134:$O$134,0))),0)+
(INDEX(OP_TotalRates_RES_1[[Ausnet]:[United Energy]],MATCH("Off peak",OP_TotalRates_RES_1[[Rate name]:[Rate name]],0),MATCH(G$10,OP_TotalRates_RES_1[[#Headers],[Ausnet]:[United Energy]],0))*
INDEX(Input_Usage[[F-PreviousVDO_Input]:[F-NextVDO_Input]],MATCH($D11&amp;" - Off peak",Input_Usage[[Ref]:[Ref]],0),MATCH($D$7,Inputs!$I$134:$O$134,0))),0)),"-")</calculatedColumnFormula>
    </tableColumn>
    <tableColumn id="6" xr3:uid="{8787BD47-D93F-4B34-86AA-1295F8CA6ECE}" name="Powercor">
      <calculatedColumnFormula>IFERROR(
IF($D$7="VDO 2021 - Final",
ROUNDUP(
(INDEX(OP_TotalRates_RES_1[[Ausnet]:[United Energy]],MATCH("Anytime - supply",OP_TotalRates_RES_1[[Rate name]:[Rate name]],0),MATCH(H$10,OP_TotalRates_RES_1[[#Headers],[Ausnet]:[United Energy]],0))*DiY)+
(IFERROR((INDEX(OP_TotalRates_RES_1[[Ausnet]:[United Energy]],MATCH("Block 1",OP_TotalRates_RES_1[[Rate name]:[Rate name]],0),MATCH(H$10,OP_TotalRates_RES_1[[#Headers],[Ausnet]:[United Energy]],0))*
INDEX(Input_Usage[[F-PreviousVDO_Input]:[F-NextVDO_Input]],MATCH($D11&amp;" - Block 1",Input_Usage[[Ref]:[Ref]],0),MATCH($D$7,Inputs!$I$134:$O$134,0))),0)+
IFERROR((INDEX(OP_TotalRates_RES_1[[Ausnet]:[United Energy]],MATCH("Balance",OP_TotalRates_RES_1[[Rate name]:[Rate name]],0),MATCH(H$10,OP_TotalRates_RES_1[[#Headers],[Ausnet]:[United Energy]],0))*
INDEX(Input_Usage[[F-PreviousVDO_Input]:[F-NextVDO_Input]],MATCH($D11&amp;" - Balance",Input_Usage[[Ref]:[Ref]],0),MATCH($D$7,Inputs!$I$134:$O$134,0))),0)+
IFERROR((INDEX(OP_TotalRates_RES_1[[Ausnet]:[United Energy]],MATCH("Single rate",OP_TotalRates_RES_1[[Rate name]:[Rate name]],0),MATCH(H$10,OP_TotalRates_RES_1[[#Headers],[Ausnet]:[United Energy]],0))*
INDEX(Input_Usage[[F-PreviousVDO_Input]:[F-NextVDO_Input]],MATCH($D11&amp;" - Annual",Input_Usage[[Ref]:[Ref]],0),MATCH($D$7,Inputs!$I$134:$O$134,0))),0)),0),
ROUNDUP(
(INDEX(OP_TotalRates_RES_1[[Ausnet]:[United Energy]],MATCH("TOU - supply",OP_TotalRates_RES_1[[Rate name]:[Rate name]],0),MATCH(H$10,OP_TotalRates_RES_1[[#Headers],[Ausnet]:[United Energy]],0))*DiY)+
(INDEX(OP_TotalRates_RES_1[[Ausnet]:[United Energy]],MATCH("Peak",OP_TotalRates_RES_1[[Rate name]:[Rate name]],0),MATCH(H$10,OP_TotalRates_RES_1[[#Headers],[Ausnet]:[United Energy]],0))*
INDEX(Input_Usage[[F-PreviousVDO_Input]:[F-NextVDO_Input]],MATCH($D11&amp;" - Peak",Input_Usage[[Ref]:[Ref]],0),MATCH($D$7,Inputs!$I$134:$O$134,0)))+
IFERROR((INDEX(OP_TotalRates_RES_1[[Ausnet]:[United Energy]],MATCH("TOU - Shoulder",OP_TotalRates_RES_1[[Rate name]:[Rate name]],0),MATCH(H$10,OP_TotalRates_RES_1[[#Headers],[Ausnet]:[United Energy]],0))*
INDEX(Input_Usage[[F-PreviousVDO_Input]:[F-NextVDO_Input]],MATCH($D11&amp;" - Shoulder",Input_Usage[[Ref]:[Ref]],0),MATCH($D$7,Inputs!$I$134:$O$134,0))),0)+
(INDEX(OP_TotalRates_RES_1[[Ausnet]:[United Energy]],MATCH("Off peak",OP_TotalRates_RES_1[[Rate name]:[Rate name]],0),MATCH(H$10,OP_TotalRates_RES_1[[#Headers],[Ausnet]:[United Energy]],0))*
INDEX(Input_Usage[[F-PreviousVDO_Input]:[F-NextVDO_Input]],MATCH($D11&amp;" - Off peak",Input_Usage[[Ref]:[Ref]],0),MATCH($D$7,Inputs!$I$134:$O$134,0))),0)),"-")</calculatedColumnFormula>
    </tableColumn>
    <tableColumn id="7" xr3:uid="{6DCB4D75-0C84-4A70-9F7B-3AA3F67D07AB}" name="United Energy">
      <calculatedColumnFormula>IFERROR(
IF($D$7="VDO 2021 - Final",
ROUNDUP(
(INDEX(OP_TotalRates_RES_1[[Ausnet]:[United Energy]],MATCH("Anytime - supply",OP_TotalRates_RES_1[[Rate name]:[Rate name]],0),MATCH(I$10,OP_TotalRates_RES_1[[#Headers],[Ausnet]:[United Energy]],0))*DiY)+
(IFERROR((INDEX(OP_TotalRates_RES_1[[Ausnet]:[United Energy]],MATCH("Block 1",OP_TotalRates_RES_1[[Rate name]:[Rate name]],0),MATCH(I$10,OP_TotalRates_RES_1[[#Headers],[Ausnet]:[United Energy]],0))*
INDEX(Input_Usage[[F-PreviousVDO_Input]:[F-NextVDO_Input]],MATCH($D11&amp;" - Block 1",Input_Usage[[Ref]:[Ref]],0),MATCH($D$7,Inputs!$I$134:$O$134,0))),0)+
IFERROR((INDEX(OP_TotalRates_RES_1[[Ausnet]:[United Energy]],MATCH("Balance",OP_TotalRates_RES_1[[Rate name]:[Rate name]],0),MATCH(I$10,OP_TotalRates_RES_1[[#Headers],[Ausnet]:[United Energy]],0))*
INDEX(Input_Usage[[F-PreviousVDO_Input]:[F-NextVDO_Input]],MATCH($D11&amp;" - Balance",Input_Usage[[Ref]:[Ref]],0),MATCH($D$7,Inputs!$I$134:$O$134,0))),0)+
IFERROR((INDEX(OP_TotalRates_RES_1[[Ausnet]:[United Energy]],MATCH("Single rate",OP_TotalRates_RES_1[[Rate name]:[Rate name]],0),MATCH(I$10,OP_TotalRates_RES_1[[#Headers],[Ausnet]:[United Energy]],0))*
INDEX(Input_Usage[[F-PreviousVDO_Input]:[F-NextVDO_Input]],MATCH($D11&amp;" - Annual",Input_Usage[[Ref]:[Ref]],0),MATCH($D$7,Inputs!$I$134:$O$134,0))),0)),0),
ROUNDUP(
(INDEX(OP_TotalRates_RES_1[[Ausnet]:[United Energy]],MATCH("TOU - supply",OP_TotalRates_RES_1[[Rate name]:[Rate name]],0),MATCH(I$10,OP_TotalRates_RES_1[[#Headers],[Ausnet]:[United Energy]],0))*DiY)+
(INDEX(OP_TotalRates_RES_1[[Ausnet]:[United Energy]],MATCH("Peak",OP_TotalRates_RES_1[[Rate name]:[Rate name]],0),MATCH(I$10,OP_TotalRates_RES_1[[#Headers],[Ausnet]:[United Energy]],0))*
INDEX(Input_Usage[[F-PreviousVDO_Input]:[F-NextVDO_Input]],MATCH($D11&amp;" - Peak",Input_Usage[[Ref]:[Ref]],0),MATCH($D$7,Inputs!$I$134:$O$134,0)))+
IFERROR((INDEX(OP_TotalRates_RES_1[[Ausnet]:[United Energy]],MATCH("TOU - Shoulder",OP_TotalRates_RES_1[[Rate name]:[Rate name]],0),MATCH(I$10,OP_TotalRates_RES_1[[#Headers],[Ausnet]:[United Energy]],0))*
INDEX(Input_Usage[[F-PreviousVDO_Input]:[F-NextVDO_Input]],MATCH($D11&amp;" - Shoulder",Input_Usage[[Ref]:[Ref]],0),MATCH($D$7,Inputs!$I$134:$O$134,0))),0)+
(INDEX(OP_TotalRates_RES_1[[Ausnet]:[United Energy]],MATCH("Off peak",OP_TotalRates_RES_1[[Rate name]:[Rate name]],0),MATCH(I$10,OP_TotalRates_RES_1[[#Headers],[Ausnet]:[United Energy]],0))*
INDEX(Input_Usage[[F-PreviousVDO_Input]:[F-NextVDO_Input]],MATCH($D11&amp;" - Off peak",Input_Usage[[Ref]:[Ref]],0),MATCH($D$7,Inputs!$I$134:$O$134,0))),0)),"-")</calculatedColumnFormula>
    </tableColumn>
  </tableColumns>
  <tableStyleInfo name="Default tabl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78868BB8-B928-42FB-BADD-F5CE65D1A929}" name="CMAB_SME_1" displayName="CMAB_SME_1" ref="K10:Q13" totalsRowShown="0" headerRowDxfId="972" headerRowBorderDxfId="971" tableBorderDxfId="970" totalsRowBorderDxfId="969" headerRowCellStyle="Table col heading">
  <tableColumns count="7">
    <tableColumn id="1" xr3:uid="{CFE1BF38-F8D5-417C-B8B8-055440189F48}" name="Customer type"/>
    <tableColumn id="2" xr3:uid="{A1BFB354-68E7-422C-A85D-4EE75E8C112A}" name="Usage profile"/>
    <tableColumn id="3" xr3:uid="{5FC92D0D-723D-4278-A68D-731B046067B9}" name="Ausnet" dataDxfId="968" dataCellStyle="Table cell">
      <calculatedColumnFormula>IFERROR(
IF($D$7="VDO 2021 - Final",
ROUNDUP(
(INDEX(OP_TotalRates_SME_1[[Ausnet]:[United Energy]],MATCH("Anytime - supply",OP_TotalRates_SME_1[[Rate name]:[Rate name]],0),MATCH(OP_CMAB!M$10,OP_TotalRates_SME_1[[#Headers],[Ausnet]:[United Energy]],0))*DiY)+
(IFERROR((INDEX(OP_TotalRates_SME_1[[Ausnet]:[United Energy]],MATCH("Block 1",OP_TotalRates_SME_1[[Rate name]:[Rate name]],0),MATCH(OP_CMAB!M$10,OP_TotalRates_SME_1[[#Headers],[Ausnet]:[United Energy]],0))*
INDEX(Input_Usage[[F-PreviousVDO_Input]:[F-CurrentVDO_Input]],MATCH(OP_CMAB!$L11&amp;" - Block 1",Input_Usage[[Ref]:[Ref]],0),MATCH(OP_CMAB!$D$7,Inputs!$I$134:$M$134,0))),0)+
IFERROR((INDEX(OP_TotalRates_SME_1[[Ausnet]:[United Energy]],MATCH("Balance",OP_TotalRates_SME_1[[Rate name]:[Rate name]],0),MATCH(OP_CMAB!M$10,OP_TotalRates_SME_1[[#Headers],[Ausnet]:[United Energy]],0))*
INDEX(Input_Usage[[F-PreviousVDO_Input]:[F-CurrentVDO_Input]],MATCH(OP_CMAB!$L11&amp;" - Balance",Input_Usage[[Ref]:[Ref]],0),MATCH(OP_CMAB!$D$7,Inputs!$I$134:$M$134,0))),0)+
IFERROR((INDEX(OP_TotalRates_SME_1[[Ausnet]:[United Energy]],MATCH("Single rate",OP_TotalRates_SME_1[[Rate name]:[Rate name]],0),MATCH(OP_CMAB!M$10,OP_TotalRates_SME_1[[#Headers],[Ausnet]:[United Energy]],0))*
INDEX(Input_Usage[[F-PreviousVDO_Input]:[F-CurrentVDO_Input]],MATCH(OP_CMAB!$L11&amp;" - Annual",Input_Usage[[Ref]:[Ref]],0),MATCH(OP_CMAB!$D$7,Inputs!$I$134:$M$134,0))),0)),0),
ROUNDUP(
(INDEX(OP_TotalRates_SME_1[[Ausnet]:[United Energy]],MATCH("TOU - supply",OP_TotalRates_SME_1[[Rate name]:[Rate name]],0),MATCH(OP_CMAB!M$10,OP_TotalRates_SME_1[[#Headers],[Ausnet]:[United Energy]],0))*DiY)+
(INDEX(OP_TotalRates_SME_1[[Ausnet]:[United Energy]],MATCH("Peak",OP_TotalRates_SME_1[[Rate name]:[Rate name]],0),MATCH(OP_CMAB!M$10,OP_TotalRates_SME_1[[#Headers],[Ausnet]:[United Energy]],0))*
INDEX(Input_Usage[[F-PreviousVDO_Input]:[F-CurrentVDO_Input]],MATCH($L11&amp;" - Peak",Input_Usage[[Ref]:[Ref]],0),MATCH($D$7,Inputs!$I$134:$M$134,0)))+
IFERROR((INDEX(OP_TotalRates_SME_1[[Ausnet]:[United Energy]],MATCH("TOU - Shoulder",OP_TotalRates_SME_1[[Rate name]:[Rate name]],0),MATCH(OP_CMAB!M$10,OP_TotalRates_SME_1[[#Headers],[Ausnet]:[United Energy]],0))*
INDEX(Input_Usage[[F-PreviousVDO_Input]:[F-CurrentVDO_Input]],MATCH($L11&amp;" - Shoulder",Input_Usage[[Ref]:[Ref]],0),MATCH($D$7,Inputs!$I$134:$M$134,0))),0)+
(INDEX(OP_TotalRates_SME_1[[Ausnet]:[United Energy]],MATCH("Off peak",OP_TotalRates_SME_1[[Rate name]:[Rate name]],0),MATCH(OP_CMAB!M$10,OP_TotalRates_SME_1[[#Headers],[Ausnet]:[United Energy]],0))*
INDEX(Input_Usage[[F-PreviousVDO_Input]:[F-CurrentVDO_Input]],MATCH($L11&amp;" - Off peak",Input_Usage[[Ref]:[Ref]],0),MATCH($D$7,Inputs!$I$134:$M$134,0))),0)),"-")</calculatedColumnFormula>
    </tableColumn>
    <tableColumn id="4" xr3:uid="{A854BB72-10CE-41A2-BD33-3B9D4B05B42C}" name="Citipower">
      <calculatedColumnFormula>IFERROR(
IF($D$7="VDO 2021 - Final",
ROUNDUP(
(INDEX(OP_TotalRates_SME_1[[Ausnet]:[United Energy]],MATCH("Anytime - supply",OP_TotalRates_SME_1[[Rate name]:[Rate name]],0),MATCH(OP_CMAB!N$10,OP_TotalRates_SME_1[[#Headers],[Ausnet]:[United Energy]],0))*DiY)+
(IFERROR((INDEX(OP_TotalRates_SME_1[[Ausnet]:[United Energy]],MATCH("Block 1",OP_TotalRates_SME_1[[Rate name]:[Rate name]],0),MATCH(OP_CMAB!N$10,OP_TotalRates_SME_1[[#Headers],[Ausnet]:[United Energy]],0))*
INDEX(Input_Usage[[F-PreviousVDO_Input]:[F-CurrentVDO_Input]],MATCH(OP_CMAB!$L11&amp;" - Block 1",Input_Usage[[Ref]:[Ref]],0),MATCH(OP_CMAB!$D$7,Inputs!$I$134:$M$134,0))),0)+
IFERROR((INDEX(OP_TotalRates_SME_1[[Ausnet]:[United Energy]],MATCH("Balance",OP_TotalRates_SME_1[[Rate name]:[Rate name]],0),MATCH(OP_CMAB!N$10,OP_TotalRates_SME_1[[#Headers],[Ausnet]:[United Energy]],0))*
INDEX(Input_Usage[[F-PreviousVDO_Input]:[F-CurrentVDO_Input]],MATCH(OP_CMAB!$L11&amp;" - Balance",Input_Usage[[Ref]:[Ref]],0),MATCH(OP_CMAB!$D$7,Inputs!$I$134:$M$134,0))),0)+
IFERROR((INDEX(OP_TotalRates_SME_1[[Ausnet]:[United Energy]],MATCH("Single rate",OP_TotalRates_SME_1[[Rate name]:[Rate name]],0),MATCH(OP_CMAB!N$10,OP_TotalRates_SME_1[[#Headers],[Ausnet]:[United Energy]],0))*
INDEX(Input_Usage[[F-PreviousVDO_Input]:[F-CurrentVDO_Input]],MATCH(OP_CMAB!$L11&amp;" - Annual",Input_Usage[[Ref]:[Ref]],0),MATCH(OP_CMAB!$D$7,Inputs!$I$134:$M$134,0))),0)),0),
ROUNDUP(
(INDEX(OP_TotalRates_SME_1[[Ausnet]:[United Energy]],MATCH("TOU - supply",OP_TotalRates_SME_1[[Rate name]:[Rate name]],0),MATCH(OP_CMAB!N$10,OP_TotalRates_SME_1[[#Headers],[Ausnet]:[United Energy]],0))*DiY)+
(INDEX(OP_TotalRates_SME_1[[Ausnet]:[United Energy]],MATCH("Peak",OP_TotalRates_SME_1[[Rate name]:[Rate name]],0),MATCH(OP_CMAB!N$10,OP_TotalRates_SME_1[[#Headers],[Ausnet]:[United Energy]],0))*
INDEX(Input_Usage[[F-PreviousVDO_Input]:[F-CurrentVDO_Input]],MATCH($L11&amp;" - Peak",Input_Usage[[Ref]:[Ref]],0),MATCH($D$7,Inputs!$I$134:$M$134,0)))+
IFERROR((INDEX(OP_TotalRates_SME_1[[Ausnet]:[United Energy]],MATCH("TOU - Shoulder",OP_TotalRates_SME_1[[Rate name]:[Rate name]],0),MATCH(OP_CMAB!N$10,OP_TotalRates_SME_1[[#Headers],[Ausnet]:[United Energy]],0))*
INDEX(Input_Usage[[F-PreviousVDO_Input]:[F-CurrentVDO_Input]],MATCH($L11&amp;" - Shoulder",Input_Usage[[Ref]:[Ref]],0),MATCH($D$7,Inputs!$I$134:$M$134,0))),0)+
(INDEX(OP_TotalRates_SME_1[[Ausnet]:[United Energy]],MATCH("Off peak",OP_TotalRates_SME_1[[Rate name]:[Rate name]],0),MATCH(OP_CMAB!N$10,OP_TotalRates_SME_1[[#Headers],[Ausnet]:[United Energy]],0))*
INDEX(Input_Usage[[F-PreviousVDO_Input]:[F-CurrentVDO_Input]],MATCH($L11&amp;" - Off peak",Input_Usage[[Ref]:[Ref]],0),MATCH($D$7,Inputs!$I$134:$M$134,0))),0)),"-")</calculatedColumnFormula>
    </tableColumn>
    <tableColumn id="5" xr3:uid="{37F3AA68-E85C-4177-B19E-9471B53A7CC8}" name="Jemena">
      <calculatedColumnFormula>IFERROR(
IF($D$7="VDO 2021 - Final",
ROUNDUP(
(INDEX(OP_TotalRates_SME_1[[Ausnet]:[United Energy]],MATCH("Anytime - supply",OP_TotalRates_SME_1[[Rate name]:[Rate name]],0),MATCH(OP_CMAB!O$10,OP_TotalRates_SME_1[[#Headers],[Ausnet]:[United Energy]],0))*DiY)+
(IFERROR((INDEX(OP_TotalRates_SME_1[[Ausnet]:[United Energy]],MATCH("Block 1",OP_TotalRates_SME_1[[Rate name]:[Rate name]],0),MATCH(OP_CMAB!O$10,OP_TotalRates_SME_1[[#Headers],[Ausnet]:[United Energy]],0))*
INDEX(Input_Usage[[F-PreviousVDO_Input]:[F-CurrentVDO_Input]],MATCH(OP_CMAB!$L11&amp;" - Block 1",Input_Usage[[Ref]:[Ref]],0),MATCH(OP_CMAB!$D$7,Inputs!$I$134:$M$134,0))),0)+
IFERROR((INDEX(OP_TotalRates_SME_1[[Ausnet]:[United Energy]],MATCH("Balance",OP_TotalRates_SME_1[[Rate name]:[Rate name]],0),MATCH(OP_CMAB!O$10,OP_TotalRates_SME_1[[#Headers],[Ausnet]:[United Energy]],0))*
INDEX(Input_Usage[[F-PreviousVDO_Input]:[F-CurrentVDO_Input]],MATCH(OP_CMAB!$L11&amp;" - Balance",Input_Usage[[Ref]:[Ref]],0),MATCH(OP_CMAB!$D$7,Inputs!$I$134:$M$134,0))),0)+
IFERROR((INDEX(OP_TotalRates_SME_1[[Ausnet]:[United Energy]],MATCH("Single rate",OP_TotalRates_SME_1[[Rate name]:[Rate name]],0),MATCH(OP_CMAB!O$10,OP_TotalRates_SME_1[[#Headers],[Ausnet]:[United Energy]],0))*
INDEX(Input_Usage[[F-PreviousVDO_Input]:[F-CurrentVDO_Input]],MATCH(OP_CMAB!$L11&amp;" - Annual",Input_Usage[[Ref]:[Ref]],0),MATCH(OP_CMAB!$D$7,Inputs!$I$134:$M$134,0))),0)),0),
ROUNDUP(
(INDEX(OP_TotalRates_SME_1[[Ausnet]:[United Energy]],MATCH("TOU - supply",OP_TotalRates_SME_1[[Rate name]:[Rate name]],0),MATCH(OP_CMAB!O$10,OP_TotalRates_SME_1[[#Headers],[Ausnet]:[United Energy]],0))*DiY)+
(INDEX(OP_TotalRates_SME_1[[Ausnet]:[United Energy]],MATCH("Peak",OP_TotalRates_SME_1[[Rate name]:[Rate name]],0),MATCH(OP_CMAB!O$10,OP_TotalRates_SME_1[[#Headers],[Ausnet]:[United Energy]],0))*
INDEX(Input_Usage[[F-PreviousVDO_Input]:[F-CurrentVDO_Input]],MATCH($L11&amp;" - Peak",Input_Usage[[Ref]:[Ref]],0),MATCH($D$7,Inputs!$I$134:$M$134,0)))+
IFERROR((INDEX(OP_TotalRates_SME_1[[Ausnet]:[United Energy]],MATCH("TOU - Shoulder",OP_TotalRates_SME_1[[Rate name]:[Rate name]],0),MATCH(OP_CMAB!O$10,OP_TotalRates_SME_1[[#Headers],[Ausnet]:[United Energy]],0))*
INDEX(Input_Usage[[F-PreviousVDO_Input]:[F-CurrentVDO_Input]],MATCH($L11&amp;" - Shoulder",Input_Usage[[Ref]:[Ref]],0),MATCH($D$7,Inputs!$I$134:$M$134,0))),0)+
(INDEX(OP_TotalRates_SME_1[[Ausnet]:[United Energy]],MATCH("Off peak",OP_TotalRates_SME_1[[Rate name]:[Rate name]],0),MATCH(OP_CMAB!O$10,OP_TotalRates_SME_1[[#Headers],[Ausnet]:[United Energy]],0))*
INDEX(Input_Usage[[F-PreviousVDO_Input]:[F-CurrentVDO_Input]],MATCH($L11&amp;" - Off peak",Input_Usage[[Ref]:[Ref]],0),MATCH($D$7,Inputs!$I$134:$M$134,0))),0)),"-")</calculatedColumnFormula>
    </tableColumn>
    <tableColumn id="6" xr3:uid="{CC163AC0-D0FC-4725-AB96-3480C0535BF2}" name="Powercor">
      <calculatedColumnFormula>IFERROR(
IF($D$7="VDO 2021 - Final",
ROUNDUP(
(INDEX(OP_TotalRates_SME_1[[Ausnet]:[United Energy]],MATCH("Anytime - supply",OP_TotalRates_SME_1[[Rate name]:[Rate name]],0),MATCH(OP_CMAB!P$10,OP_TotalRates_SME_1[[#Headers],[Ausnet]:[United Energy]],0))*DiY)+
(IFERROR((INDEX(OP_TotalRates_SME_1[[Ausnet]:[United Energy]],MATCH("Block 1",OP_TotalRates_SME_1[[Rate name]:[Rate name]],0),MATCH(OP_CMAB!P$10,OP_TotalRates_SME_1[[#Headers],[Ausnet]:[United Energy]],0))*
INDEX(Input_Usage[[F-PreviousVDO_Input]:[F-CurrentVDO_Input]],MATCH(OP_CMAB!$L11&amp;" - Block 1",Input_Usage[[Ref]:[Ref]],0),MATCH(OP_CMAB!$D$7,Inputs!$I$134:$M$134,0))),0)+
IFERROR((INDEX(OP_TotalRates_SME_1[[Ausnet]:[United Energy]],MATCH("Balance",OP_TotalRates_SME_1[[Rate name]:[Rate name]],0),MATCH(OP_CMAB!P$10,OP_TotalRates_SME_1[[#Headers],[Ausnet]:[United Energy]],0))*
INDEX(Input_Usage[[F-PreviousVDO_Input]:[F-CurrentVDO_Input]],MATCH(OP_CMAB!$L11&amp;" - Balance",Input_Usage[[Ref]:[Ref]],0),MATCH(OP_CMAB!$D$7,Inputs!$I$134:$M$134,0))),0)+
IFERROR((INDEX(OP_TotalRates_SME_1[[Ausnet]:[United Energy]],MATCH("Single rate",OP_TotalRates_SME_1[[Rate name]:[Rate name]],0),MATCH(OP_CMAB!P$10,OP_TotalRates_SME_1[[#Headers],[Ausnet]:[United Energy]],0))*
INDEX(Input_Usage[[F-PreviousVDO_Input]:[F-CurrentVDO_Input]],MATCH(OP_CMAB!$L11&amp;" - Annual",Input_Usage[[Ref]:[Ref]],0),MATCH(OP_CMAB!$D$7,Inputs!$I$134:$M$134,0))),0)),0),
ROUNDUP(
(INDEX(OP_TotalRates_SME_1[[Ausnet]:[United Energy]],MATCH("TOU - supply",OP_TotalRates_SME_1[[Rate name]:[Rate name]],0),MATCH(OP_CMAB!P$10,OP_TotalRates_SME_1[[#Headers],[Ausnet]:[United Energy]],0))*DiY)+
(INDEX(OP_TotalRates_SME_1[[Ausnet]:[United Energy]],MATCH("Peak",OP_TotalRates_SME_1[[Rate name]:[Rate name]],0),MATCH(OP_CMAB!P$10,OP_TotalRates_SME_1[[#Headers],[Ausnet]:[United Energy]],0))*
INDEX(Input_Usage[[F-PreviousVDO_Input]:[F-CurrentVDO_Input]],MATCH($L11&amp;" - Peak",Input_Usage[[Ref]:[Ref]],0),MATCH($D$7,Inputs!$I$134:$M$134,0)))+
IFERROR((INDEX(OP_TotalRates_SME_1[[Ausnet]:[United Energy]],MATCH("TOU - Shoulder",OP_TotalRates_SME_1[[Rate name]:[Rate name]],0),MATCH(OP_CMAB!P$10,OP_TotalRates_SME_1[[#Headers],[Ausnet]:[United Energy]],0))*
INDEX(Input_Usage[[F-PreviousVDO_Input]:[F-CurrentVDO_Input]],MATCH($L11&amp;" - Shoulder",Input_Usage[[Ref]:[Ref]],0),MATCH($D$7,Inputs!$I$134:$M$134,0))),0)+
(INDEX(OP_TotalRates_SME_1[[Ausnet]:[United Energy]],MATCH("Off peak",OP_TotalRates_SME_1[[Rate name]:[Rate name]],0),MATCH(OP_CMAB!P$10,OP_TotalRates_SME_1[[#Headers],[Ausnet]:[United Energy]],0))*
INDEX(Input_Usage[[F-PreviousVDO_Input]:[F-CurrentVDO_Input]],MATCH($L11&amp;" - Off peak",Input_Usage[[Ref]:[Ref]],0),MATCH($D$7,Inputs!$I$134:$M$134,0))),0)),"-")</calculatedColumnFormula>
    </tableColumn>
    <tableColumn id="7" xr3:uid="{9EF53383-EDFC-4887-B9C3-5A5731D858F0}" name="United Energy">
      <calculatedColumnFormula>IFERROR(
IF($D$7="VDO 2021 - Final",
ROUNDUP(
(INDEX(OP_TotalRates_SME_1[[Ausnet]:[United Energy]],MATCH("Anytime - supply",OP_TotalRates_SME_1[[Rate name]:[Rate name]],0),MATCH(OP_CMAB!Q$10,OP_TotalRates_SME_1[[#Headers],[Ausnet]:[United Energy]],0))*DiY)+
(IFERROR((INDEX(OP_TotalRates_SME_1[[Ausnet]:[United Energy]],MATCH("Block 1",OP_TotalRates_SME_1[[Rate name]:[Rate name]],0),MATCH(OP_CMAB!Q$10,OP_TotalRates_SME_1[[#Headers],[Ausnet]:[United Energy]],0))*
INDEX(Input_Usage[[F-PreviousVDO_Input]:[F-CurrentVDO_Input]],MATCH(OP_CMAB!$L11&amp;" - Block 1",Input_Usage[[Ref]:[Ref]],0),MATCH(OP_CMAB!$D$7,Inputs!$I$134:$M$134,0))),0)+
IFERROR((INDEX(OP_TotalRates_SME_1[[Ausnet]:[United Energy]],MATCH("Balance",OP_TotalRates_SME_1[[Rate name]:[Rate name]],0),MATCH(OP_CMAB!Q$10,OP_TotalRates_SME_1[[#Headers],[Ausnet]:[United Energy]],0))*
INDEX(Input_Usage[[F-PreviousVDO_Input]:[F-CurrentVDO_Input]],MATCH(OP_CMAB!$L11&amp;" - Balance",Input_Usage[[Ref]:[Ref]],0),MATCH(OP_CMAB!$D$7,Inputs!$I$134:$M$134,0))),0)+
IFERROR((INDEX(OP_TotalRates_SME_1[[Ausnet]:[United Energy]],MATCH("Single rate",OP_TotalRates_SME_1[[Rate name]:[Rate name]],0),MATCH(OP_CMAB!Q$10,OP_TotalRates_SME_1[[#Headers],[Ausnet]:[United Energy]],0))*
INDEX(Input_Usage[[F-PreviousVDO_Input]:[F-CurrentVDO_Input]],MATCH(OP_CMAB!$L11&amp;" - Annual",Input_Usage[[Ref]:[Ref]],0),MATCH(OP_CMAB!$D$7,Inputs!$I$134:$M$134,0))),0)),0),
ROUNDUP(
(INDEX(OP_TotalRates_SME_1[[Ausnet]:[United Energy]],MATCH("TOU - supply",OP_TotalRates_SME_1[[Rate name]:[Rate name]],0),MATCH(OP_CMAB!Q$10,OP_TotalRates_SME_1[[#Headers],[Ausnet]:[United Energy]],0))*DiY)+
(INDEX(OP_TotalRates_SME_1[[Ausnet]:[United Energy]],MATCH("Peak",OP_TotalRates_SME_1[[Rate name]:[Rate name]],0),MATCH(OP_CMAB!Q$10,OP_TotalRates_SME_1[[#Headers],[Ausnet]:[United Energy]],0))*
INDEX(Input_Usage[[F-PreviousVDO_Input]:[F-CurrentVDO_Input]],MATCH($L11&amp;" - Peak",Input_Usage[[Ref]:[Ref]],0),MATCH($D$7,Inputs!$I$134:$M$134,0)))+
IFERROR((INDEX(OP_TotalRates_SME_1[[Ausnet]:[United Energy]],MATCH("TOU - Shoulder",OP_TotalRates_SME_1[[Rate name]:[Rate name]],0),MATCH(OP_CMAB!Q$10,OP_TotalRates_SME_1[[#Headers],[Ausnet]:[United Energy]],0))*
INDEX(Input_Usage[[F-PreviousVDO_Input]:[F-CurrentVDO_Input]],MATCH($L11&amp;" - Shoulder",Input_Usage[[Ref]:[Ref]],0),MATCH($D$7,Inputs!$I$134:$M$134,0))),0)+
(INDEX(OP_TotalRates_SME_1[[Ausnet]:[United Energy]],MATCH("Off peak",OP_TotalRates_SME_1[[Rate name]:[Rate name]],0),MATCH(OP_CMAB!Q$10,OP_TotalRates_SME_1[[#Headers],[Ausnet]:[United Energy]],0))*
INDEX(Input_Usage[[F-PreviousVDO_Input]:[F-CurrentVDO_Input]],MATCH($L11&amp;" - Off peak",Input_Usage[[Ref]:[Ref]],0),MATCH($D$7,Inputs!$I$134:$M$134,0))),0)),"-")</calculatedColumnFormula>
    </tableColumn>
  </tableColumns>
  <tableStyleInfo name="Default tabl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784CBC18-9383-4B2E-A511-0F55943CEE1D}" name="CMAB_RES_2" displayName="CMAB_RES_2" ref="C24:I27" totalsRowShown="0" headerRowDxfId="967" headerRowBorderDxfId="966" tableBorderDxfId="965" totalsRowBorderDxfId="964" headerRowCellStyle="Table col heading">
  <tableColumns count="7">
    <tableColumn id="1" xr3:uid="{A8F78815-AEAC-434F-B06A-A08BC4351EAC}" name="Customer type"/>
    <tableColumn id="2" xr3:uid="{7569B853-B0EF-41A4-A839-E23B991D1B54}" name="Usage profile"/>
    <tableColumn id="3" xr3:uid="{8D8BA29C-1E24-4688-8F81-2395D28FE733}" name="Ausnet">
      <calculatedColumnFormula>IFERROR(
IF($D$21="VDO 2021 - Final",
ROUNDUP(
(INDEX(OP_TotalRates_RES_2[[Ausnet]:[United Energy]],MATCH("Anytime - supply",OP_TotalRates_RES_2[[Rate name]:[Rate name]],0),MATCH(OP_CMAB!E$24,OP_TotalRates_RES_2[[#Headers],[Ausnet]:[United Energy]],0))*DiY)+
(IFERROR((INDEX(OP_TotalRates_RES_2[[Ausnet]:[United Energy]],MATCH("Block 1",OP_TotalRates_RES_2[[Rate name]:[Rate name]],0),MATCH(OP_CMAB!E$24,OP_TotalRates_RES_2[[#Headers],[Ausnet]:[United Energy]],0))*
INDEX(Input_Usage[[F-PreviousVDO_Input]:[F-CurrentVDO_Input]],MATCH(OP_CMAB!$D25&amp;" - Block 1",Input_Usage[[Ref]:[Ref]],0),MATCH(OP_CMAB!$D$21,Inputs!$I$134:$M$134,0))),0)+
IFERROR((INDEX(OP_TotalRates_RES_2[[Ausnet]:[United Energy]],MATCH("Balance",OP_TotalRates_RES_2[[Rate name]:[Rate name]],0),MATCH(OP_CMAB!E$24,OP_TotalRates_RES_2[[#Headers],[Ausnet]:[United Energy]],0))*
INDEX(Input_Usage[[F-PreviousVDO_Input]:[F-CurrentVDO_Input]],MATCH(OP_CMAB!$D25&amp;" - Balance",Input_Usage[[Ref]:[Ref]],0),MATCH(OP_CMAB!$D$21,Inputs!$I$134:$M$134,0))),0)+
IFERROR((INDEX(OP_TotalRates_RES_2[[Ausnet]:[United Energy]],MATCH("Single rate",OP_TotalRates_RES_2[[Rate name]:[Rate name]],0),MATCH(OP_CMAB!E$24,OP_TotalRates_RES_2[[#Headers],[Ausnet]:[United Energy]],0))*
INDEX(Input_Usage[[F-PreviousVDO_Input]:[F-CurrentVDO_Input]],MATCH(OP_CMAB!$D25&amp;" - Annual",Input_Usage[[Ref]:[Ref]],0),MATCH(OP_CMAB!$D$21,Inputs!$I$134:$M$134,0))),0)),0),
ROUNDUP(
(INDEX(OP_TotalRates_RES_2[[Ausnet]:[United Energy]],MATCH("TOU - supply",OP_TotalRates_RES_2[[Rate name]:[Rate name]],0),MATCH(OP_CMAB!E$24,OP_TotalRates_RES_2[[#Headers],[Ausnet]:[United Energy]],0))*DiY)+
(INDEX(OP_TotalRates_RES_2[[Ausnet]:[United Energy]],MATCH("Peak",OP_TotalRates_RES_2[[Rate name]:[Rate name]],0),MATCH(OP_CMAB!E$24,OP_TotalRates_RES_2[[#Headers],[Ausnet]:[United Energy]],0))*
INDEX(Input_Usage[[F-PreviousVDO_Input]:[F-CurrentVDO_Input]],MATCH($D25&amp;" - Peak",Input_Usage[[Ref]:[Ref]],0),MATCH($D$21,Inputs!$I$134:$M$134,0)))+
IFERROR((INDEX(OP_TotalRates_RES_2[[Ausnet]:[United Energy]],MATCH("TOU - Shoulder",OP_TotalRates_RES_2[[Rate name]:[Rate name]],0),MATCH(OP_CMAB!E$24,OP_TotalRates_RES_2[[#Headers],[Ausnet]:[United Energy]],0))*
INDEX(Input_Usage[[F-PreviousVDO_Input]:[F-CurrentVDO_Input]],MATCH($D25&amp;" - Shoulder",Input_Usage[[Ref]:[Ref]],0),MATCH($D$21,Inputs!$I$134:$M$134,0))),0)+
(INDEX(OP_TotalRates_RES_2[[Ausnet]:[United Energy]],MATCH("Off peak",OP_TotalRates_RES_2[[Rate name]:[Rate name]],0),MATCH(OP_CMAB!E$24,OP_TotalRates_RES_2[[#Headers],[Ausnet]:[United Energy]],0))*
INDEX(Input_Usage[[F-PreviousVDO_Input]:[F-CurrentVDO_Input]],MATCH($D25&amp;" - Off peak",Input_Usage[[Ref]:[Ref]],0),MATCH($D$21,Inputs!$I$134:$M$134,0))),0)),"-")</calculatedColumnFormula>
    </tableColumn>
    <tableColumn id="4" xr3:uid="{0D5F9249-2086-4CEA-909D-1923653A76C1}" name="Citipower">
      <calculatedColumnFormula>IFERROR(
IF($D$21="VDO 2021 - Final",
ROUNDUP(
(INDEX(OP_TotalRates_RES_2[[Ausnet]:[United Energy]],MATCH("Anytime - supply",OP_TotalRates_RES_2[[Rate name]:[Rate name]],0),MATCH(OP_CMAB!F$24,OP_TotalRates_RES_2[[#Headers],[Ausnet]:[United Energy]],0))*DiY)+
(IFERROR((INDEX(OP_TotalRates_RES_2[[Ausnet]:[United Energy]],MATCH("Block 1",OP_TotalRates_RES_2[[Rate name]:[Rate name]],0),MATCH(OP_CMAB!F$24,OP_TotalRates_RES_2[[#Headers],[Ausnet]:[United Energy]],0))*
INDEX(Input_Usage[[F-PreviousVDO_Input]:[F-CurrentVDO_Input]],MATCH(OP_CMAB!$D25&amp;" - Block 1",Input_Usage[[Ref]:[Ref]],0),MATCH(OP_CMAB!$D$21,Inputs!$I$134:$M$134,0))),0)+
IFERROR((INDEX(OP_TotalRates_RES_2[[Ausnet]:[United Energy]],MATCH("Balance",OP_TotalRates_RES_2[[Rate name]:[Rate name]],0),MATCH(OP_CMAB!F$24,OP_TotalRates_RES_2[[#Headers],[Ausnet]:[United Energy]],0))*
INDEX(Input_Usage[[F-PreviousVDO_Input]:[F-CurrentVDO_Input]],MATCH(OP_CMAB!$D25&amp;" - Balance",Input_Usage[[Ref]:[Ref]],0),MATCH(OP_CMAB!$D$21,Inputs!$I$134:$M$134,0))),0)+
IFERROR((INDEX(OP_TotalRates_RES_2[[Ausnet]:[United Energy]],MATCH("Single rate",OP_TotalRates_RES_2[[Rate name]:[Rate name]],0),MATCH(OP_CMAB!F$24,OP_TotalRates_RES_2[[#Headers],[Ausnet]:[United Energy]],0))*
INDEX(Input_Usage[[F-PreviousVDO_Input]:[F-CurrentVDO_Input]],MATCH(OP_CMAB!$D25&amp;" - Annual",Input_Usage[[Ref]:[Ref]],0),MATCH(OP_CMAB!$D$21,Inputs!$I$134:$M$134,0))),0)),0),
ROUNDUP(
(INDEX(OP_TotalRates_RES_2[[Ausnet]:[United Energy]],MATCH("TOU - supply",OP_TotalRates_RES_2[[Rate name]:[Rate name]],0),MATCH(OP_CMAB!F$24,OP_TotalRates_RES_2[[#Headers],[Ausnet]:[United Energy]],0))*DiY)+
(INDEX(OP_TotalRates_RES_2[[Ausnet]:[United Energy]],MATCH("Peak",OP_TotalRates_RES_2[[Rate name]:[Rate name]],0),MATCH(OP_CMAB!F$24,OP_TotalRates_RES_2[[#Headers],[Ausnet]:[United Energy]],0))*
INDEX(Input_Usage[[F-PreviousVDO_Input]:[F-CurrentVDO_Input]],MATCH($D25&amp;" - Peak",Input_Usage[[Ref]:[Ref]],0),MATCH($D$21,Inputs!$I$134:$M$134,0)))+
IFERROR((INDEX(OP_TotalRates_RES_2[[Ausnet]:[United Energy]],MATCH("TOU - Shoulder",OP_TotalRates_RES_2[[Rate name]:[Rate name]],0),MATCH(OP_CMAB!F$24,OP_TotalRates_RES_2[[#Headers],[Ausnet]:[United Energy]],0))*
INDEX(Input_Usage[[F-PreviousVDO_Input]:[F-CurrentVDO_Input]],MATCH($D25&amp;" - Shoulder",Input_Usage[[Ref]:[Ref]],0),MATCH($D$21,Inputs!$I$134:$M$134,0))),0)+
(INDEX(OP_TotalRates_RES_2[[Ausnet]:[United Energy]],MATCH("Off peak",OP_TotalRates_RES_2[[Rate name]:[Rate name]],0),MATCH(OP_CMAB!F$24,OP_TotalRates_RES_2[[#Headers],[Ausnet]:[United Energy]],0))*
INDEX(Input_Usage[[F-PreviousVDO_Input]:[F-CurrentVDO_Input]],MATCH($D25&amp;" - Off peak",Input_Usage[[Ref]:[Ref]],0),MATCH($D$21,Inputs!$I$134:$M$134,0))),0)),"-")</calculatedColumnFormula>
    </tableColumn>
    <tableColumn id="5" xr3:uid="{FE2A9689-6847-47AC-BEEF-E289A5A229B5}" name="Jemena">
      <calculatedColumnFormula>IFERROR(
IF($D$21="VDO 2021 - Final",
ROUNDUP(
(INDEX(OP_TotalRates_RES_2[[Ausnet]:[United Energy]],MATCH("Anytime - supply",OP_TotalRates_RES_2[[Rate name]:[Rate name]],0),MATCH(OP_CMAB!G$24,OP_TotalRates_RES_2[[#Headers],[Ausnet]:[United Energy]],0))*DiY)+
(IFERROR((INDEX(OP_TotalRates_RES_2[[Ausnet]:[United Energy]],MATCH("Block 1",OP_TotalRates_RES_2[[Rate name]:[Rate name]],0),MATCH(OP_CMAB!G$24,OP_TotalRates_RES_2[[#Headers],[Ausnet]:[United Energy]],0))*
INDEX(Input_Usage[[F-PreviousVDO_Input]:[F-CurrentVDO_Input]],MATCH(OP_CMAB!$D25&amp;" - Block 1",Input_Usage[[Ref]:[Ref]],0),MATCH(OP_CMAB!$D$21,Inputs!$I$134:$M$134,0))),0)+
IFERROR((INDEX(OP_TotalRates_RES_2[[Ausnet]:[United Energy]],MATCH("Balance",OP_TotalRates_RES_2[[Rate name]:[Rate name]],0),MATCH(OP_CMAB!G$24,OP_TotalRates_RES_2[[#Headers],[Ausnet]:[United Energy]],0))*
INDEX(Input_Usage[[F-PreviousVDO_Input]:[F-CurrentVDO_Input]],MATCH(OP_CMAB!$D25&amp;" - Balance",Input_Usage[[Ref]:[Ref]],0),MATCH(OP_CMAB!$D$21,Inputs!$I$134:$M$134,0))),0)+
IFERROR((INDEX(OP_TotalRates_RES_2[[Ausnet]:[United Energy]],MATCH("Single rate",OP_TotalRates_RES_2[[Rate name]:[Rate name]],0),MATCH(OP_CMAB!G$24,OP_TotalRates_RES_2[[#Headers],[Ausnet]:[United Energy]],0))*
INDEX(Input_Usage[[F-PreviousVDO_Input]:[F-CurrentVDO_Input]],MATCH(OP_CMAB!$D25&amp;" - Annual",Input_Usage[[Ref]:[Ref]],0),MATCH(OP_CMAB!$D$21,Inputs!$I$134:$M$134,0))),0)),0),
ROUNDUP(
(INDEX(OP_TotalRates_RES_2[[Ausnet]:[United Energy]],MATCH("TOU - supply",OP_TotalRates_RES_2[[Rate name]:[Rate name]],0),MATCH(OP_CMAB!G$24,OP_TotalRates_RES_2[[#Headers],[Ausnet]:[United Energy]],0))*DiY)+
(INDEX(OP_TotalRates_RES_2[[Ausnet]:[United Energy]],MATCH("Peak",OP_TotalRates_RES_2[[Rate name]:[Rate name]],0),MATCH(OP_CMAB!G$24,OP_TotalRates_RES_2[[#Headers],[Ausnet]:[United Energy]],0))*
INDEX(Input_Usage[[F-PreviousVDO_Input]:[F-CurrentVDO_Input]],MATCH($D25&amp;" - Peak",Input_Usage[[Ref]:[Ref]],0),MATCH($D$21,Inputs!$I$134:$M$134,0)))+
IFERROR((INDEX(OP_TotalRates_RES_2[[Ausnet]:[United Energy]],MATCH("TOU - Shoulder",OP_TotalRates_RES_2[[Rate name]:[Rate name]],0),MATCH(OP_CMAB!G$24,OP_TotalRates_RES_2[[#Headers],[Ausnet]:[United Energy]],0))*
INDEX(Input_Usage[[F-PreviousVDO_Input]:[F-CurrentVDO_Input]],MATCH($D25&amp;" - Shoulder",Input_Usage[[Ref]:[Ref]],0),MATCH($D$21,Inputs!$I$134:$M$134,0))),0)+
(INDEX(OP_TotalRates_RES_2[[Ausnet]:[United Energy]],MATCH("Off peak",OP_TotalRates_RES_2[[Rate name]:[Rate name]],0),MATCH(OP_CMAB!G$24,OP_TotalRates_RES_2[[#Headers],[Ausnet]:[United Energy]],0))*
INDEX(Input_Usage[[F-PreviousVDO_Input]:[F-CurrentVDO_Input]],MATCH($D25&amp;" - Off peak",Input_Usage[[Ref]:[Ref]],0),MATCH($D$21,Inputs!$I$134:$M$134,0))),0)),"-")</calculatedColumnFormula>
    </tableColumn>
    <tableColumn id="6" xr3:uid="{A6AD0D20-3ABA-4057-BAA3-35F27065C0F2}" name="Powercor">
      <calculatedColumnFormula>IFERROR(
IF($D$21="VDO 2021 - Final",
ROUNDUP(
(INDEX(OP_TotalRates_RES_2[[Ausnet]:[United Energy]],MATCH("Anytime - supply",OP_TotalRates_RES_2[[Rate name]:[Rate name]],0),MATCH(OP_CMAB!H$24,OP_TotalRates_RES_2[[#Headers],[Ausnet]:[United Energy]],0))*DiY)+
(IFERROR((INDEX(OP_TotalRates_RES_2[[Ausnet]:[United Energy]],MATCH("Block 1",OP_TotalRates_RES_2[[Rate name]:[Rate name]],0),MATCH(OP_CMAB!H$24,OP_TotalRates_RES_2[[#Headers],[Ausnet]:[United Energy]],0))*
INDEX(Input_Usage[[F-PreviousVDO_Input]:[F-CurrentVDO_Input]],MATCH(OP_CMAB!$D25&amp;" - Block 1",Input_Usage[[Ref]:[Ref]],0),MATCH(OP_CMAB!$D$21,Inputs!$I$134:$M$134,0))),0)+
IFERROR((INDEX(OP_TotalRates_RES_2[[Ausnet]:[United Energy]],MATCH("Balance",OP_TotalRates_RES_2[[Rate name]:[Rate name]],0),MATCH(OP_CMAB!H$24,OP_TotalRates_RES_2[[#Headers],[Ausnet]:[United Energy]],0))*
INDEX(Input_Usage[[F-PreviousVDO_Input]:[F-CurrentVDO_Input]],MATCH(OP_CMAB!$D25&amp;" - Balance",Input_Usage[[Ref]:[Ref]],0),MATCH(OP_CMAB!$D$21,Inputs!$I$134:$M$134,0))),0)+
IFERROR((INDEX(OP_TotalRates_RES_2[[Ausnet]:[United Energy]],MATCH("Single rate",OP_TotalRates_RES_2[[Rate name]:[Rate name]],0),MATCH(OP_CMAB!H$24,OP_TotalRates_RES_2[[#Headers],[Ausnet]:[United Energy]],0))*
INDEX(Input_Usage[[F-PreviousVDO_Input]:[F-CurrentVDO_Input]],MATCH(OP_CMAB!$D25&amp;" - Annual",Input_Usage[[Ref]:[Ref]],0),MATCH(OP_CMAB!$D$21,Inputs!$I$134:$M$134,0))),0)),0),
ROUNDUP(
(INDEX(OP_TotalRates_RES_2[[Ausnet]:[United Energy]],MATCH("TOU - supply",OP_TotalRates_RES_2[[Rate name]:[Rate name]],0),MATCH(OP_CMAB!H$24,OP_TotalRates_RES_2[[#Headers],[Ausnet]:[United Energy]],0))*DiY)+
(INDEX(OP_TotalRates_RES_2[[Ausnet]:[United Energy]],MATCH("Peak",OP_TotalRates_RES_2[[Rate name]:[Rate name]],0),MATCH(OP_CMAB!H$24,OP_TotalRates_RES_2[[#Headers],[Ausnet]:[United Energy]],0))*
INDEX(Input_Usage[[F-PreviousVDO_Input]:[F-CurrentVDO_Input]],MATCH($D25&amp;" - Peak",Input_Usage[[Ref]:[Ref]],0),MATCH($D$21,Inputs!$I$134:$M$134,0)))+
IFERROR((INDEX(OP_TotalRates_RES_2[[Ausnet]:[United Energy]],MATCH("TOU - Shoulder",OP_TotalRates_RES_2[[Rate name]:[Rate name]],0),MATCH(OP_CMAB!H$24,OP_TotalRates_RES_2[[#Headers],[Ausnet]:[United Energy]],0))*
INDEX(Input_Usage[[F-PreviousVDO_Input]:[F-CurrentVDO_Input]],MATCH($D25&amp;" - Shoulder",Input_Usage[[Ref]:[Ref]],0),MATCH($D$21,Inputs!$I$134:$M$134,0))),0)+
(INDEX(OP_TotalRates_RES_2[[Ausnet]:[United Energy]],MATCH("Off peak",OP_TotalRates_RES_2[[Rate name]:[Rate name]],0),MATCH(OP_CMAB!H$24,OP_TotalRates_RES_2[[#Headers],[Ausnet]:[United Energy]],0))*
INDEX(Input_Usage[[F-PreviousVDO_Input]:[F-CurrentVDO_Input]],MATCH($D25&amp;" - Off peak",Input_Usage[[Ref]:[Ref]],0),MATCH($D$21,Inputs!$I$134:$M$134,0))),0)),"-")</calculatedColumnFormula>
    </tableColumn>
    <tableColumn id="7" xr3:uid="{B2B5B815-02E0-4F29-934A-9D7CE200BE7C}" name="United Energy">
      <calculatedColumnFormula>IFERROR(
IF($D$21="VDO 2021 - Final",
ROUNDUP(
(INDEX(OP_TotalRates_RES_2[[Ausnet]:[United Energy]],MATCH("Anytime - supply",OP_TotalRates_RES_2[[Rate name]:[Rate name]],0),MATCH(OP_CMAB!I$24,OP_TotalRates_RES_2[[#Headers],[Ausnet]:[United Energy]],0))*DiY)+
(IFERROR((INDEX(OP_TotalRates_RES_2[[Ausnet]:[United Energy]],MATCH("Block 1",OP_TotalRates_RES_2[[Rate name]:[Rate name]],0),MATCH(OP_CMAB!I$24,OP_TotalRates_RES_2[[#Headers],[Ausnet]:[United Energy]],0))*
INDEX(Input_Usage[[F-PreviousVDO_Input]:[F-CurrentVDO_Input]],MATCH(OP_CMAB!$D25&amp;" - Block 1",Input_Usage[[Ref]:[Ref]],0),MATCH(OP_CMAB!$D$21,Inputs!$I$134:$M$134,0))),0)+
IFERROR((INDEX(OP_TotalRates_RES_2[[Ausnet]:[United Energy]],MATCH("Balance",OP_TotalRates_RES_2[[Rate name]:[Rate name]],0),MATCH(OP_CMAB!I$24,OP_TotalRates_RES_2[[#Headers],[Ausnet]:[United Energy]],0))*
INDEX(Input_Usage[[F-PreviousVDO_Input]:[F-CurrentVDO_Input]],MATCH(OP_CMAB!$D25&amp;" - Balance",Input_Usage[[Ref]:[Ref]],0),MATCH(OP_CMAB!$D$21,Inputs!$I$134:$M$134,0))),0)+
IFERROR((INDEX(OP_TotalRates_RES_2[[Ausnet]:[United Energy]],MATCH("Single rate",OP_TotalRates_RES_2[[Rate name]:[Rate name]],0),MATCH(OP_CMAB!I$24,OP_TotalRates_RES_2[[#Headers],[Ausnet]:[United Energy]],0))*
INDEX(Input_Usage[[F-PreviousVDO_Input]:[F-CurrentVDO_Input]],MATCH(OP_CMAB!$D25&amp;" - Annual",Input_Usage[[Ref]:[Ref]],0),MATCH(OP_CMAB!$D$21,Inputs!$I$134:$M$134,0))),0)),0),
ROUNDUP(
(INDEX(OP_TotalRates_RES_2[[Ausnet]:[United Energy]],MATCH("TOU - supply",OP_TotalRates_RES_2[[Rate name]:[Rate name]],0),MATCH(OP_CMAB!I$24,OP_TotalRates_RES_2[[#Headers],[Ausnet]:[United Energy]],0))*DiY)+
(INDEX(OP_TotalRates_RES_2[[Ausnet]:[United Energy]],MATCH("Peak",OP_TotalRates_RES_2[[Rate name]:[Rate name]],0),MATCH(OP_CMAB!I$24,OP_TotalRates_RES_2[[#Headers],[Ausnet]:[United Energy]],0))*
INDEX(Input_Usage[[F-PreviousVDO_Input]:[F-CurrentVDO_Input]],MATCH($D25&amp;" - Peak",Input_Usage[[Ref]:[Ref]],0),MATCH($D$21,Inputs!$I$134:$M$134,0)))+
IFERROR((INDEX(OP_TotalRates_RES_2[[Ausnet]:[United Energy]],MATCH("TOU - Shoulder",OP_TotalRates_RES_2[[Rate name]:[Rate name]],0),MATCH(OP_CMAB!I$24,OP_TotalRates_RES_2[[#Headers],[Ausnet]:[United Energy]],0))*
INDEX(Input_Usage[[F-PreviousVDO_Input]:[F-CurrentVDO_Input]],MATCH($D25&amp;" - Shoulder",Input_Usage[[Ref]:[Ref]],0),MATCH($D$21,Inputs!$I$134:$M$134,0))),0)+
(INDEX(OP_TotalRates_RES_2[[Ausnet]:[United Energy]],MATCH("Off peak",OP_TotalRates_RES_2[[Rate name]:[Rate name]],0),MATCH(OP_CMAB!I$24,OP_TotalRates_RES_2[[#Headers],[Ausnet]:[United Energy]],0))*
INDEX(Input_Usage[[F-PreviousVDO_Input]:[F-CurrentVDO_Input]],MATCH($D25&amp;" - Off peak",Input_Usage[[Ref]:[Ref]],0),MATCH($D$21,Inputs!$I$134:$M$134,0))),0)),"-")</calculatedColumnFormula>
    </tableColumn>
  </tableColumns>
  <tableStyleInfo name="Default tabl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82B6EB15-85B8-4ABE-85ED-496C073FF8CC}" name="CMAB_SME_2" displayName="CMAB_SME_2" ref="K24:Q27" totalsRowShown="0" headerRowDxfId="963" headerRowBorderDxfId="962" tableBorderDxfId="961" totalsRowBorderDxfId="960" headerRowCellStyle="Table col heading">
  <tableColumns count="7">
    <tableColumn id="1" xr3:uid="{EB6D28E3-1A73-4D41-A3B3-303EF3024DE7}" name="Customer type"/>
    <tableColumn id="2" xr3:uid="{CA13CB67-97D3-4228-93C6-A787A23F3C77}" name="Usage profile"/>
    <tableColumn id="3" xr3:uid="{BFA9E2A1-209A-4C28-9214-5A6338FB6F5D}" name="Ausnet" dataDxfId="959" dataCellStyle="Table cell">
      <calculatedColumnFormula>IFERROR(
IF($D$21="VDO 2021 - Final",
ROUNDUP(
(INDEX(OP_TotalRates_SME_2[[Ausnet]:[United Energy]],MATCH("Anytime - supply",OP_TotalRates_SME_2[[Rate name]:[Rate name]],0),MATCH(OP_CMAB!M$24,OP_TotalRates_SME_2[[#Headers],[Ausnet]:[United Energy]],0))*DiY)+
(IFERROR((INDEX(OP_TotalRates_SME_2[[Ausnet]:[United Energy]],MATCH("Block 1",OP_TotalRates_SME_2[[Rate name]:[Rate name]],0),MATCH(OP_CMAB!M$24,OP_TotalRates_SME_2[[#Headers],[Ausnet]:[United Energy]],0))*
INDEX(Input_Usage[[F-PreviousVDO_Input]:[F-CurrentVDO_Input]],MATCH(OP_CMAB!$L25&amp;" - Block 1",Input_Usage[[Ref]:[Ref]],0),MATCH(OP_CMAB!$D$21,Inputs!$I$134:$M$134,0))),0)+
IFERROR((INDEX(OP_TotalRates_SME_2[[Ausnet]:[United Energy]],MATCH("Balance",OP_TotalRates_SME_2[[Rate name]:[Rate name]],0),MATCH(OP_CMAB!M$24,OP_TotalRates_SME_2[[#Headers],[Ausnet]:[United Energy]],0))*
INDEX(Input_Usage[[F-PreviousVDO_Input]:[F-CurrentVDO_Input]],MATCH(OP_CMAB!$L25&amp;" - Balance",Input_Usage[[Ref]:[Ref]],0),MATCH(OP_CMAB!$D$21,Inputs!$I$134:$M$134,0))),0)+
IFERROR((INDEX(OP_TotalRates_SME_2[[Ausnet]:[United Energy]],MATCH("Single rate",OP_TotalRates_SME_2[[Rate name]:[Rate name]],0),MATCH(OP_CMAB!M$24,OP_TotalRates_SME_2[[#Headers],[Ausnet]:[United Energy]],0))*
INDEX(Input_Usage[[F-PreviousVDO_Input]:[F-CurrentVDO_Input]],MATCH(OP_CMAB!$L25&amp;" - Annual",Input_Usage[[Ref]:[Ref]],0),MATCH(OP_CMAB!$D$21,Inputs!$I$134:$M$134,0))),0)),0),
ROUNDUP(
(INDEX(OP_TotalRates_SME_2[[Ausnet]:[United Energy]],MATCH("TOU - supply",OP_TotalRates_SME_2[[Rate name]:[Rate name]],0),MATCH(OP_CMAB!M$24,OP_TotalRates_SME_2[[#Headers],[Ausnet]:[United Energy]],0))*DiY)+
(INDEX(OP_TotalRates_SME_2[[Ausnet]:[United Energy]],MATCH("Peak",OP_TotalRates_SME_2[[Rate name]:[Rate name]],0),MATCH(OP_CMAB!M$24,OP_TotalRates_SME_2[[#Headers],[Ausnet]:[United Energy]],0))*
INDEX(Input_Usage[[F-PreviousVDO_Input]:[F-CurrentVDO_Input]],MATCH($L25&amp;" - Peak",Input_Usage[[Ref]:[Ref]],0),MATCH($D$21,Inputs!$I$134:$M$134,0)))+
IFERROR((INDEX(OP_TotalRates_SME_2[[Ausnet]:[United Energy]],MATCH("TOU - Shoulder",OP_TotalRates_SME_2[[Rate name]:[Rate name]],0),MATCH(OP_CMAB!M$24,OP_TotalRates_SME_2[[#Headers],[Ausnet]:[United Energy]],0))*
INDEX(Input_Usage[[F-PreviousVDO_Input]:[F-CurrentVDO_Input]],MATCH($L25&amp;" - Shoulder",Input_Usage[[Ref]:[Ref]],0),MATCH($D$21,Inputs!$I$134:$M$134,0))),0)+
(INDEX(OP_TotalRates_SME_2[[Ausnet]:[United Energy]],MATCH("Off peak",OP_TotalRates_SME_2[[Rate name]:[Rate name]],0),MATCH(OP_CMAB!M$24,OP_TotalRates_SME_2[[#Headers],[Ausnet]:[United Energy]],0))*
INDEX(Input_Usage[[F-PreviousVDO_Input]:[F-CurrentVDO_Input]],MATCH($L25&amp;" - Off peak",Input_Usage[[Ref]:[Ref]],0),MATCH($D$21,Inputs!$I$134:$M$134,0))),0)),"-")</calculatedColumnFormula>
    </tableColumn>
    <tableColumn id="4" xr3:uid="{F0FD9595-8EE1-48EF-9F82-FA7DBD8C7508}" name="Citipower">
      <calculatedColumnFormula>IFERROR(
IF($D$21="VDO 2021 - Final",
ROUNDUP(
(INDEX(OP_TotalRates_SME_2[[Ausnet]:[United Energy]],MATCH("Anytime - supply",OP_TotalRates_SME_2[[Rate name]:[Rate name]],0),MATCH(OP_CMAB!N$24,OP_TotalRates_SME_2[[#Headers],[Ausnet]:[United Energy]],0))*DiY)+
(IFERROR((INDEX(OP_TotalRates_SME_2[[Ausnet]:[United Energy]],MATCH("Block 1",OP_TotalRates_SME_2[[Rate name]:[Rate name]],0),MATCH(OP_CMAB!N$24,OP_TotalRates_SME_2[[#Headers],[Ausnet]:[United Energy]],0))*
INDEX(Input_Usage[[F-PreviousVDO_Input]:[F-CurrentVDO_Input]],MATCH(OP_CMAB!$L25&amp;" - Block 1",Input_Usage[[Ref]:[Ref]],0),MATCH(OP_CMAB!$D$21,Inputs!$I$134:$M$134,0))),0)+
IFERROR((INDEX(OP_TotalRates_SME_2[[Ausnet]:[United Energy]],MATCH("Balance",OP_TotalRates_SME_2[[Rate name]:[Rate name]],0),MATCH(OP_CMAB!N$24,OP_TotalRates_SME_2[[#Headers],[Ausnet]:[United Energy]],0))*
INDEX(Input_Usage[[F-PreviousVDO_Input]:[F-CurrentVDO_Input]],MATCH(OP_CMAB!$L25&amp;" - Balance",Input_Usage[[Ref]:[Ref]],0),MATCH(OP_CMAB!$D$21,Inputs!$I$134:$M$134,0))),0)+
IFERROR((INDEX(OP_TotalRates_SME_2[[Ausnet]:[United Energy]],MATCH("Single rate",OP_TotalRates_SME_2[[Rate name]:[Rate name]],0),MATCH(OP_CMAB!N$24,OP_TotalRates_SME_2[[#Headers],[Ausnet]:[United Energy]],0))*
INDEX(Input_Usage[[F-PreviousVDO_Input]:[F-CurrentVDO_Input]],MATCH(OP_CMAB!$L25&amp;" - Annual",Input_Usage[[Ref]:[Ref]],0),MATCH(OP_CMAB!$D$21,Inputs!$I$134:$M$134,0))),0)),0),
ROUNDUP(
(INDEX(OP_TotalRates_SME_2[[Ausnet]:[United Energy]],MATCH("TOU - supply",OP_TotalRates_SME_2[[Rate name]:[Rate name]],0),MATCH(OP_CMAB!N$24,OP_TotalRates_SME_2[[#Headers],[Ausnet]:[United Energy]],0))*DiY)+
(INDEX(OP_TotalRates_SME_2[[Ausnet]:[United Energy]],MATCH("Peak",OP_TotalRates_SME_2[[Rate name]:[Rate name]],0),MATCH(OP_CMAB!N$24,OP_TotalRates_SME_2[[#Headers],[Ausnet]:[United Energy]],0))*
INDEX(Input_Usage[[F-PreviousVDO_Input]:[F-CurrentVDO_Input]],MATCH($L25&amp;" - Peak",Input_Usage[[Ref]:[Ref]],0),MATCH($D$21,Inputs!$I$134:$M$134,0)))+
IFERROR((INDEX(OP_TotalRates_SME_2[[Ausnet]:[United Energy]],MATCH("TOU - Shoulder",OP_TotalRates_SME_2[[Rate name]:[Rate name]],0),MATCH(OP_CMAB!N$24,OP_TotalRates_SME_2[[#Headers],[Ausnet]:[United Energy]],0))*
INDEX(Input_Usage[[F-PreviousVDO_Input]:[F-CurrentVDO_Input]],MATCH($L25&amp;" - Shoulder",Input_Usage[[Ref]:[Ref]],0),MATCH($D$21,Inputs!$I$134:$M$134,0))),0)+
(INDEX(OP_TotalRates_SME_2[[Ausnet]:[United Energy]],MATCH("Off peak",OP_TotalRates_SME_2[[Rate name]:[Rate name]],0),MATCH(OP_CMAB!N$24,OP_TotalRates_SME_2[[#Headers],[Ausnet]:[United Energy]],0))*
INDEX(Input_Usage[[F-PreviousVDO_Input]:[F-CurrentVDO_Input]],MATCH($L25&amp;" - Off peak",Input_Usage[[Ref]:[Ref]],0),MATCH($D$21,Inputs!$I$134:$M$134,0))),0)),"-")</calculatedColumnFormula>
    </tableColumn>
    <tableColumn id="5" xr3:uid="{A1C73988-CF22-4DE8-B89F-4E0985EF1E42}" name="Jemena">
      <calculatedColumnFormula>IFERROR(
IF($D$21="VDO 2021 - Final",
ROUNDUP(
(INDEX(OP_TotalRates_SME_2[[Ausnet]:[United Energy]],MATCH("Anytime - supply",OP_TotalRates_SME_2[[Rate name]:[Rate name]],0),MATCH(OP_CMAB!O$24,OP_TotalRates_SME_2[[#Headers],[Ausnet]:[United Energy]],0))*DiY)+
(IFERROR((INDEX(OP_TotalRates_SME_2[[Ausnet]:[United Energy]],MATCH("Block 1",OP_TotalRates_SME_2[[Rate name]:[Rate name]],0),MATCH(OP_CMAB!O$24,OP_TotalRates_SME_2[[#Headers],[Ausnet]:[United Energy]],0))*
INDEX(Input_Usage[[F-PreviousVDO_Input]:[F-CurrentVDO_Input]],MATCH(OP_CMAB!$L25&amp;" - Block 1",Input_Usage[[Ref]:[Ref]],0),MATCH(OP_CMAB!$D$21,Inputs!$I$134:$M$134,0))),0)+
IFERROR((INDEX(OP_TotalRates_SME_2[[Ausnet]:[United Energy]],MATCH("Balance",OP_TotalRates_SME_2[[Rate name]:[Rate name]],0),MATCH(OP_CMAB!O$24,OP_TotalRates_SME_2[[#Headers],[Ausnet]:[United Energy]],0))*
INDEX(Input_Usage[[F-PreviousVDO_Input]:[F-CurrentVDO_Input]],MATCH(OP_CMAB!$L25&amp;" - Balance",Input_Usage[[Ref]:[Ref]],0),MATCH(OP_CMAB!$D$21,Inputs!$I$134:$M$134,0))),0)+
IFERROR((INDEX(OP_TotalRates_SME_2[[Ausnet]:[United Energy]],MATCH("Single rate",OP_TotalRates_SME_2[[Rate name]:[Rate name]],0),MATCH(OP_CMAB!O$24,OP_TotalRates_SME_2[[#Headers],[Ausnet]:[United Energy]],0))*
INDEX(Input_Usage[[F-PreviousVDO_Input]:[F-CurrentVDO_Input]],MATCH(OP_CMAB!$L25&amp;" - Annual",Input_Usage[[Ref]:[Ref]],0),MATCH(OP_CMAB!$D$21,Inputs!$I$134:$M$134,0))),0)),0),
ROUNDUP(
(INDEX(OP_TotalRates_SME_2[[Ausnet]:[United Energy]],MATCH("TOU - supply",OP_TotalRates_SME_2[[Rate name]:[Rate name]],0),MATCH(OP_CMAB!O$24,OP_TotalRates_SME_2[[#Headers],[Ausnet]:[United Energy]],0))*DiY)+
(INDEX(OP_TotalRates_SME_2[[Ausnet]:[United Energy]],MATCH("Peak",OP_TotalRates_SME_2[[Rate name]:[Rate name]],0),MATCH(OP_CMAB!O$24,OP_TotalRates_SME_2[[#Headers],[Ausnet]:[United Energy]],0))*
INDEX(Input_Usage[[F-PreviousVDO_Input]:[F-CurrentVDO_Input]],MATCH($L25&amp;" - Peak",Input_Usage[[Ref]:[Ref]],0),MATCH($D$21,Inputs!$I$134:$M$134,0)))+
IFERROR((INDEX(OP_TotalRates_SME_2[[Ausnet]:[United Energy]],MATCH("TOU - Shoulder",OP_TotalRates_SME_2[[Rate name]:[Rate name]],0),MATCH(OP_CMAB!O$24,OP_TotalRates_SME_2[[#Headers],[Ausnet]:[United Energy]],0))*
INDEX(Input_Usage[[F-PreviousVDO_Input]:[F-CurrentVDO_Input]],MATCH($L25&amp;" - Shoulder",Input_Usage[[Ref]:[Ref]],0),MATCH($D$21,Inputs!$I$134:$M$134,0))),0)+
(INDEX(OP_TotalRates_SME_2[[Ausnet]:[United Energy]],MATCH("Off peak",OP_TotalRates_SME_2[[Rate name]:[Rate name]],0),MATCH(OP_CMAB!O$24,OP_TotalRates_SME_2[[#Headers],[Ausnet]:[United Energy]],0))*
INDEX(Input_Usage[[F-PreviousVDO_Input]:[F-CurrentVDO_Input]],MATCH($L25&amp;" - Off peak",Input_Usage[[Ref]:[Ref]],0),MATCH($D$21,Inputs!$I$134:$M$134,0))),0)),"-")</calculatedColumnFormula>
    </tableColumn>
    <tableColumn id="6" xr3:uid="{E32519FF-66CE-4885-AE63-4D241C844B94}" name="Powercor">
      <calculatedColumnFormula>IFERROR(
IF($D$21="VDO 2021 - Final",
ROUNDUP(
(INDEX(OP_TotalRates_SME_2[[Ausnet]:[United Energy]],MATCH("Anytime - supply",OP_TotalRates_SME_2[[Rate name]:[Rate name]],0),MATCH(OP_CMAB!P$24,OP_TotalRates_SME_2[[#Headers],[Ausnet]:[United Energy]],0))*DiY)+
(IFERROR((INDEX(OP_TotalRates_SME_2[[Ausnet]:[United Energy]],MATCH("Block 1",OP_TotalRates_SME_2[[Rate name]:[Rate name]],0),MATCH(OP_CMAB!P$24,OP_TotalRates_SME_2[[#Headers],[Ausnet]:[United Energy]],0))*
INDEX(Input_Usage[[F-PreviousVDO_Input]:[F-CurrentVDO_Input]],MATCH(OP_CMAB!$L25&amp;" - Block 1",Input_Usage[[Ref]:[Ref]],0),MATCH(OP_CMAB!$D$21,Inputs!$I$134:$M$134,0))),0)+
IFERROR((INDEX(OP_TotalRates_SME_2[[Ausnet]:[United Energy]],MATCH("Balance",OP_TotalRates_SME_2[[Rate name]:[Rate name]],0),MATCH(OP_CMAB!P$24,OP_TotalRates_SME_2[[#Headers],[Ausnet]:[United Energy]],0))*
INDEX(Input_Usage[[F-PreviousVDO_Input]:[F-CurrentVDO_Input]],MATCH(OP_CMAB!$L25&amp;" - Balance",Input_Usage[[Ref]:[Ref]],0),MATCH(OP_CMAB!$D$21,Inputs!$I$134:$M$134,0))),0)+
IFERROR((INDEX(OP_TotalRates_SME_2[[Ausnet]:[United Energy]],MATCH("Single rate",OP_TotalRates_SME_2[[Rate name]:[Rate name]],0),MATCH(OP_CMAB!P$24,OP_TotalRates_SME_2[[#Headers],[Ausnet]:[United Energy]],0))*
INDEX(Input_Usage[[F-PreviousVDO_Input]:[F-CurrentVDO_Input]],MATCH(OP_CMAB!$L25&amp;" - Annual",Input_Usage[[Ref]:[Ref]],0),MATCH(OP_CMAB!$D$21,Inputs!$I$134:$M$134,0))),0)),0),
ROUNDUP(
(INDEX(OP_TotalRates_SME_2[[Ausnet]:[United Energy]],MATCH("TOU - supply",OP_TotalRates_SME_2[[Rate name]:[Rate name]],0),MATCH(OP_CMAB!P$24,OP_TotalRates_SME_2[[#Headers],[Ausnet]:[United Energy]],0))*DiY)+
(INDEX(OP_TotalRates_SME_2[[Ausnet]:[United Energy]],MATCH("Peak",OP_TotalRates_SME_2[[Rate name]:[Rate name]],0),MATCH(OP_CMAB!P$24,OP_TotalRates_SME_2[[#Headers],[Ausnet]:[United Energy]],0))*
INDEX(Input_Usage[[F-PreviousVDO_Input]:[F-CurrentVDO_Input]],MATCH($L25&amp;" - Peak",Input_Usage[[Ref]:[Ref]],0),MATCH($D$21,Inputs!$I$134:$M$134,0)))+
IFERROR((INDEX(OP_TotalRates_SME_2[[Ausnet]:[United Energy]],MATCH("TOU - Shoulder",OP_TotalRates_SME_2[[Rate name]:[Rate name]],0),MATCH(OP_CMAB!P$24,OP_TotalRates_SME_2[[#Headers],[Ausnet]:[United Energy]],0))*
INDEX(Input_Usage[[F-PreviousVDO_Input]:[F-CurrentVDO_Input]],MATCH($L25&amp;" - Shoulder",Input_Usage[[Ref]:[Ref]],0),MATCH($D$21,Inputs!$I$134:$M$134,0))),0)+
(INDEX(OP_TotalRates_SME_2[[Ausnet]:[United Energy]],MATCH("Off peak",OP_TotalRates_SME_2[[Rate name]:[Rate name]],0),MATCH(OP_CMAB!P$24,OP_TotalRates_SME_2[[#Headers],[Ausnet]:[United Energy]],0))*
INDEX(Input_Usage[[F-PreviousVDO_Input]:[F-CurrentVDO_Input]],MATCH($L25&amp;" - Off peak",Input_Usage[[Ref]:[Ref]],0),MATCH($D$21,Inputs!$I$134:$M$134,0))),0)),"-")</calculatedColumnFormula>
    </tableColumn>
    <tableColumn id="7" xr3:uid="{D4FA680B-83F1-49AE-83A4-2615571ED201}" name="United Energy">
      <calculatedColumnFormula>IFERROR(
IF($D$21="VDO 2021 - Final",
ROUNDUP(
(INDEX(OP_TotalRates_SME_2[[Ausnet]:[United Energy]],MATCH("Anytime - supply",OP_TotalRates_SME_2[[Rate name]:[Rate name]],0),MATCH(OP_CMAB!Q$24,OP_TotalRates_SME_2[[#Headers],[Ausnet]:[United Energy]],0))*DiY)+
(IFERROR((INDEX(OP_TotalRates_SME_2[[Ausnet]:[United Energy]],MATCH("Block 1",OP_TotalRates_SME_2[[Rate name]:[Rate name]],0),MATCH(OP_CMAB!Q$24,OP_TotalRates_SME_2[[#Headers],[Ausnet]:[United Energy]],0))*
INDEX(Input_Usage[[F-PreviousVDO_Input]:[F-CurrentVDO_Input]],MATCH(OP_CMAB!$L25&amp;" - Block 1",Input_Usage[[Ref]:[Ref]],0),MATCH(OP_CMAB!$D$21,Inputs!$I$134:$M$134,0))),0)+
IFERROR((INDEX(OP_TotalRates_SME_2[[Ausnet]:[United Energy]],MATCH("Balance",OP_TotalRates_SME_2[[Rate name]:[Rate name]],0),MATCH(OP_CMAB!Q$24,OP_TotalRates_SME_2[[#Headers],[Ausnet]:[United Energy]],0))*
INDEX(Input_Usage[[F-PreviousVDO_Input]:[F-CurrentVDO_Input]],MATCH(OP_CMAB!$L25&amp;" - Balance",Input_Usage[[Ref]:[Ref]],0),MATCH(OP_CMAB!$D$21,Inputs!$I$134:$M$134,0))),0)+
IFERROR((INDEX(OP_TotalRates_SME_2[[Ausnet]:[United Energy]],MATCH("Single rate",OP_TotalRates_SME_2[[Rate name]:[Rate name]],0),MATCH(OP_CMAB!Q$24,OP_TotalRates_SME_2[[#Headers],[Ausnet]:[United Energy]],0))*
INDEX(Input_Usage[[F-PreviousVDO_Input]:[F-CurrentVDO_Input]],MATCH(OP_CMAB!$L25&amp;" - Annual",Input_Usage[[Ref]:[Ref]],0),MATCH(OP_CMAB!$D$21,Inputs!$I$134:$M$134,0))),0)),0),
ROUNDUP(
(INDEX(OP_TotalRates_SME_2[[Ausnet]:[United Energy]],MATCH("TOU - supply",OP_TotalRates_SME_2[[Rate name]:[Rate name]],0),MATCH(OP_CMAB!Q$24,OP_TotalRates_SME_2[[#Headers],[Ausnet]:[United Energy]],0))*DiY)+
(INDEX(OP_TotalRates_SME_2[[Ausnet]:[United Energy]],MATCH("Peak",OP_TotalRates_SME_2[[Rate name]:[Rate name]],0),MATCH(OP_CMAB!Q$24,OP_TotalRates_SME_2[[#Headers],[Ausnet]:[United Energy]],0))*
INDEX(Input_Usage[[F-PreviousVDO_Input]:[F-CurrentVDO_Input]],MATCH($L25&amp;" - Peak",Input_Usage[[Ref]:[Ref]],0),MATCH($D$21,Inputs!$I$134:$M$134,0)))+
IFERROR((INDEX(OP_TotalRates_SME_2[[Ausnet]:[United Energy]],MATCH("TOU - Shoulder",OP_TotalRates_SME_2[[Rate name]:[Rate name]],0),MATCH(OP_CMAB!Q$24,OP_TotalRates_SME_2[[#Headers],[Ausnet]:[United Energy]],0))*
INDEX(Input_Usage[[F-PreviousVDO_Input]:[F-CurrentVDO_Input]],MATCH($L25&amp;" - Shoulder",Input_Usage[[Ref]:[Ref]],0),MATCH($D$21,Inputs!$I$134:$M$134,0))),0)+
(INDEX(OP_TotalRates_SME_2[[Ausnet]:[United Energy]],MATCH("Off peak",OP_TotalRates_SME_2[[Rate name]:[Rate name]],0),MATCH(OP_CMAB!Q$24,OP_TotalRates_SME_2[[#Headers],[Ausnet]:[United Energy]],0))*
INDEX(Input_Usage[[F-PreviousVDO_Input]:[F-CurrentVDO_Input]],MATCH($L25&amp;" - Off peak",Input_Usage[[Ref]:[Ref]],0),MATCH($D$21,Inputs!$I$134:$M$134,0))),0)),"-")</calculatedColumnFormula>
    </tableColumn>
  </tableColumns>
  <tableStyleInfo name="Default tabl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CBD1385-BA07-4257-AD3D-3DA1CE15C89E}" name="Calc_CPI_1" displayName="Calc_CPI_1" ref="C147:I157" totalsRowShown="0" headerRowDxfId="958" headerRowBorderDxfId="957" tableBorderDxfId="956" headerRowCellStyle="Table col heading">
  <tableColumns count="7">
    <tableColumn id="1" xr3:uid="{8FC9CF68-E2DE-41D4-BB17-02577ACDFB50}" name="Cost item"/>
    <tableColumn id="3" xr3:uid="{FD52015C-7518-4114-9F0A-46942F5E409F}" name="Fixed/Variable" dataDxfId="955"/>
    <tableColumn id="10" xr3:uid="{237959CA-5760-4248-AC5A-20B45DB2CF50}" name="Unit" dataCellStyle="Table cell">
      <calculatedColumnFormula>INDEX(Input_ForRateCalc[Unit],MATCH(Calc_CPI_1[[#This Row],[Cost item]]&amp;" - base",Input_ForRateCalc[Cost item],0),1)</calculatedColumnFormula>
    </tableColumn>
    <tableColumn id="11" xr3:uid="{2F9D72AB-FD23-4CC4-8DF0-B118FF0D332F}" name="Customer type" dataCellStyle="Table cell"/>
    <tableColumn id="2" xr3:uid="{ABF6348D-5120-4300-B5BD-4B7E3A2B2B25}" name="Adjust?" dataDxfId="954" dataCellStyle="Table cell">
      <calculatedColumnFormula>INDEX(Input_CostItemCPI[[VDO 2021 - Final]:[VDO 2022-23 - Final]],MATCH(Calc_CPI_1[[#This Row],[Cost item]],Input_CostItemCPI[Cost item],0),MATCH($D$5,Input_CostItemCPI[#Headers],0))</calculatedColumnFormula>
    </tableColumn>
    <tableColumn id="4" xr3:uid="{471ED95C-B937-4145-872E-8E97F45D2329}" name="CPI increase" dataDxfId="953" dataCellStyle="Calculation">
      <calculatedColumnFormula>IF(Calc_CPI_1[[#This Row],[Adjust?]]="No",0,
IFERROR(
($D$145-
INDEX(CPI[Indice],MATCH(
INDEX(Input_ForRateCalc[[F-PreviousVDO_InputDate]:[F-NextVDO_Input]],MATCH($C148,Input_ForRateCalc[Cost item],0),MATCH($D$5&amp;" - input date",Inputs!H$8:U$8,0)),
CPI[Period],0),1))/
INDEX(CPI[Indice],MATCH(
INDEX(Input_ForRateCalc[[F-PreviousVDO_InputDate]:[F-NextVDO_Input]],MATCH($C148,Input_ForRateCalc[Cost item],0),MATCH($D$5&amp;" - input date",Inputs!H$8:U$8,0)),
CPI[Period],0),1),"-"))</calculatedColumnFormula>
    </tableColumn>
    <tableColumn id="5" xr3:uid="{6CF381C8-E2E9-44F3-9929-828496EBF384}" name="CPI uplift factor" dataDxfId="952" dataCellStyle="Calculation"/>
  </tableColumns>
  <tableStyleInfo name="Default tabl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04FAC06-3F6E-4512-BD9F-BAE6C54835E0}" name="Calc_Losses_1" displayName="Calc_Losses_1" ref="C160:K163" totalsRowShown="0" headerRowDxfId="951" headerRowBorderDxfId="950" tableBorderDxfId="949" headerRowCellStyle="Table col heading">
  <tableColumns count="9">
    <tableColumn id="1" xr3:uid="{10E55798-D969-4AA2-BE00-AAA77545944C}" name="Cost item"/>
    <tableColumn id="2" xr3:uid="{FEC04519-0B8D-4C04-8E79-9C2F2427947B}" name="Fixed/Variable"/>
    <tableColumn id="3" xr3:uid="{E3235E90-DD2F-4943-ADA4-D518E8138171}" name="Unit"/>
    <tableColumn id="9" xr3:uid="{66C6BD50-A578-4CF8-B8DB-BF3F050B98C7}" name="Customer type" dataDxfId="948" dataCellStyle="Table cell"/>
    <tableColumn id="4" xr3:uid="{A55B248B-2052-4BF2-80F1-7509C3DD67E6}" name="Ausnet" dataDxfId="947"/>
    <tableColumn id="5" xr3:uid="{1749CA31-EE62-4522-9DA3-1918155FD04F}" name="Citipower" dataDxfId="946"/>
    <tableColumn id="6" xr3:uid="{62DBB3BA-5557-45EF-B606-6DC96D6BCBBC}" name="Jemena" dataDxfId="945"/>
    <tableColumn id="7" xr3:uid="{83176F9D-4300-42DB-984A-9DB31B5A2B44}" name="Powercor" dataDxfId="944"/>
    <tableColumn id="8" xr3:uid="{AE5C4CA6-96AC-4429-B02F-825691E879EF}" name="United Energy" dataDxfId="943"/>
  </tableColumns>
  <tableStyleInfo name="Default tabl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EC4D248-2A86-4C81-ACAF-1A81C2464FEF}" name="Calc_ROM_1" displayName="Calc_ROM_1" ref="C166:K167" totalsRowShown="0" headerRowDxfId="942" headerRowBorderDxfId="941" tableBorderDxfId="940" headerRowCellStyle="Table col heading" dataCellStyle="Table cell">
  <tableColumns count="9">
    <tableColumn id="1" xr3:uid="{E50EE705-B877-449E-A9E7-6E00096BAB36}" name="Cost item" dataCellStyle="Table cell"/>
    <tableColumn id="2" xr3:uid="{42FC858C-CF75-4833-8C3D-8346027CE60A}" name="Fixed/Variable" dataCellStyle="Table cell"/>
    <tableColumn id="3" xr3:uid="{76F3A43C-43A1-4562-B6AE-9B59FB2BA42A}" name="Unit" dataCellStyle="Table cell"/>
    <tableColumn id="9" xr3:uid="{891390CB-BDB7-4673-9B44-66FDD23D76FC}" name="Customer type" dataCellStyle="Table cell"/>
    <tableColumn id="4" xr3:uid="{1B8319C1-3354-4608-B1AD-CE352E76C44D}" name="Ausnet" dataDxfId="939" dataCellStyle="Calculation">
      <calculatedColumnFormula array="1">IFERROR(INDEX(Input_ForRateCalc[[F-PreviousVDO_InputDate]:[F-NextVDO_Input]],MATCH(Calc_ROM_1[[#This Row],[Cost item]:[Cost item]],Input_ForRateCalc[[Cost item]:[Cost item]],0),MATCH($D$5,Inputs!$H$8:$U$8,0)),"-")</calculatedColumnFormula>
    </tableColumn>
    <tableColumn id="5" xr3:uid="{270B5FD7-0783-496C-8F8F-0ECCD0DCC481}" name="Citipower" dataDxfId="938" dataCellStyle="Internal link/lookup">
      <calculatedColumnFormula array="1">IFERROR(INDEX(Input_ForRateCalc[[F-PreviousVDO_InputDate]:[F-NextVDO_Input]],MATCH(Calc_ROM_1[[#This Row],[Cost item]:[Cost item]],Input_ForRateCalc[[Cost item]:[Cost item]],0),MATCH($D$5,Inputs!$H$8:$U$8,0)),"-")</calculatedColumnFormula>
    </tableColumn>
    <tableColumn id="6" xr3:uid="{1D6B1230-694F-46EA-BB16-EBFCD5B62014}" name="Jemena" dataDxfId="937" dataCellStyle="Internal link/lookup">
      <calculatedColumnFormula array="1">IFERROR(INDEX(Input_ForRateCalc[[F-PreviousVDO_InputDate]:[F-NextVDO_Input]],MATCH(Calc_ROM_1[[#This Row],[Cost item]:[Cost item]],Input_ForRateCalc[[Cost item]:[Cost item]],0),MATCH($D$5,Inputs!$H$8:$U$8,0)),"-")</calculatedColumnFormula>
    </tableColumn>
    <tableColumn id="7" xr3:uid="{242863D3-BF23-4634-9E5D-A7018A29171E}" name="Powercor" dataDxfId="936" dataCellStyle="Internal link/lookup">
      <calculatedColumnFormula array="1">IFERROR(INDEX(Input_ForRateCalc[[F-PreviousVDO_InputDate]:[F-NextVDO_Input]],MATCH(Calc_ROM_1[[#This Row],[Cost item]:[Cost item]],Input_ForRateCalc[[Cost item]:[Cost item]],0),MATCH($D$5,Inputs!$H$8:$U$8,0)),"-")</calculatedColumnFormula>
    </tableColumn>
    <tableColumn id="8" xr3:uid="{5FC9542C-F72B-41E3-8A90-17BB18C5781A}" name="United Energy" dataDxfId="935" dataCellStyle="Internal link/lookup">
      <calculatedColumnFormula array="1">IFERROR(INDEX(Input_ForRateCalc[[F-PreviousVDO_InputDate]:[F-NextVDO_Input]],MATCH(Calc_ROM_1[[#This Row],[Cost item]:[Cost item]],Input_ForRateCalc[[Cost item]:[Cost item]],0),MATCH($D$5,Inputs!$H$8:$U$8,0)),"-")</calculatedColumnFormula>
    </tableColumn>
  </tableColumns>
  <tableStyleInfo name="Default tabl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F4CE869-0C56-420A-9C47-EF4446BA5787}" name="OP_Rates_SME_1" displayName="OP_Rates_SME_1" ref="M19:U27" totalsRowShown="0" headerRowDxfId="1083" headerRowBorderDxfId="1082" tableBorderDxfId="1081" headerRowCellStyle="Table col heading" dataCellStyle="Internal link/lookup">
  <tableColumns count="9">
    <tableColumn id="1" xr3:uid="{D27CB02D-C880-42BA-8A91-6A1E16B41704}" name="Rate name" dataCellStyle="Table cell"/>
    <tableColumn id="3" xr3:uid="{8D3D4CDE-7941-453F-A7D2-1DCF4C88CBE2}" name="Unit" dataCellStyle="Table cell"/>
    <tableColumn id="4" xr3:uid="{6B4BCB35-90DC-4E06-A680-4545F6EFC0EF}" name="Customer type" dataCellStyle="Table cell"/>
    <tableColumn id="2" xr3:uid="{E9424C30-CDA0-432E-B849-6901BA45511B}" name="-" dataCellStyle="Table cell"/>
    <tableColumn id="5" xr3:uid="{F1DF3EB2-65A6-4DE4-95FA-10252DB899BE}" name="Ausnet" dataDxfId="1080" dataCellStyle="Internal link/lookup"/>
    <tableColumn id="6" xr3:uid="{D03672B6-E990-42AC-A5B0-852970523C84}" name="Citipower" dataDxfId="1079" dataCellStyle="Internal link/lookup"/>
    <tableColumn id="7" xr3:uid="{0963EA57-64B0-42D0-8E54-91364C6BB07D}" name="Jemena" dataDxfId="1078" dataCellStyle="Internal link/lookup"/>
    <tableColumn id="8" xr3:uid="{FA086775-EDB3-437E-98E2-743CF43E2CD6}" name="Powercor" dataDxfId="1077" dataCellStyle="Internal link/lookup"/>
    <tableColumn id="9" xr3:uid="{BD89ACA8-91CC-445D-A6A8-D18D25F8F791}" name="United Energy" dataDxfId="1076" dataCellStyle="Internal link/lookup"/>
  </tableColumns>
  <tableStyleInfo name="Default tabl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B9C0011-C252-438F-92DD-5559D2884E9C}" name="Calc_Retail_1" displayName="Calc_Retail_1" ref="C172:K174" totalsRowShown="0" headerRowDxfId="934" headerRowBorderDxfId="933" tableBorderDxfId="932" totalsRowBorderDxfId="931" headerRowCellStyle="Table col heading">
  <tableColumns count="9">
    <tableColumn id="1" xr3:uid="{F445E8BE-064F-4AAC-958B-34C99F7ED789}" name="Cost item"/>
    <tableColumn id="2" xr3:uid="{70EA2FAC-2F47-4380-BB77-21E81E84D12C}" name="Fixed/Variable"/>
    <tableColumn id="3" xr3:uid="{8055E5B5-7D33-4D16-AEC4-1E6FDA6D4A33}" name="Unit" dataCellStyle="Table cell"/>
    <tableColumn id="9" xr3:uid="{771301F1-5078-41E2-A27C-91512A9EEC84}" name="Customer type" dataDxfId="930" dataCellStyle="Table cell"/>
    <tableColumn id="4" xr3:uid="{F96F63E4-C2DD-4B05-A841-31283247F646}" name="Ausnet" dataDxfId="929">
      <calculatedColumnFormula>IFERROR(
INDEX(Calc_CPI_1[CPI uplift factor],MATCH($C173,Calc_CPI_1[Cost item],0),1)+
INDEX(#REF!,MATCH(Calc_Rates!$C173,Input_ForRateCalc[Cost item],0),MATCH(Calc_Rates!$D$5,Inputs!$H$8:$Q$8,0)),"-")</calculatedColumnFormula>
    </tableColumn>
    <tableColumn id="5" xr3:uid="{10800705-822B-4A11-AEC0-B74310D50E53}" name="Citipower" dataDxfId="928" dataCellStyle="Calculation"/>
    <tableColumn id="6" xr3:uid="{F22E718A-40AB-4EDE-A90A-F8A05C1F401C}" name="Jemena" dataDxfId="927" dataCellStyle="Calculation"/>
    <tableColumn id="7" xr3:uid="{6892071D-DB57-4E65-AA1D-01B97E74119E}" name="Powercor" dataDxfId="926" dataCellStyle="Calculation"/>
    <tableColumn id="8" xr3:uid="{551F21FF-F88A-4814-8B08-9AF58152777E}" name="United Energy" dataDxfId="925" dataCellStyle="Calculation"/>
  </tableColumns>
  <tableStyleInfo name="Default tabl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12EE65A-C36C-4D34-B21A-CC272CBBA0DB}" name="Calc_OtherCosts_1" displayName="Calc_OtherCosts_1" ref="C178:K187" totalsRowShown="0" headerRowDxfId="924" headerRowBorderDxfId="923" tableBorderDxfId="922" totalsRowBorderDxfId="921" headerRowCellStyle="Table col heading" dataCellStyle="Table cell">
  <tableColumns count="9">
    <tableColumn id="1" xr3:uid="{0C253945-E70F-4B36-AB64-0CBC3AC67A67}" name="Cost item" dataCellStyle="Table cell"/>
    <tableColumn id="2" xr3:uid="{1CD1F87C-1E3E-4116-8C9E-ACEB4BB1DF68}" name="Fixed/Variable" dataCellStyle="Table cell"/>
    <tableColumn id="3" xr3:uid="{A2E603E4-1536-4BF2-9BA6-F8B4EF2FBC90}" name="Unit" dataCellStyle="Table cell"/>
    <tableColumn id="9" xr3:uid="{366828D4-BD8E-423C-9F45-7A4329249E04}" name="Customer type" dataDxfId="920" dataCellStyle="Table cell"/>
    <tableColumn id="4" xr3:uid="{3A43E5BC-9425-48FE-8CB0-4D55B7BD3E2C}" name="Ausnet" dataDxfId="919" dataCellStyle="Calculation">
      <calculatedColumnFormula array="1">IFERROR(
IF(Calc_OtherCosts_1[[#This Row],[Fixed/Variable]:[Fixed/Variable]]="Fixed",
(IFERROR(INDEX(Calc_CPI_1[[CPI uplift factor]:[CPI uplift factor]],MATCH($C179,Calc_CPI_1[[Cost item]:[Cost item]],0),1),0)+
INDEX(Input_ForRateCalc[[F-PreviousVDO_InputDate]:[F-CurrentVDO_Input]],MATCH(Calc_OtherCosts_1[[#This Row],[Cost item]:[Cost item]],Input_ForRateCalc[[Cost item]:[Cost item]],0),MATCH($D$5,Inputs!$H$8:$Q$8,0)))*IF(Calc_OtherCosts_1[[#This Row],[Unit]:[Unit]]="$",1,IF(Calc_OtherCosts_1[[#This Row],[Unit]:[Unit]]="$/week",WiY)),
(IFERROR(INDEX(Calc_CPI_1[[CPI uplift factor]:[CPI uplift factor]],MATCH($C179,Calc_CPI_1[[Cost item]:[Cost item]],0),1),0)+
INDEX(Input_ForRateCalc[[F-PreviousVDO_InputDate]:[F-CurrentVDO_Input]],MATCH(Calc_OtherCosts_1[[#This Row],[Cost item]:[Cost item]],Input_ForRateCalc[[Cost item]:[Cost item]],0),MATCH($D$5,Inputs!$H$8:$Q$8,0)))/1000),"-")</calculatedColumnFormula>
    </tableColumn>
    <tableColumn id="5" xr3:uid="{A49331E6-A367-4F26-B05E-C557F54FF5E6}" name="Citipower" dataDxfId="918" dataCellStyle="Calculation">
      <calculatedColumnFormula array="1">IFERROR(
IF(Calc_OtherCosts_1[[#This Row],[Fixed/Variable]:[Fixed/Variable]]="Fixed",
(IFERROR(INDEX(Calc_CPI_1[[CPI uplift factor]:[CPI uplift factor]],MATCH($C179,Calc_CPI_1[[Cost item]:[Cost item]],0),1),0)+
INDEX(Input_ForRateCalc[[F-PreviousVDO_InputDate]:[F-CurrentVDO_Input]],MATCH(Calc_OtherCosts_1[[#This Row],[Cost item]:[Cost item]],Input_ForRateCalc[[Cost item]:[Cost item]],0),MATCH($D$5,Inputs!$H$8:$Q$8,0)))*IF(Calc_OtherCosts_1[[#This Row],[Unit]:[Unit]]="$",1,IF(Calc_OtherCosts_1[[#This Row],[Unit]:[Unit]]="$/week",WiY)),
(IFERROR(INDEX(Calc_CPI_1[[CPI uplift factor]:[CPI uplift factor]],MATCH($C179,Calc_CPI_1[[Cost item]:[Cost item]],0),1),0)+
INDEX(Input_ForRateCalc[[F-PreviousVDO_InputDate]:[F-CurrentVDO_Input]],MATCH(Calc_OtherCosts_1[[#This Row],[Cost item]:[Cost item]],Input_ForRateCalc[[Cost item]:[Cost item]],0),MATCH($D$5,Inputs!$H$8:$Q$8,0)))/1000),"-")</calculatedColumnFormula>
    </tableColumn>
    <tableColumn id="6" xr3:uid="{353E77CF-0ADF-4988-B8FC-04EE5A40696A}" name="Jemena" dataDxfId="917" dataCellStyle="Calculation">
      <calculatedColumnFormula array="1">IFERROR(
IF(Calc_OtherCosts_1[[#This Row],[Fixed/Variable]:[Fixed/Variable]]="Fixed",
(IFERROR(INDEX(Calc_CPI_1[[CPI uplift factor]:[CPI uplift factor]],MATCH($C179,Calc_CPI_1[[Cost item]:[Cost item]],0),1),0)+
INDEX(Input_ForRateCalc[[F-PreviousVDO_InputDate]:[F-CurrentVDO_Input]],MATCH(Calc_OtherCosts_1[[#This Row],[Cost item]:[Cost item]],Input_ForRateCalc[[Cost item]:[Cost item]],0),MATCH($D$5,Inputs!$H$8:$Q$8,0)))*IF(Calc_OtherCosts_1[[#This Row],[Unit]:[Unit]]="$",1,IF(Calc_OtherCosts_1[[#This Row],[Unit]:[Unit]]="$/week",WiY)),
(IFERROR(INDEX(Calc_CPI_1[[CPI uplift factor]:[CPI uplift factor]],MATCH($C179,Calc_CPI_1[[Cost item]:[Cost item]],0),1),0)+
INDEX(Input_ForRateCalc[[F-PreviousVDO_InputDate]:[F-CurrentVDO_Input]],MATCH(Calc_OtherCosts_1[[#This Row],[Cost item]:[Cost item]],Input_ForRateCalc[[Cost item]:[Cost item]],0),MATCH($D$5,Inputs!$H$8:$Q$8,0)))/1000),"-")</calculatedColumnFormula>
    </tableColumn>
    <tableColumn id="7" xr3:uid="{8CC9324E-F871-48A4-839B-9B611C6D71DE}" name="Powercor" dataDxfId="916" dataCellStyle="Calculation">
      <calculatedColumnFormula array="1">IFERROR(
IF(Calc_OtherCosts_1[[#This Row],[Fixed/Variable]:[Fixed/Variable]]="Fixed",
(IFERROR(INDEX(Calc_CPI_1[[CPI uplift factor]:[CPI uplift factor]],MATCH($C179,Calc_CPI_1[[Cost item]:[Cost item]],0),1),0)+
INDEX(Input_ForRateCalc[[F-PreviousVDO_InputDate]:[F-CurrentVDO_Input]],MATCH(Calc_OtherCosts_1[[#This Row],[Cost item]:[Cost item]],Input_ForRateCalc[[Cost item]:[Cost item]],0),MATCH($D$5,Inputs!$H$8:$Q$8,0)))*IF(Calc_OtherCosts_1[[#This Row],[Unit]:[Unit]]="$",1,IF(Calc_OtherCosts_1[[#This Row],[Unit]:[Unit]]="$/week",WiY)),
(IFERROR(INDEX(Calc_CPI_1[[CPI uplift factor]:[CPI uplift factor]],MATCH($C179,Calc_CPI_1[[Cost item]:[Cost item]],0),1),0)+
INDEX(Input_ForRateCalc[[F-PreviousVDO_InputDate]:[F-CurrentVDO_Input]],MATCH(Calc_OtherCosts_1[[#This Row],[Cost item]:[Cost item]],Input_ForRateCalc[[Cost item]:[Cost item]],0),MATCH($D$5,Inputs!$H$8:$Q$8,0)))/1000),"-")</calculatedColumnFormula>
    </tableColumn>
    <tableColumn id="8" xr3:uid="{3D5A3885-41F2-4263-88AB-98D0F239E959}" name="United Energy" dataDxfId="915" dataCellStyle="Calculation">
      <calculatedColumnFormula array="1">IFERROR(
IF(Calc_OtherCosts_1[[#This Row],[Fixed/Variable]:[Fixed/Variable]]="Fixed",
(IFERROR(INDEX(Calc_CPI_1[[CPI uplift factor]:[CPI uplift factor]],MATCH($C179,Calc_CPI_1[[Cost item]:[Cost item]],0),1),0)+
INDEX(Input_ForRateCalc[[F-PreviousVDO_InputDate]:[F-CurrentVDO_Input]],MATCH(Calc_OtherCosts_1[[#This Row],[Cost item]:[Cost item]],Input_ForRateCalc[[Cost item]:[Cost item]],0),MATCH($D$5,Inputs!$H$8:$Q$8,0)))*IF(Calc_OtherCosts_1[[#This Row],[Unit]:[Unit]]="$",1,IF(Calc_OtherCosts_1[[#This Row],[Unit]:[Unit]]="$/week",WiY)),
(IFERROR(INDEX(Calc_CPI_1[[CPI uplift factor]:[CPI uplift factor]],MATCH($C179,Calc_CPI_1[[Cost item]:[Cost item]],0),1),0)+
INDEX(Input_ForRateCalc[[F-PreviousVDO_InputDate]:[F-CurrentVDO_Input]],MATCH(Calc_OtherCosts_1[[#This Row],[Cost item]:[Cost item]],Input_ForRateCalc[[Cost item]:[Cost item]],0),MATCH($D$5,Inputs!$H$8:$Q$8,0)))/1000),"-")</calculatedColumnFormula>
    </tableColumn>
  </tableColumns>
  <tableStyleInfo name="Default tabl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A46CB06-9CE2-408A-8625-DD8BCCB6C58B}" name="Calc_NetworkF_1" displayName="Calc_NetworkF_1" ref="C192:K197" totalsRowShown="0" headerRowDxfId="914" headerRowBorderDxfId="913" tableBorderDxfId="912" totalsRowBorderDxfId="911" headerRowCellStyle="Table col heading">
  <tableColumns count="9">
    <tableColumn id="1" xr3:uid="{56073E6A-0A5A-4389-8095-CA6108D44EDE}" name="Cost item"/>
    <tableColumn id="2" xr3:uid="{9D1C14EC-8477-491A-A18B-2461900656B4}" name="Fixed/Variable"/>
    <tableColumn id="3" xr3:uid="{04FAE60D-417C-4194-995E-E316BF4B7879}" name="Unit" dataCellStyle="Table cell"/>
    <tableColumn id="9" xr3:uid="{7C0BD534-B842-49E1-AB3D-9239656FE01E}" name="Customer type" dataDxfId="910" dataCellStyle="Table cell"/>
    <tableColumn id="4" xr3:uid="{2C923C50-9004-4F23-A843-61F46462C741}" name="Ausnet" dataDxfId="909">
      <calculatedColumnFormula array="1">IFERROR(
IFERROR(INDEX(Calc_CPI_1[[CPI uplift factor]:[CPI uplift factor]],MATCH($C193,Calc_CPI_1[[Cost item]:[Cost item]],0),1),0)+
INDEX(Input_ForRateCalc[[F-PreviousVDO_InputDate]:[F-CurrentVDO_Input]],MATCH(
IF(Calc_NetworkF_1[[#This Row],[Cost item]:[Cost item]]="Metering",
Calc_NetworkF_1[[#This Row],[Cost item]:[Cost item]]&amp;" - "&amp;Calc_NetworkF_1[[#Headers],[Ausnet]],
Calc_NetworkF_1[[#This Row],[Cost item]:[Cost item]]&amp;" charge - "&amp;IF(Calc_NetworkF_1[[#This Row],[Customer type]:[Customer type]]="Residential","RES - ","SME - ")&amp;Calc_NetworkF_1[[#Headers],[Ausnet]]),Input_ForRateCalc[[Cost item]:[Cost item]],0),MATCH($D$5,Inputs!$H$8:$Q$8,0)),"-")</calculatedColumnFormula>
    </tableColumn>
    <tableColumn id="5" xr3:uid="{44B5F431-564E-450E-BA21-D3F841DCC24C}" name="Citipower" dataDxfId="908">
      <calculatedColumnFormula array="1">IFERROR(
IFERROR(INDEX(Calc_CPI_1[[CPI uplift factor]:[CPI uplift factor]],MATCH($C193,Calc_CPI_1[[Cost item]:[Cost item]],0),1),0)+
INDEX(Input_ForRateCalc[[F-PreviousVDO_InputDate]:[F-CurrentVDO_Input]],MATCH(
IF(Calc_NetworkF_1[[#This Row],[Cost item]:[Cost item]]="Metering",
Calc_NetworkF_1[[#This Row],[Cost item]:[Cost item]]&amp;" - "&amp;Calc_NetworkF_1[[#Headers],[Citipower]],
Calc_NetworkF_1[[#This Row],[Cost item]:[Cost item]]&amp;" charge - "&amp;IF(Calc_NetworkF_1[[#This Row],[Customer type]:[Customer type]]="Residential","RES - ","SME - ")&amp;Calc_NetworkF_1[[#Headers],[Citipower]]),Input_ForRateCalc[[Cost item]:[Cost item]],0),MATCH($D$5,Inputs!$H$8:$Q$8,0)),"-")</calculatedColumnFormula>
    </tableColumn>
    <tableColumn id="6" xr3:uid="{8B1A16F8-7E2C-4F24-91A7-E65029079EAB}" name="Jemena" dataDxfId="907">
      <calculatedColumnFormula array="1">IFERROR(
IFERROR(INDEX(Calc_CPI_1[[CPI uplift factor]:[CPI uplift factor]],MATCH($C193,Calc_CPI_1[[Cost item]:[Cost item]],0),1),0)+
INDEX(Input_ForRateCalc[[F-PreviousVDO_InputDate]:[F-CurrentVDO_Input]],MATCH(
IF(Calc_NetworkF_1[[#This Row],[Cost item]:[Cost item]]="Metering",
Calc_NetworkF_1[[#This Row],[Cost item]:[Cost item]]&amp;" - "&amp;Calc_NetworkF_1[[#Headers],[Jemena]],
Calc_NetworkF_1[[#This Row],[Cost item]:[Cost item]]&amp;" charge - "&amp;IF(Calc_NetworkF_1[[#This Row],[Customer type]:[Customer type]]="Residential","RES - ","SME - ")&amp;Calc_NetworkF_1[[#Headers],[Jemena]]),Input_ForRateCalc[[Cost item]:[Cost item]],0),MATCH($D$5,Inputs!$H$8:$Q$8,0)),"-")</calculatedColumnFormula>
    </tableColumn>
    <tableColumn id="7" xr3:uid="{0BD42606-1294-49B4-B9B0-6637A6094781}" name="Powercor" dataDxfId="906">
      <calculatedColumnFormula array="1">IFERROR(
IFERROR(INDEX(Calc_CPI_1[[CPI uplift factor]:[CPI uplift factor]],MATCH($C193,Calc_CPI_1[[Cost item]:[Cost item]],0),1),0)+
INDEX(Input_ForRateCalc[[F-PreviousVDO_InputDate]:[F-CurrentVDO_Input]],MATCH(
IF(Calc_NetworkF_1[[#This Row],[Cost item]:[Cost item]]="Metering",
Calc_NetworkF_1[[#This Row],[Cost item]:[Cost item]]&amp;" - "&amp;Calc_NetworkF_1[[#Headers],[Powercor]],
Calc_NetworkF_1[[#This Row],[Cost item]:[Cost item]]&amp;" charge - "&amp;IF(Calc_NetworkF_1[[#This Row],[Customer type]:[Customer type]]="Residential","RES - ","SME - ")&amp;Calc_NetworkF_1[[#Headers],[Powercor]]),Input_ForRateCalc[[Cost item]:[Cost item]],0),MATCH($D$5,Inputs!$H$8:$Q$8,0)),"-")</calculatedColumnFormula>
    </tableColumn>
    <tableColumn id="8" xr3:uid="{439ED9DE-5613-4EC5-A634-F87DAB4A0EDD}" name="United Energy" dataDxfId="905">
      <calculatedColumnFormula array="1">IFERROR(
IFERROR(INDEX(Calc_CPI_1[[CPI uplift factor]:[CPI uplift factor]],MATCH($C193,Calc_CPI_1[[Cost item]:[Cost item]],0),1),0)+
INDEX(Input_ForRateCalc[[F-PreviousVDO_InputDate]:[F-CurrentVDO_Input]],MATCH(
IF(Calc_NetworkF_1[[#This Row],[Cost item]:[Cost item]]="Metering",
Calc_NetworkF_1[[#This Row],[Cost item]:[Cost item]]&amp;" - "&amp;Calc_NetworkF_1[[#Headers],[United Energy]],
Calc_NetworkF_1[[#This Row],[Cost item]:[Cost item]]&amp;" charge - "&amp;IF(Calc_NetworkF_1[[#This Row],[Customer type]:[Customer type]]="Residential","RES - ","SME - ")&amp;Calc_NetworkF_1[[#Headers],[United Energy]]),Input_ForRateCalc[[Cost item]:[Cost item]],0),MATCH($D$5,Inputs!$H$8:$Q$8,0)),"-")</calculatedColumnFormula>
    </tableColumn>
  </tableColumns>
  <tableStyleInfo name="Default tabl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9FD2BC5-019D-46C3-AFCA-304FF5306314}" name="Calc_NetworkV_1" displayName="Calc_NetworkV_1" ref="C200:K211" totalsRowShown="0" headerRowDxfId="904" dataDxfId="902" headerRowBorderDxfId="903" tableBorderDxfId="901" totalsRowBorderDxfId="900" headerRowCellStyle="Table col heading" dataCellStyle="Calculation">
  <tableColumns count="9">
    <tableColumn id="1" xr3:uid="{CB3706A5-D760-4216-A110-71D17D892BD9}" name="Cost item" dataCellStyle="Table cell"/>
    <tableColumn id="2" xr3:uid="{D1B03855-A0F0-4571-8777-57F1B8EFE353}" name="Fixed/Variable" dataCellStyle="Table cell"/>
    <tableColumn id="3" xr3:uid="{B8007A7D-00F8-40E4-A172-46152BC4D855}" name="Unit" dataCellStyle="Table cell"/>
    <tableColumn id="9" xr3:uid="{3B1062B7-38BA-41B7-A6D9-56E48484C881}" name="Customer type" dataDxfId="899" dataCellStyle="Table cell"/>
    <tableColumn id="4" xr3:uid="{D0986C2A-52E3-43DD-B77B-F20491BF5E18}" name="Ausnet" dataDxfId="898" dataCellStyle="Calculation">
      <calculatedColumnFormula array="1">IFERROR(
(IFERROR(INDEX(Calc_CPI_1[[CPI uplift factor]:[CPI uplift factor]],MATCH($C201,Calc_CPI_1[[Cost item]:[Cost item]],0),1),0)+
INDEX(Input_ForRateCalc[[F-PreviousVDO_InputDate]:[F-CurrentVDO_Input]],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MATCH($D$5,Inputs!$H$8:$Q$8,0)))/100,"-")</calculatedColumnFormula>
    </tableColumn>
    <tableColumn id="5" xr3:uid="{FAD220BF-91B8-40CF-BEED-9FF89C64043D}" name="Citipower" dataDxfId="897" dataCellStyle="Calculation">
      <calculatedColumnFormula array="1">IFERROR(
(IFERROR(INDEX(Calc_CPI_1[[CPI uplift factor]:[CPI uplift factor]],MATCH($C201,Calc_CPI_1[[Cost item]:[Cost item]],0),1),0)+
INDEX(Input_ForRateCalc[[F-PreviousVDO_InputDate]:[F-CurrentVDO_Input]],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MATCH($D$5,Inputs!$H$8:$Q$8,0)))/100,"-")</calculatedColumnFormula>
    </tableColumn>
    <tableColumn id="6" xr3:uid="{173506C0-F051-4700-B94B-6E65F6DA88D9}" name="Jemena" dataDxfId="896" dataCellStyle="Calculation">
      <calculatedColumnFormula array="1">IFERROR(
(IFERROR(INDEX(Calc_CPI_1[[CPI uplift factor]:[CPI uplift factor]],MATCH($C201,Calc_CPI_1[[Cost item]:[Cost item]],0),1),0)+
INDEX(Input_ForRateCalc[[F-PreviousVDO_InputDate]:[F-CurrentVDO_Input]],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MATCH($D$5,Inputs!$H$8:$Q$8,0)))/100,"-")</calculatedColumnFormula>
    </tableColumn>
    <tableColumn id="7" xr3:uid="{EFD5A70F-CD3B-42A9-8883-15FA6ED5A35F}" name="Powercor" dataDxfId="895" dataCellStyle="Calculation">
      <calculatedColumnFormula array="1">IFERROR(
(IFERROR(INDEX(Calc_CPI_1[[CPI uplift factor]:[CPI uplift factor]],MATCH($C201,Calc_CPI_1[[Cost item]:[Cost item]],0),1),0)+
INDEX(Input_ForRateCalc[[F-PreviousVDO_InputDate]:[F-CurrentVDO_Input]],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MATCH($D$5,Inputs!$H$8:$Q$8,0)))/100,"-")</calculatedColumnFormula>
    </tableColumn>
    <tableColumn id="8" xr3:uid="{377FA89E-EB31-4B31-9E9A-342277E4DF21}" name="United Energy" dataDxfId="894" dataCellStyle="Calculation">
      <calculatedColumnFormula array="1">IFERROR(
(IFERROR(INDEX(Calc_CPI_1[[CPI uplift factor]:[CPI uplift factor]],MATCH($C201,Calc_CPI_1[[Cost item]:[Cost item]],0),1),0)+
INDEX(Input_ForRateCalc[[F-PreviousVDO_InputDate]:[F-CurrentVDO_Input]],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MATCH($D$5,Inputs!$H$8:$Q$8,0)))/100,"-")</calculatedColumnFormula>
    </tableColumn>
  </tableColumns>
  <tableStyleInfo name="Default tabl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221C63D0-94B6-46DC-A492-0C052BBB88BB}" name="Calc_WholesaleRES_1" displayName="Calc_WholesaleRES_1" ref="C216:K219" totalsRowShown="0" headerRowDxfId="893" headerRowBorderDxfId="892" tableBorderDxfId="891" headerRowCellStyle="Table col heading">
  <tableColumns count="9">
    <tableColumn id="1" xr3:uid="{AD482BF5-2182-4A45-A6AB-28D6205185A5}" name="Cost item"/>
    <tableColumn id="2" xr3:uid="{6780DE84-17EF-42BE-A3D5-2F3E29FC3533}" name="Fixed/Variable"/>
    <tableColumn id="3" xr3:uid="{95A5239A-5566-4E5B-97EF-FB526385E720}" name="Unit"/>
    <tableColumn id="9" xr3:uid="{64D007E5-3C6C-44AD-ACBD-2443661BBA3B}" name="Customer type" dataCellStyle="Table cell"/>
    <tableColumn id="4" xr3:uid="{B3163460-5BD7-4AFE-BFF4-84ED5CB4E785}" name="Ausnet"/>
    <tableColumn id="5" xr3:uid="{CFCFA8FE-9C7A-42C2-ABCE-4A186A2ABE01}" name="Citipower"/>
    <tableColumn id="6" xr3:uid="{9CB017A1-D755-4DB7-99ED-BBD09DBA551F}" name="Jemena"/>
    <tableColumn id="7" xr3:uid="{4AC22AD2-E8DB-4CFE-A499-B1B31DA8F4B5}" name="Powercor"/>
    <tableColumn id="8" xr3:uid="{2C48CFB6-7323-4BF6-8C64-7E27C40FBBC0}" name="United Energy"/>
  </tableColumns>
  <tableStyleInfo name="Default tabl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7F015ED8-C01F-493F-BC60-E70CACCEB2FD}" name="Calc_WholesaleSME_1" displayName="Calc_WholesaleSME_1" ref="C222:K225" totalsRowShown="0" headerRowDxfId="890" headerRowBorderDxfId="889" tableBorderDxfId="888" headerRowCellStyle="Table col heading">
  <tableColumns count="9">
    <tableColumn id="1" xr3:uid="{3685C95C-E94C-4E99-B630-F4FAE40BD6CA}" name="Cost item"/>
    <tableColumn id="2" xr3:uid="{B38073C0-122B-4A64-BFF7-4C59D4463DE5}" name="Fixed/Variable"/>
    <tableColumn id="3" xr3:uid="{AAEAD9CF-B74C-41AB-9559-180BCE3F3F3C}" name="Unit"/>
    <tableColumn id="9" xr3:uid="{BC42E5F3-6EAE-4C9C-8DE3-CCAD1E10CA66}" name="Customer type" dataCellStyle="Table cell"/>
    <tableColumn id="4" xr3:uid="{308996B6-C131-470D-BCF8-3278A29B0E46}" name="Ausnet"/>
    <tableColumn id="5" xr3:uid="{19939240-F265-46F0-81AA-EB185929723F}" name="Citipower"/>
    <tableColumn id="6" xr3:uid="{472F31F9-0445-4F60-ADA7-DA1781E4D1CE}" name="Jemena"/>
    <tableColumn id="7" xr3:uid="{0F209F68-2467-41B7-A6F3-3F182FEEFF31}" name="Powercor"/>
    <tableColumn id="8" xr3:uid="{EA8080F3-12EA-415C-8B0F-A9C3C7BE47C3}" name="United Energy"/>
  </tableColumns>
  <tableStyleInfo name="Default tabl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91A3B44-F9C0-4A8B-8450-9F07D09A1A86}" name="Calc_EnviroVEU_1" displayName="Calc_EnviroVEU_1" ref="C230:K233" totalsRowShown="0" headerRowDxfId="887" headerRowBorderDxfId="886" tableBorderDxfId="885" headerRowCellStyle="Table col heading" dataCellStyle="Internal link/lookup">
  <tableColumns count="9">
    <tableColumn id="1" xr3:uid="{30D74465-1D99-43AF-8CAB-6E507855A3A4}" name="Cost item" dataCellStyle="Table cell"/>
    <tableColumn id="2" xr3:uid="{1600AA2F-0D95-42AF-83F2-66CBF45F3CA0}" name="Fixed/Variable" dataCellStyle="Table cell"/>
    <tableColumn id="3" xr3:uid="{164F3467-F6B3-4C63-8156-D333898A95EE}" name="Unit" dataCellStyle="Table cell"/>
    <tableColumn id="9" xr3:uid="{EF95EF79-FCA8-4A29-950C-B3FEC82FE49F}" name="Customer type" dataCellStyle="Table cell"/>
    <tableColumn id="4" xr3:uid="{FA5A43A2-D327-41C8-A5A5-BF22A9D1276E}" name="Ausnet" dataDxfId="884" dataCellStyle="Internal link/lookup"/>
    <tableColumn id="5" xr3:uid="{CB1D098F-76FA-4645-A017-A40B1C8931A0}" name="Citipower" dataDxfId="883" dataCellStyle="Internal link/lookup"/>
    <tableColumn id="6" xr3:uid="{6CB26880-0A29-48CB-8D27-40F6229EC6E1}" name="Jemena" dataDxfId="882" dataCellStyle="Internal link/lookup"/>
    <tableColumn id="7" xr3:uid="{37DC741F-B7B0-4F6D-8986-B2FED10372C0}" name="Powercor" dataDxfId="881" dataCellStyle="Internal link/lookup"/>
    <tableColumn id="8" xr3:uid="{146C5954-395B-4AF0-934E-F6F1F53FD175}" name="United Energy" dataDxfId="880" dataCellStyle="Internal link/lookup"/>
  </tableColumns>
  <tableStyleInfo name="Default tabl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D7F4255-2560-4C7D-87B7-90E01C8879BD}" name="Calc_EnviroLRET_1" displayName="Calc_EnviroLRET_1" ref="C236:K239" totalsRowShown="0" headerRowDxfId="879" headerRowBorderDxfId="878" tableBorderDxfId="877" headerRowCellStyle="Table col heading" dataCellStyle="Internal link/lookup">
  <tableColumns count="9">
    <tableColumn id="1" xr3:uid="{A6BACB87-44CA-4E82-A714-C5FE69256FAF}" name="Cost item" dataCellStyle="Table cell"/>
    <tableColumn id="2" xr3:uid="{075EE753-82B6-4FA7-AC6F-FE6940B01335}" name="Fixed/Variable" dataCellStyle="Table cell"/>
    <tableColumn id="3" xr3:uid="{87C5857A-1190-4CD1-A7CA-F67806FBE4CE}" name="Unit" dataCellStyle="Table cell"/>
    <tableColumn id="9" xr3:uid="{0808E3E2-EE13-4D5D-BCCF-B993FB523556}" name="Customer type" dataCellStyle="Table cell"/>
    <tableColumn id="4" xr3:uid="{25BA2561-A041-4FBF-A998-FD3797782130}" name="Ausnet" dataDxfId="876" dataCellStyle="Internal link/lookup"/>
    <tableColumn id="5" xr3:uid="{E3001C65-68EA-4A0B-A9EC-0AEF2E84FBD6}" name="Citipower" dataDxfId="875" dataCellStyle="Internal link/lookup"/>
    <tableColumn id="6" xr3:uid="{B118E905-DC3D-47F2-80F3-239BFB2E12CB}" name="Jemena" dataDxfId="874" dataCellStyle="Internal link/lookup"/>
    <tableColumn id="7" xr3:uid="{4C60D58B-60A7-46F1-93E5-005D19EAAD81}" name="Powercor" dataDxfId="873" dataCellStyle="Internal link/lookup"/>
    <tableColumn id="8" xr3:uid="{67A92AE4-113B-4F60-9A08-53B7D7BBE29B}" name="United Energy" dataDxfId="872" dataCellStyle="Internal link/lookup"/>
  </tableColumns>
  <tableStyleInfo name="Default tabl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E3EDBDF-1B04-4828-8F23-C85FCC2AFC8A}" name="Calc_EnviroSRES_1" displayName="Calc_EnviroSRES_1" ref="C242:K245" totalsRowShown="0" headerRowDxfId="871" headerRowBorderDxfId="870" tableBorderDxfId="869" headerRowCellStyle="Table col heading" dataCellStyle="Internal link/lookup">
  <tableColumns count="9">
    <tableColumn id="1" xr3:uid="{FBB72E81-32BC-476E-80F3-64EE236D4AA2}" name="Cost item" dataCellStyle="Table cell"/>
    <tableColumn id="2" xr3:uid="{5E322F16-D299-4FD0-8E26-3FB9272D73E5}" name="Fixed/Variable" dataCellStyle="Table cell"/>
    <tableColumn id="3" xr3:uid="{2F112381-7D54-4734-820D-C48BB8198AAB}" name="Unit" dataCellStyle="Table cell"/>
    <tableColumn id="9" xr3:uid="{6E851880-403E-4A11-A43C-42B46F7B71E5}" name="Customer type" dataCellStyle="Table cell"/>
    <tableColumn id="4" xr3:uid="{43477D4E-955D-4477-92D8-B68B99E47C99}" name="Ausnet" dataDxfId="868" dataCellStyle="Internal link/lookup"/>
    <tableColumn id="5" xr3:uid="{46DA8B4E-93BE-4D75-B964-43108072DBCA}" name="Citipower" dataDxfId="867" dataCellStyle="Internal link/lookup"/>
    <tableColumn id="6" xr3:uid="{B4FBE803-3A30-443C-AF14-4716F8DBA7B2}" name="Jemena" dataDxfId="866" dataCellStyle="Internal link/lookup"/>
    <tableColumn id="7" xr3:uid="{8791F4C9-6942-453C-8102-D4CBF1273CDC}" name="Powercor" dataDxfId="865" dataCellStyle="Internal link/lookup"/>
    <tableColumn id="8" xr3:uid="{103AD40C-04CA-4057-8483-C30B93760CD0}" name="United Energy" dataDxfId="864" dataCellStyle="Internal link/lookup"/>
  </tableColumns>
  <tableStyleInfo name="Default tabl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A338246-BA11-41D9-8C6E-8C38BB16348D}" name="Calc_FiT_1" displayName="Calc_FiT_1" ref="C248:K249" totalsRowShown="0" headerRowDxfId="863" headerRowBorderDxfId="862" tableBorderDxfId="861" totalsRowBorderDxfId="860" headerRowCellStyle="Table col heading" dataCellStyle="Table cell">
  <tableColumns count="9">
    <tableColumn id="1" xr3:uid="{AFD9488A-7C4B-4F8E-ACF9-A4E4B8E8B998}" name="Cost item" dataDxfId="859" dataCellStyle="Table cell"/>
    <tableColumn id="2" xr3:uid="{16DB71A9-711A-4502-B5BF-7F371CCC192E}" name="Fixed/Variable" dataDxfId="858" dataCellStyle="Table cell"/>
    <tableColumn id="3" xr3:uid="{A88541AF-CF21-4C19-AF86-DD65AAFDF70F}" name="Unit" dataDxfId="857" dataCellStyle="Table cell"/>
    <tableColumn id="9" xr3:uid="{CCD1209E-6309-4A32-8212-14B34B01109C}" name="Customer type" dataDxfId="856" dataCellStyle="Table cell"/>
    <tableColumn id="4" xr3:uid="{EFC77A58-5F76-488A-A85D-5ED51551F605}" name="Ausnet" dataDxfId="855" dataCellStyle="Calculation"/>
    <tableColumn id="5" xr3:uid="{1E393C59-41B6-47B9-8C7C-DF1243695081}" name="Citipower" dataDxfId="854" dataCellStyle="Calculation"/>
    <tableColumn id="6" xr3:uid="{435400A7-321A-40E3-A6FB-8DA29E3C56CF}" name="Jemena" dataDxfId="853" dataCellStyle="Calculation"/>
    <tableColumn id="7" xr3:uid="{E838E498-62F7-48EC-9A33-8E46B6F2846E}" name="Powercor" dataDxfId="852" dataCellStyle="Calculation"/>
    <tableColumn id="8" xr3:uid="{E4EAE11B-C0B1-474A-AFE2-08D9725A3A2F}" name="United Energy" dataDxfId="851" dataCellStyle="Calculation"/>
  </tableColumns>
  <tableStyleInfo name="Default tabl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62F88B8-AD2B-48D5-B9A0-A6F8233392FC}" name="OP_Rates_RES_2" displayName="OP_Rates_RES_2" ref="C92:K100" totalsRowShown="0" headerRowDxfId="1075" headerRowBorderDxfId="1074" tableBorderDxfId="1073" headerRowCellStyle="Table col heading" dataCellStyle="Internal link/lookup">
  <tableColumns count="9">
    <tableColumn id="1" xr3:uid="{E12D8BB7-7DC5-4C01-A1DF-2C5092D6D281}" name="Rate name" dataCellStyle="Table cell"/>
    <tableColumn id="3" xr3:uid="{9B50B068-A20B-4598-8290-BF3F0B0D57EC}" name="Unit" dataCellStyle="Table cell"/>
    <tableColumn id="4" xr3:uid="{A745D100-FCD8-4948-BAE1-379CE68563D2}" name="Customer type" dataCellStyle="Table cell"/>
    <tableColumn id="2" xr3:uid="{036C2A5D-6065-4DF0-AAB3-E8921DA08FC2}" name="-" dataCellStyle="Table cell"/>
    <tableColumn id="5" xr3:uid="{A01E3015-10DD-4402-9C8C-004F533C0307}" name="Ausnet" dataDxfId="1072" dataCellStyle="Internal link/lookup">
      <calculatedColumnFormula>IF(SUMIFS(Calc_Rates!G$63:G$139,Calc_Rates!$C$63:$C$139,OP_Rates!$C93,Calc_Rates!$F$63:$F$139,OP_Rates!$E93)=0,"-",SUMIFS(Calc_Rates!G$63:G$139,Calc_Rates!$C$63:$C$139,OP_Rates!$C93,Calc_Rates!$F$63:$F$139,OP_Rates!$E93))</calculatedColumnFormula>
    </tableColumn>
    <tableColumn id="6" xr3:uid="{DCD1340B-8D59-43A1-99C0-DAB67D15E969}" name="Citipower" dataDxfId="1071" dataCellStyle="Internal link/lookup"/>
    <tableColumn id="7" xr3:uid="{B04CCA25-39DB-491F-BEA7-EFA7273E728A}" name="Jemena" dataDxfId="1070" dataCellStyle="Internal link/lookup"/>
    <tableColumn id="8" xr3:uid="{C71DCC1C-CCB0-40E6-96E6-F5CDADD8B122}" name="Powercor" dataDxfId="1069" dataCellStyle="Internal link/lookup"/>
    <tableColumn id="9" xr3:uid="{0B2E8CE8-F4F9-4846-83C4-FD2DFABC3C97}" name="United Energy" dataDxfId="1068" dataCellStyle="Internal link/lookup"/>
  </tableColumns>
  <tableStyleInfo name="Default tabl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DD51261-8483-4F72-A15D-EE34A34E1BAB}" name="Calc_Fixed_1" displayName="Calc_Fixed_1" ref="C9:K13" totalsRowShown="0" headerRowDxfId="850" dataDxfId="848" headerRowBorderDxfId="849" tableBorderDxfId="847" totalsRowBorderDxfId="846" headerRowCellStyle="Table col heading" dataCellStyle="Calculation">
  <tableColumns count="9">
    <tableColumn id="1" xr3:uid="{0DE4619C-AFE2-4FBE-9761-BAA79DB830F4}" name="Fixed costs" dataCellStyle="Table cell"/>
    <tableColumn id="2" xr3:uid="{E509A651-4C2C-44F0-B768-083D02C0617D}" name="Fixed/Variable" dataCellStyle="Table cell"/>
    <tableColumn id="3" xr3:uid="{EA8D5DA8-FE69-4B34-9288-63D99D8B64E2}" name="Unit" dataCellStyle="Table cell"/>
    <tableColumn id="4" xr3:uid="{7B42286D-64E9-4E5F-91BD-04A0111536FE}" name="Customer type" dataCellStyle="Table cell"/>
    <tableColumn id="5" xr3:uid="{11BA551C-7A3B-4DBA-8886-22B914901BA5}" name="Ausnet" dataDxfId="845" dataCellStyle="Calculation"/>
    <tableColumn id="6" xr3:uid="{C7D51D1D-F5A3-45D2-97BF-2D2C3522663C}" name="Citipower" dataDxfId="844" dataCellStyle="Calculation"/>
    <tableColumn id="7" xr3:uid="{98520615-2498-4B69-9E0F-1D3D02C38A91}" name="Jemena" dataDxfId="843" dataCellStyle="Calculation"/>
    <tableColumn id="8" xr3:uid="{9D038724-BFD4-4AE0-9E93-A285F400301A}" name="Powercor" dataDxfId="842" dataCellStyle="Calculation"/>
    <tableColumn id="9" xr3:uid="{7A6F7E36-B9EF-452A-B7C5-DCD9FEE784F5}" name="United Energy" dataDxfId="841" dataCellStyle="Calculation"/>
  </tableColumns>
  <tableStyleInfo name="Default tabl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FF5E63F-6A48-4B35-938E-45458A34EE25}" name="Calc_Variable_1" displayName="Calc_Variable_1" ref="C50:K56" totalsRowShown="0" headerRowDxfId="840" dataDxfId="838" headerRowBorderDxfId="839" tableBorderDxfId="837" totalsRowBorderDxfId="836" headerRowCellStyle="Table col heading" dataCellStyle="Calculation">
  <tableColumns count="9">
    <tableColumn id="1" xr3:uid="{D01C5694-3942-4B70-B388-582619A4A730}" name="Variable costs" dataCellStyle="Table cell"/>
    <tableColumn id="2" xr3:uid="{7B18B367-5A4F-4675-BF52-307E9D2DFE67}" name="Fixed/Variable" dataCellStyle="Table cell"/>
    <tableColumn id="3" xr3:uid="{258FC869-F26D-469D-99EB-25477677C6D6}" name="Unit" dataCellStyle="Table cell"/>
    <tableColumn id="4" xr3:uid="{6772D669-4BEB-4A7B-8347-807634EAD556}" name="Customer type" dataCellStyle="Table cell"/>
    <tableColumn id="5" xr3:uid="{016FCE41-EF2A-4E35-9A7B-F1E430D7D105}" name="Ausnet" dataDxfId="835" dataCellStyle="Calculation">
      <calculatedColumnFormula>SUMIFS(Calc_NetworkV_1[Ausnet],Calc_NetworkV_1[[Cost item]:[Cost item]],$C51,Calc_NetworkV_1[[Customer type]:[Customer type]],$F51)</calculatedColumnFormula>
    </tableColumn>
    <tableColumn id="6" xr3:uid="{E2C0AA12-7131-46DC-85F6-23D2DC886FB0}" name="Citipower" dataDxfId="834" dataCellStyle="Calculation">
      <calculatedColumnFormula>SUMIFS(Calc_NetworkV_1[Citipower],Calc_NetworkV_1[[Cost item]:[Cost item]],$C51,Calc_NetworkV_1[[Customer type]:[Customer type]],$F51)</calculatedColumnFormula>
    </tableColumn>
    <tableColumn id="7" xr3:uid="{EF4DD9F0-6C3E-41F9-B55E-8140D1AD8185}" name="Jemena" dataDxfId="833" dataCellStyle="Calculation">
      <calculatedColumnFormula>SUMIFS(Calc_NetworkV_1[Jemena],Calc_NetworkV_1[[Cost item]:[Cost item]],$C51,Calc_NetworkV_1[[Customer type]:[Customer type]],$F51)</calculatedColumnFormula>
    </tableColumn>
    <tableColumn id="8" xr3:uid="{947CFCA4-E7A4-4A08-847F-78F175CA3E8A}" name="Powercor" dataDxfId="832" dataCellStyle="Calculation">
      <calculatedColumnFormula>SUMIFS(Calc_NetworkV_1[Powercor],Calc_NetworkV_1[[Cost item]:[Cost item]],$C51,Calc_NetworkV_1[[Customer type]:[Customer type]],$F51)</calculatedColumnFormula>
    </tableColumn>
    <tableColumn id="9" xr3:uid="{B3FA65E5-67A9-4C54-BE06-6A8BC367B8D2}" name="United Energy" dataDxfId="831" dataCellStyle="Calculation">
      <calculatedColumnFormula>SUMIFS(Calc_NetworkV_1[United Energy],Calc_NetworkV_1[[Cost item]:[Cost item]],$C51,Calc_NetworkV_1[[Customer type]:[Customer type]],$F51)</calculatedColumnFormula>
    </tableColumn>
  </tableColumns>
  <tableStyleInfo name="Default tabl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42E7283-7EC9-4B31-8751-F22F33197074}" name="Calc_CPI_2" displayName="Calc_CPI_2" ref="C396:I406" totalsRowShown="0" headerRowDxfId="830" headerRowBorderDxfId="829" tableBorderDxfId="828" headerRowCellStyle="Table col heading">
  <tableColumns count="7">
    <tableColumn id="1" xr3:uid="{0392B365-335D-4A78-9B18-7271922DE1F6}" name="Cost item"/>
    <tableColumn id="3" xr3:uid="{048F43A9-A58B-455C-8B4D-B6DA137AECA7}" name="Fixed/Variable" dataDxfId="827"/>
    <tableColumn id="10" xr3:uid="{C0FE0C8C-F5D0-4BAB-8D99-F40D7F692479}" name="Unit" dataCellStyle="Table cell"/>
    <tableColumn id="11" xr3:uid="{73F71E33-E6A7-4E95-8250-4F73CE5393B0}" name="Customer type" dataCellStyle="Table cell"/>
    <tableColumn id="2" xr3:uid="{EE0FDEAC-B5CB-423C-9DFF-2946D2F95BAB}" name="Adjust?" dataCellStyle="Table cell">
      <calculatedColumnFormula>INDEX(Input_CostItemCPI[[VDO 2021 - Final]:[VDO 2022 - Final]],MATCH(Calc_CPI_2[[#This Row],[Cost item]],Input_CostItemCPI[Cost item],0),MATCH(Calc_Rates!$D$254,Input_CostItemCPI[[#Headers],[VDO 2021 - Final]:[VDO 2022 - Final]],0))</calculatedColumnFormula>
    </tableColumn>
    <tableColumn id="4" xr3:uid="{A927AA6D-A956-473D-9CBB-E2BEE704389A}" name="CPI increase" dataDxfId="826" dataCellStyle="Calculation">
      <calculatedColumnFormula>IF(Calc_CPI_2[[#This Row],[Adjust?]]="No",0,
IFERROR(
($D$394-
INDEX(CPI[Indice],MATCH(
INDEX(Input_ForRateCalc[[F-PreviousVDO_InputDate]:[F-CurrentVDO_Input]],MATCH(Calc_Rates!$C397,Input_ForRateCalc[Cost item],0),MATCH(Calc_Rates!$D$254&amp;" - input date",Inputs!H$8:Q$8,0)),
CPI[Period],0),1))/
INDEX(CPI[Indice],MATCH(
INDEX(Input_ForRateCalc[[F-PreviousVDO_InputDate]:[F-CurrentVDO_Input]],MATCH(Calc_Rates!$C397,Input_ForRateCalc[Cost item],0),MATCH(Calc_Rates!$D$254&amp;" - input date",Inputs!H$8:Q$8,0)),
CPI[Period],0),1),"-"))</calculatedColumnFormula>
    </tableColumn>
    <tableColumn id="5" xr3:uid="{0AF73545-2A78-4EA1-9B7D-36FA6144550A}" name="CPI uplift factor" dataDxfId="825" dataCellStyle="Calculation"/>
  </tableColumns>
  <tableStyleInfo name="Default tabl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CEC6A44B-92E9-41E6-A5BE-92DF20C28082}" name="Calc_Losses_2" displayName="Calc_Losses_2" ref="C409:K412" totalsRowShown="0" headerRowDxfId="824" headerRowBorderDxfId="823" tableBorderDxfId="822" headerRowCellStyle="Table col heading">
  <tableColumns count="9">
    <tableColumn id="1" xr3:uid="{FF25D25B-B907-49F1-9788-25D8E0FAB9AB}" name="Cost item"/>
    <tableColumn id="2" xr3:uid="{C154E22A-4B96-4CA0-AE66-AA8979623137}" name="Fixed/Variable"/>
    <tableColumn id="3" xr3:uid="{7225B388-345E-4195-AF66-C05D1F0E3B4C}" name="Unit"/>
    <tableColumn id="9" xr3:uid="{875CEA24-D2EE-402A-AE5F-BA8557242C89}" name="Customer type" dataCellStyle="Table cell"/>
    <tableColumn id="4" xr3:uid="{CB25BE8A-48BA-4885-8E65-317DB9BF37BB}" name="Ausnet" dataDxfId="821"/>
    <tableColumn id="5" xr3:uid="{0B2237C4-7DBE-4B58-8B34-036750CE9DF3}" name="Citipower" dataDxfId="820"/>
    <tableColumn id="6" xr3:uid="{E1C9F9AE-0936-4E2E-A598-882FD11E197E}" name="Jemena" dataDxfId="819"/>
    <tableColumn id="7" xr3:uid="{50A41108-5F62-4C52-92E2-598288A777B6}" name="Powercor" dataDxfId="818"/>
    <tableColumn id="8" xr3:uid="{5D722926-44FE-4315-8992-A62E3FA3705F}" name="United Energy" dataDxfId="817"/>
  </tableColumns>
  <tableStyleInfo name="Default tabl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8CE7EFF8-8CC4-49A5-A4B0-B1F772307F26}" name="Calc_ROM_2" displayName="Calc_ROM_2" ref="C415:K416" totalsRowShown="0" headerRowDxfId="816" headerRowBorderDxfId="815" tableBorderDxfId="814" headerRowCellStyle="Table col heading" dataCellStyle="Table cell">
  <tableColumns count="9">
    <tableColumn id="1" xr3:uid="{955F46BD-E98D-4FF8-89E3-604BDBAD5C15}" name="Cost item" dataCellStyle="Table cell"/>
    <tableColumn id="2" xr3:uid="{6E181835-1B30-4227-88B8-00DC0A938429}" name="Fixed/Variable" dataCellStyle="Table cell"/>
    <tableColumn id="3" xr3:uid="{B4F569B5-76F1-4840-94CD-ED51F23ABBB5}" name="Unit" dataCellStyle="Table cell"/>
    <tableColumn id="9" xr3:uid="{7D750D5E-3C29-452B-BA22-9541DF61C38D}" name="Customer type" dataCellStyle="Table cell"/>
    <tableColumn id="4" xr3:uid="{E687E301-7097-4D98-AEE6-E06378C143BE}" name="Ausnet" dataDxfId="813" dataCellStyle="Calculation">
      <calculatedColumnFormula array="1">IFERROR(INDEX(Input_ForRateCalc[[F-PreviousVDO_InputDate]:[F-CurrentVDO_Input]],MATCH(Calc_ROM_2[[#This Row],[Cost item]:[Cost item]],Input_ForRateCalc[[Cost item]:[Cost item]],0),MATCH($D$254,Inputs!$H$8:$Q$8,0)),"-")</calculatedColumnFormula>
    </tableColumn>
    <tableColumn id="5" xr3:uid="{1A564FEB-91D3-41D0-938B-AF81CFA2D721}" name="Citipower" dataDxfId="812" dataCellStyle="Internal link/lookup">
      <calculatedColumnFormula array="1">IFERROR(INDEX(Input_ForRateCalc[[F-PreviousVDO_InputDate]:[F-CurrentVDO_Input]],MATCH(Calc_ROM_2[[#This Row],[Cost item]:[Cost item]],Input_ForRateCalc[[Cost item]:[Cost item]],0),MATCH($D$254,Inputs!$H$8:$Q$8,0)),"-")</calculatedColumnFormula>
    </tableColumn>
    <tableColumn id="6" xr3:uid="{A4210194-9161-4D9A-B76B-92DB41A3D078}" name="Jemena" dataDxfId="811" dataCellStyle="Internal link/lookup">
      <calculatedColumnFormula array="1">IFERROR(INDEX(Input_ForRateCalc[[F-PreviousVDO_InputDate]:[F-CurrentVDO_Input]],MATCH(Calc_ROM_2[[#This Row],[Cost item]:[Cost item]],Input_ForRateCalc[[Cost item]:[Cost item]],0),MATCH($D$254,Inputs!$H$8:$Q$8,0)),"-")</calculatedColumnFormula>
    </tableColumn>
    <tableColumn id="7" xr3:uid="{C0C4DC3C-E147-4E1D-AC30-72D37EB7845B}" name="Powercor" dataDxfId="810" dataCellStyle="Internal link/lookup">
      <calculatedColumnFormula array="1">IFERROR(INDEX(Input_ForRateCalc[[F-PreviousVDO_InputDate]:[F-CurrentVDO_Input]],MATCH(Calc_ROM_2[[#This Row],[Cost item]:[Cost item]],Input_ForRateCalc[[Cost item]:[Cost item]],0),MATCH($D$254,Inputs!$H$8:$Q$8,0)),"-")</calculatedColumnFormula>
    </tableColumn>
    <tableColumn id="8" xr3:uid="{E4E7EB2A-0FA6-46E9-B531-356F9F153E84}" name="United Energy" dataDxfId="809" dataCellStyle="Internal link/lookup">
      <calculatedColumnFormula array="1">IFERROR(INDEX(Input_ForRateCalc[[F-PreviousVDO_InputDate]:[F-CurrentVDO_Input]],MATCH(Calc_ROM_2[[#This Row],[Cost item]:[Cost item]],Input_ForRateCalc[[Cost item]:[Cost item]],0),MATCH($D$254,Inputs!$H$8:$Q$8,0)),"-")</calculatedColumnFormula>
    </tableColumn>
  </tableColumns>
  <tableStyleInfo name="Default tabl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27F880C2-B122-4BD6-AFB2-F6FEA0892944}" name="Calc_Retail_2" displayName="Calc_Retail_2" ref="C421:K423" totalsRowShown="0" headerRowDxfId="808" headerRowBorderDxfId="807" tableBorderDxfId="806" totalsRowBorderDxfId="805" headerRowCellStyle="Table col heading">
  <tableColumns count="9">
    <tableColumn id="1" xr3:uid="{5DBFD0B1-2F68-4D8D-9DD6-1CB8E0378AF5}" name="Cost item"/>
    <tableColumn id="2" xr3:uid="{DEEB39E3-E100-46E3-8373-164B77EDA971}" name="Fixed/Variable"/>
    <tableColumn id="3" xr3:uid="{E9B6E294-9507-43FE-8432-2DC6149A44BD}" name="Unit" dataCellStyle="Table cell"/>
    <tableColumn id="9" xr3:uid="{8E50245A-0ED0-4F17-87CE-4E85E60E4872}" name="Customer type" dataDxfId="804" dataCellStyle="Table cell"/>
    <tableColumn id="4" xr3:uid="{2CD61C95-A6E5-4E0F-9C24-3AEBDA5C897D}" name="Ausnet" dataDxfId="803" dataCellStyle="Calculation"/>
    <tableColumn id="5" xr3:uid="{4E050103-6C8B-4305-BD73-C70DDFA3DBF5}" name="Citipower" dataDxfId="802" dataCellStyle="Calculation"/>
    <tableColumn id="6" xr3:uid="{99907E92-AD35-4E5A-9AF4-6ADEACB6628B}" name="Jemena" dataDxfId="801" dataCellStyle="Calculation"/>
    <tableColumn id="7" xr3:uid="{85CED015-2903-4856-80DE-2EF0DF32CF22}" name="Powercor" dataDxfId="800" dataCellStyle="Calculation"/>
    <tableColumn id="8" xr3:uid="{E2C17A32-6146-4155-9533-31AA75FDB328}" name="United Energy" dataDxfId="799" dataCellStyle="Calculation"/>
  </tableColumns>
  <tableStyleInfo name="Default tabl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01D12CF-C7E1-4924-9282-4EC84379844B}" name="Calc_OtherCosts_2" displayName="Calc_OtherCosts_2" ref="C427:K436" totalsRowShown="0" headerRowDxfId="798" headerRowBorderDxfId="797" tableBorderDxfId="796" totalsRowBorderDxfId="795" headerRowCellStyle="Table col heading" dataCellStyle="Table cell">
  <tableColumns count="9">
    <tableColumn id="1" xr3:uid="{A1B8058A-1AB1-41BC-8A43-72B5EA27A603}" name="Cost item" dataCellStyle="Table cell"/>
    <tableColumn id="2" xr3:uid="{D5EEF1DB-85C1-49E6-99B0-CF0394951EE2}" name="Fixed/Variable" dataCellStyle="Table cell"/>
    <tableColumn id="3" xr3:uid="{E4A2F631-BD69-4A5A-85B5-508D2E2B4A0C}" name="Unit" dataCellStyle="Table cell"/>
    <tableColumn id="9" xr3:uid="{0B803444-77B6-4D2D-BB75-CD29E2D46331}" name="Customer type" dataDxfId="794" dataCellStyle="Table cell"/>
    <tableColumn id="4" xr3:uid="{085016C6-CD9B-499F-9379-4BAE408451BD}" name="Ausnet" dataDxfId="793" dataCellStyle="Calculation">
      <calculatedColumnFormula array="1">IFERROR(
IF(Calc_OtherCosts_2[[#This Row],[Fixed/Variable]:[Fixed/Variable]]="Fixed",
(IFERROR(INDEX(Calc_CPI_2[[CPI uplift factor]:[CPI uplift factor]],MATCH($C428,Calc_CPI_2[[Cost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factor]],MATCH($C428,Calc_CPI_2[[Cost item]:[Cost item]],0),1),0)+
INDEX(Input_ForRateCalc[[F-PreviousVDO_InputDate]:[F-CurrentVDO_Input]],MATCH(Calc_OtherCosts_2[[#This Row],[Cost item]:[Cost item]],Input_ForRateCalc[[Cost item]:[Cost item]],0),MATCH($D$254,Inputs!$H$8:$Q$8,0)))/1000),"-")</calculatedColumnFormula>
    </tableColumn>
    <tableColumn id="5" xr3:uid="{D67C074D-746D-4063-961D-3BEBB731C5BF}" name="Citipower" dataDxfId="792" dataCellStyle="Calculation">
      <calculatedColumnFormula array="1">IFERROR(
IF(Calc_OtherCosts_2[[#This Row],[Fixed/Variable]:[Fixed/Variable]]="Fixed",
(IFERROR(INDEX(Calc_CPI_2[[CPI uplift factor]:[CPI uplift factor]],MATCH($C428,Calc_CPI_2[[Cost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factor]],MATCH($C428,Calc_CPI_2[[Cost item]:[Cost item]],0),1),0)+
INDEX(Input_ForRateCalc[[F-PreviousVDO_InputDate]:[F-CurrentVDO_Input]],MATCH(Calc_OtherCosts_2[[#This Row],[Cost item]:[Cost item]],Input_ForRateCalc[[Cost item]:[Cost item]],0),MATCH($D$254,Inputs!$H$8:$Q$8,0)))/1000),"-")</calculatedColumnFormula>
    </tableColumn>
    <tableColumn id="6" xr3:uid="{E2A0A5AD-48B1-4C7D-B517-722AFA356FB6}" name="Jemena" dataDxfId="791" dataCellStyle="Calculation">
      <calculatedColumnFormula array="1">IFERROR(
IF(Calc_OtherCosts_2[[#This Row],[Fixed/Variable]:[Fixed/Variable]]="Fixed",
(IFERROR(INDEX(Calc_CPI_2[[CPI uplift factor]:[CPI uplift factor]],MATCH($C428,Calc_CPI_2[[Cost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factor]],MATCH($C428,Calc_CPI_2[[Cost item]:[Cost item]],0),1),0)+
INDEX(Input_ForRateCalc[[F-PreviousVDO_InputDate]:[F-CurrentVDO_Input]],MATCH(Calc_OtherCosts_2[[#This Row],[Cost item]:[Cost item]],Input_ForRateCalc[[Cost item]:[Cost item]],0),MATCH($D$254,Inputs!$H$8:$Q$8,0)))/1000),"-")</calculatedColumnFormula>
    </tableColumn>
    <tableColumn id="7" xr3:uid="{F78830B5-0220-404E-AF64-292E9739DDDA}" name="Powercor" dataDxfId="790" dataCellStyle="Calculation">
      <calculatedColumnFormula array="1">IFERROR(
IF(Calc_OtherCosts_2[[#This Row],[Fixed/Variable]:[Fixed/Variable]]="Fixed",
(IFERROR(INDEX(Calc_CPI_2[[CPI uplift factor]:[CPI uplift factor]],MATCH($C428,Calc_CPI_2[[Cost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factor]],MATCH($C428,Calc_CPI_2[[Cost item]:[Cost item]],0),1),0)+
INDEX(Input_ForRateCalc[[F-PreviousVDO_InputDate]:[F-CurrentVDO_Input]],MATCH(Calc_OtherCosts_2[[#This Row],[Cost item]:[Cost item]],Input_ForRateCalc[[Cost item]:[Cost item]],0),MATCH($D$254,Inputs!$H$8:$Q$8,0)))/1000),"-")</calculatedColumnFormula>
    </tableColumn>
    <tableColumn id="8" xr3:uid="{79D9B0F6-4D30-4C42-89E5-7F30342FAA5E}" name="United Energy" dataDxfId="789" dataCellStyle="Calculation">
      <calculatedColumnFormula array="1">IFERROR(
IF(Calc_OtherCosts_2[[#This Row],[Fixed/Variable]:[Fixed/Variable]]="Fixed",
(IFERROR(INDEX(Calc_CPI_2[[CPI uplift factor]:[CPI uplift factor]],MATCH($C428,Calc_CPI_2[[Cost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factor]],MATCH($C428,Calc_CPI_2[[Cost item]:[Cost item]],0),1),0)+
INDEX(Input_ForRateCalc[[F-PreviousVDO_InputDate]:[F-CurrentVDO_Input]],MATCH(Calc_OtherCosts_2[[#This Row],[Cost item]:[Cost item]],Input_ForRateCalc[[Cost item]:[Cost item]],0),MATCH($D$254,Inputs!$H$8:$Q$8,0)))/1000),"-")</calculatedColumnFormula>
    </tableColumn>
  </tableColumns>
  <tableStyleInfo name="Default tabl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4E0A9ED2-8D00-4F48-8D30-FD08A8C765E7}" name="Calc_NetworkF_2" displayName="Calc_NetworkF_2" ref="C441:K446" totalsRowShown="0" headerRowDxfId="788" headerRowBorderDxfId="787" tableBorderDxfId="786" totalsRowBorderDxfId="785" headerRowCellStyle="Table col heading">
  <tableColumns count="9">
    <tableColumn id="1" xr3:uid="{D38E552C-C6A6-40C2-9CA0-7FC7197AE66A}" name="Cost item"/>
    <tableColumn id="2" xr3:uid="{03758CD2-D50C-40CD-98A0-210010BE529C}" name="Fixed/Variable"/>
    <tableColumn id="3" xr3:uid="{A465FF89-A6AC-4B33-AB2F-144AD4966E2B}" name="Unit" dataCellStyle="Table cell"/>
    <tableColumn id="9" xr3:uid="{BE863A71-0407-4CC5-A963-E85A55602C43}" name="Customer type" dataDxfId="784" dataCellStyle="Table cell"/>
    <tableColumn id="4" xr3:uid="{E263191F-A889-48FA-AAEA-BCE459A10C20}" name="Ausnet" dataDxfId="783" dataCellStyle="Calculation">
      <calculatedColumnFormula array="1">IFERROR(
IFERROR(INDEX(Calc_CPI_2[[CPI uplift factor]:[CPI uplift factor]],MATCH($C442,Calc_CPI_2[[Cost item]:[Cost item]],0),1),0)+
INDEX(Input_ForRateCalc[[F-PreviousVDO_InputDate]:[F-CurrentVDO_Input]],MATCH(
IF(Calc_NetworkF_2[[#This Row],[Cost item]:[Cost item]]="Metering",
Calc_NetworkF_2[[#This Row],[Cost item]:[Cost item]]&amp;" - "&amp;Calc_NetworkF_2[[#Headers],[Ausnet]],
Calc_NetworkF_2[[#This Row],[Cost item]:[Cost item]]&amp;" charge - "&amp;IF(Calc_NetworkF_2[[#This Row],[Customer type]:[Customer type]]="Residential","RES - ","SME - ")&amp;Calc_NetworkF_2[[#Headers],[Ausnet]]),Input_ForRateCalc[[Cost item]:[Cost item]],0),MATCH($D$254,Inputs!$H$8:$Q$8,0)),"-")</calculatedColumnFormula>
    </tableColumn>
    <tableColumn id="5" xr3:uid="{E6E4BB6F-BD70-4891-95C8-F6841E10AE1F}" name="Citipower" dataDxfId="782">
      <calculatedColumnFormula array="1">IFERROR(
IFERROR(INDEX(Calc_CPI_2[[CPI uplift factor]:[CPI uplift factor]],MATCH($C442,Calc_CPI_2[[Cost item]:[Cost item]],0),1),0)+
INDEX(Input_ForRateCalc[[F-PreviousVDO_InputDate]:[F-CurrentVDO_Input]],MATCH(
IF(Calc_NetworkF_2[[#This Row],[Cost item]:[Cost item]]="Metering",
Calc_NetworkF_2[[#This Row],[Cost item]:[Cost item]]&amp;" - "&amp;Calc_NetworkF_2[[#Headers],[Citipower]],
Calc_NetworkF_2[[#This Row],[Cost item]:[Cost item]]&amp;" charge - "&amp;IF(Calc_NetworkF_2[[#This Row],[Customer type]:[Customer type]]="Residential","RES - ","SME - ")&amp;Calc_NetworkF_2[[#Headers],[Citipower]]),Input_ForRateCalc[[Cost item]:[Cost item]],0),MATCH($D$254,Inputs!$H$8:$Q$8,0)),"-")</calculatedColumnFormula>
    </tableColumn>
    <tableColumn id="6" xr3:uid="{74B2C5CE-E472-453B-BE1E-199DD74C52A8}" name="Jemena" dataDxfId="781">
      <calculatedColumnFormula array="1">IFERROR(
IFERROR(INDEX(Calc_CPI_2[[CPI uplift factor]:[CPI uplift factor]],MATCH($C442,Calc_CPI_2[[Cost item]:[Cost item]],0),1),0)+
INDEX(Input_ForRateCalc[[F-PreviousVDO_InputDate]:[F-CurrentVDO_Input]],MATCH(
IF(Calc_NetworkF_2[[#This Row],[Cost item]:[Cost item]]="Metering",
Calc_NetworkF_2[[#This Row],[Cost item]:[Cost item]]&amp;" - "&amp;Calc_NetworkF_2[[#Headers],[Jemena]],
Calc_NetworkF_2[[#This Row],[Cost item]:[Cost item]]&amp;" charge - "&amp;IF(Calc_NetworkF_2[[#This Row],[Customer type]:[Customer type]]="Residential","RES - ","SME - ")&amp;Calc_NetworkF_2[[#Headers],[Jemena]]),Input_ForRateCalc[[Cost item]:[Cost item]],0),MATCH($D$254,Inputs!$H$8:$Q$8,0)),"-")</calculatedColumnFormula>
    </tableColumn>
    <tableColumn id="7" xr3:uid="{BB022CED-F0B8-48AE-86ED-16EA04ED82D4}" name="Powercor" dataDxfId="780">
      <calculatedColumnFormula array="1">IFERROR(
IFERROR(INDEX(Calc_CPI_2[[CPI uplift factor]:[CPI uplift factor]],MATCH($C442,Calc_CPI_2[[Cost item]:[Cost item]],0),1),0)+
INDEX(Input_ForRateCalc[[F-PreviousVDO_InputDate]:[F-CurrentVDO_Input]],MATCH(
IF(Calc_NetworkF_2[[#This Row],[Cost item]:[Cost item]]="Metering",
Calc_NetworkF_2[[#This Row],[Cost item]:[Cost item]]&amp;" - "&amp;Calc_NetworkF_2[[#Headers],[Powercor]],
Calc_NetworkF_2[[#This Row],[Cost item]:[Cost item]]&amp;" charge - "&amp;IF(Calc_NetworkF_2[[#This Row],[Customer type]:[Customer type]]="Residential","RES - ","SME - ")&amp;Calc_NetworkF_2[[#Headers],[Powercor]]),Input_ForRateCalc[[Cost item]:[Cost item]],0),MATCH($D$254,Inputs!$H$8:$Q$8,0)),"-")</calculatedColumnFormula>
    </tableColumn>
    <tableColumn id="8" xr3:uid="{37BB4DBB-2AA0-4B3B-B81D-A3BEDA786117}" name="United Energy" dataDxfId="779">
      <calculatedColumnFormula array="1">IFERROR(
IFERROR(INDEX(Calc_CPI_2[[CPI uplift factor]:[CPI uplift factor]],MATCH($C442,Calc_CPI_2[[Cost item]:[Cost item]],0),1),0)+
INDEX(Input_ForRateCalc[[F-PreviousVDO_InputDate]:[F-CurrentVDO_Input]],MATCH(
IF(Calc_NetworkF_2[[#This Row],[Cost item]:[Cost item]]="Metering",
Calc_NetworkF_2[[#This Row],[Cost item]:[Cost item]]&amp;" - "&amp;Calc_NetworkF_2[[#Headers],[United Energy]],
Calc_NetworkF_2[[#This Row],[Cost item]:[Cost item]]&amp;" charge - "&amp;IF(Calc_NetworkF_2[[#This Row],[Customer type]:[Customer type]]="Residential","RES - ","SME - ")&amp;Calc_NetworkF_2[[#Headers],[United Energy]]),Input_ForRateCalc[[Cost item]:[Cost item]],0),MATCH($D$254,Inputs!$H$8:$Q$8,0)),"-")</calculatedColumnFormula>
    </tableColumn>
  </tableColumns>
  <tableStyleInfo name="Default tabl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272C9E2E-BCF3-4E06-AE4B-999827903A85}" name="Calc_NetworkV_2" displayName="Calc_NetworkV_2" ref="C449:K460" totalsRowShown="0" headerRowDxfId="778" dataDxfId="776" headerRowBorderDxfId="777" tableBorderDxfId="775" totalsRowBorderDxfId="774" headerRowCellStyle="Table col heading" dataCellStyle="Calculation">
  <tableColumns count="9">
    <tableColumn id="1" xr3:uid="{A42221E9-38CD-4719-9CB9-680E3FE0AB3B}" name="Cost item" dataCellStyle="Table cell"/>
    <tableColumn id="2" xr3:uid="{427969E6-F9FD-4A2F-AE33-CB0C35F67BA9}" name="Fixed/Variable" dataCellStyle="Table cell"/>
    <tableColumn id="3" xr3:uid="{2BA6E17D-E067-4AAC-B77F-219CB9F95259}" name="Unit" dataCellStyle="Table cell"/>
    <tableColumn id="9" xr3:uid="{D92AB887-DC72-4FF5-AC76-00519F97E33D}" name="Customer type" dataDxfId="773" dataCellStyle="Table cell"/>
    <tableColumn id="4" xr3:uid="{036757F4-CC3E-4CFE-BEE6-59E663C8DD43}" name="Ausnet" dataDxfId="772" dataCellStyle="Calculation">
      <calculatedColumnFormula array="1">IFERROR(
(IFERROR(INDEX(Calc_CPI_2[[CPI uplift factor]:[CPI uplift factor]],MATCH($C450,Calc_CPI_2[[Cost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calculatedColumnFormula>
    </tableColumn>
    <tableColumn id="5" xr3:uid="{AE94E996-3010-41EE-98D2-09418CBEF705}" name="Citipower" dataDxfId="771" dataCellStyle="Calculation">
      <calculatedColumnFormula array="1">IFERROR(
(IFERROR(INDEX(Calc_CPI_2[[CPI uplift factor]:[CPI uplift factor]],MATCH($C450,Calc_CPI_2[[Cost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calculatedColumnFormula>
    </tableColumn>
    <tableColumn id="6" xr3:uid="{C3B601D0-315D-46AC-86AD-25A56993C77D}" name="Jemena" dataDxfId="770" dataCellStyle="Calculation">
      <calculatedColumnFormula array="1">IFERROR(
(IFERROR(INDEX(Calc_CPI_2[[CPI uplift factor]:[CPI uplift factor]],MATCH($C450,Calc_CPI_2[[Cost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calculatedColumnFormula>
    </tableColumn>
    <tableColumn id="7" xr3:uid="{75D9B400-5B56-4251-876D-D3B2AD0EDE08}" name="Powercor" dataDxfId="769" dataCellStyle="Calculation">
      <calculatedColumnFormula array="1">IFERROR(
(IFERROR(INDEX(Calc_CPI_2[[CPI uplift factor]:[CPI uplift factor]],MATCH($C450,Calc_CPI_2[[Cost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calculatedColumnFormula>
    </tableColumn>
    <tableColumn id="8" xr3:uid="{72E976D5-6CF4-4BF4-8596-EF5DDC69965F}" name="United Energy" dataDxfId="768" dataCellStyle="Calculation">
      <calculatedColumnFormula array="1">IFERROR(
(IFERROR(INDEX(Calc_CPI_2[[CPI uplift factor]:[CPI uplift factor]],MATCH($C450,Calc_CPI_2[[Cost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calculatedColumnFormula>
    </tableColumn>
  </tableColumns>
  <tableStyleInfo name="Default tabl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A43AECED-8885-4699-9018-976951DCEAEC}" name="Calc_WholesaleRES_2" displayName="Calc_WholesaleRES_2" ref="C465:K468" totalsRowShown="0" headerRowDxfId="767" headerRowBorderDxfId="766" tableBorderDxfId="765" headerRowCellStyle="Table col heading">
  <tableColumns count="9">
    <tableColumn id="1" xr3:uid="{55616D8A-0BC7-47DE-A9AD-A18C20CAD8E8}" name="Cost item"/>
    <tableColumn id="2" xr3:uid="{8849EA41-8407-4971-A187-A2595136364B}" name="Fixed/Variable"/>
    <tableColumn id="3" xr3:uid="{7467E916-F8C7-4E84-9658-A30010C5DDFB}" name="Unit"/>
    <tableColumn id="9" xr3:uid="{DD46CE72-BA1A-4017-990D-6941FE945045}" name="Customer type" dataCellStyle="Table cell"/>
    <tableColumn id="4" xr3:uid="{809DE305-D85D-4DA6-9F81-6D2F651C2EC0}" name="Ausnet"/>
    <tableColumn id="5" xr3:uid="{ED0D7F05-C22B-4EC1-8CDE-AF6D2FD6166E}" name="Citipower"/>
    <tableColumn id="6" xr3:uid="{B4B973FC-6C95-4B31-B9D7-8BFBB8D04D0F}" name="Jemena"/>
    <tableColumn id="7" xr3:uid="{52008CB4-E4CB-481A-A36B-0E4ECF3E2C84}" name="Powercor"/>
    <tableColumn id="8" xr3:uid="{5F24B15A-3CAE-4F6C-B56E-177E8642134E}" name="United Energy"/>
  </tableColumns>
  <tableStyleInfo name="Default tabl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1148602-7459-4803-87B6-C831DEC44EC0}" name="OP_Rates_SME_2" displayName="OP_Rates_SME_2" ref="M92:U100" totalsRowShown="0" headerRowDxfId="1067" headerRowBorderDxfId="1066" tableBorderDxfId="1065" headerRowCellStyle="Table col heading" dataCellStyle="Internal link/lookup">
  <tableColumns count="9">
    <tableColumn id="1" xr3:uid="{97447A12-70C5-49D9-A9E5-AEA25F884FA1}" name="Rate name" dataCellStyle="Table cell"/>
    <tableColumn id="3" xr3:uid="{2E2D66FB-47ED-43DF-A9CB-A2A955515374}" name="Unit" dataCellStyle="Table cell"/>
    <tableColumn id="4" xr3:uid="{3F2FC573-2AD7-4D41-8610-CC1693F433D0}" name="Customer type" dataCellStyle="Table cell"/>
    <tableColumn id="2" xr3:uid="{0923915D-2DEA-4E2B-98A9-C7D61F13E764}" name="-" dataCellStyle="Table cell"/>
    <tableColumn id="5" xr3:uid="{E1BD715C-539D-44A0-B07A-26372BFE7814}" name="Ausnet" dataDxfId="1064" dataCellStyle="Internal link/lookup"/>
    <tableColumn id="6" xr3:uid="{DD804863-CB84-4F97-A3F4-DA8AA3710A39}" name="Citipower" dataDxfId="1063" dataCellStyle="Internal link/lookup"/>
    <tableColumn id="7" xr3:uid="{C21B25A8-D01D-48E4-9F05-9CE92DF68805}" name="Jemena" dataDxfId="1062" dataCellStyle="Internal link/lookup"/>
    <tableColumn id="8" xr3:uid="{29D436D3-A10E-420D-BA0A-B4F3748975DA}" name="Powercor" dataDxfId="1061" dataCellStyle="Internal link/lookup"/>
    <tableColumn id="9" xr3:uid="{1952C4E9-7E24-444C-A20B-0F52828AE40D}" name="United Energy" dataDxfId="1060" dataCellStyle="Internal link/lookup"/>
  </tableColumns>
  <tableStyleInfo name="Default tabl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807C98C9-DEA2-499D-BCEC-1ADC2B76173B}" name="Calc_WholesaleSME_2" displayName="Calc_WholesaleSME_2" ref="C471:K474" totalsRowShown="0" headerRowDxfId="764" headerRowBorderDxfId="763" tableBorderDxfId="762" headerRowCellStyle="Table col heading">
  <tableColumns count="9">
    <tableColumn id="1" xr3:uid="{2F0330C9-FA4B-4B76-809A-3FFC706FA169}" name="Cost item"/>
    <tableColumn id="2" xr3:uid="{78653F00-2B8C-4BEB-99B3-5D899DAF194B}" name="Fixed/Variable"/>
    <tableColumn id="3" xr3:uid="{EB7E3CD7-5F6B-4CB7-9B55-B1A551960A87}" name="Unit"/>
    <tableColumn id="9" xr3:uid="{565AFD53-96DA-4A2D-874C-56C80926C3E1}" name="Customer type" dataCellStyle="Table cell"/>
    <tableColumn id="4" xr3:uid="{2D68E5B7-6558-44D7-A7DD-E465C5C7F977}" name="Ausnet"/>
    <tableColumn id="5" xr3:uid="{E0249D4F-24CE-4366-AD41-D943CD45AF8A}" name="Citipower"/>
    <tableColumn id="6" xr3:uid="{05111774-1FD7-46E5-904E-F77A51A63099}" name="Jemena"/>
    <tableColumn id="7" xr3:uid="{60E0B7A4-662F-4DCA-B8BD-3A1A03F20EC4}" name="Powercor"/>
    <tableColumn id="8" xr3:uid="{BC8EA099-7982-4976-92A9-37CF7F323A04}" name="United Energy"/>
  </tableColumns>
  <tableStyleInfo name="Default tabl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78FABF61-76BF-48EF-B505-776F278BB84F}" name="Calc_EnviroVEU_2" displayName="Calc_EnviroVEU_2" ref="C479:K483" totalsRowCount="1" headerRowDxfId="761" headerRowBorderDxfId="760" tableBorderDxfId="759" headerRowCellStyle="Table col heading" dataCellStyle="Internal link/lookup">
  <tableColumns count="9">
    <tableColumn id="1" xr3:uid="{5EDF66C7-C7F9-42E7-B17E-0A2D1BB3D8EA}" name="Cost item" totalsRowDxfId="758" dataCellStyle="Table cell" totalsRowCellStyle="Table cell"/>
    <tableColumn id="2" xr3:uid="{1DD3DB1A-FA8C-40B9-96A5-CCF273541652}" name="Fixed/Variable" totalsRowDxfId="757" dataCellStyle="Table cell" totalsRowCellStyle="Table cell"/>
    <tableColumn id="3" xr3:uid="{F4DF5AAD-28C1-430F-A85B-FE98F6BCA66F}" name="Unit" totalsRowDxfId="756" dataCellStyle="Table cell" totalsRowCellStyle="Table cell"/>
    <tableColumn id="9" xr3:uid="{39F18777-7928-4E45-A6E5-4949449D9B17}" name="Customer type" totalsRowDxfId="755" dataCellStyle="Table cell" totalsRowCellStyle="Table cell"/>
    <tableColumn id="4" xr3:uid="{72BCCABF-61A1-496B-A1F1-313913406971}" name="Ausnet" dataDxfId="754" totalsRowDxfId="753" dataCellStyle="Internal link/lookup" totalsRowCellStyle="Internal link/lookup"/>
    <tableColumn id="5" xr3:uid="{3632AAF8-9994-487F-B2AE-D91E6898616F}" name="Citipower" dataDxfId="752" totalsRowDxfId="751" dataCellStyle="Internal link/lookup" totalsRowCellStyle="Internal link/lookup"/>
    <tableColumn id="6" xr3:uid="{2D670DF7-A7E1-4815-8D99-FEBF3D8719A9}" name="Jemena" dataDxfId="750" totalsRowDxfId="749" dataCellStyle="Internal link/lookup" totalsRowCellStyle="Internal link/lookup"/>
    <tableColumn id="7" xr3:uid="{F31CC8AE-80E4-4035-B43D-29D83AB0E44B}" name="Powercor" dataDxfId="748" totalsRowDxfId="747" dataCellStyle="Internal link/lookup" totalsRowCellStyle="Internal link/lookup"/>
    <tableColumn id="8" xr3:uid="{ABB21325-49FB-44E1-9BEE-EF0B2D015359}" name="United Energy" dataDxfId="746" totalsRowDxfId="745" dataCellStyle="Internal link/lookup" totalsRowCellStyle="Internal link/lookup"/>
  </tableColumns>
  <tableStyleInfo name="Default tabl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CBD7F563-8C27-44C8-A251-94ED92356BAB}" name="Calc_EnviroLRET_2" displayName="Calc_EnviroLRET_2" ref="C485:K488" totalsRowShown="0" headerRowDxfId="744" headerRowBorderDxfId="743" tableBorderDxfId="742" headerRowCellStyle="Table col heading" dataCellStyle="Internal link/lookup">
  <tableColumns count="9">
    <tableColumn id="1" xr3:uid="{2E796124-0F36-4D5C-9E02-8A0D3471F3AC}" name="Cost item" dataCellStyle="Table cell"/>
    <tableColumn id="2" xr3:uid="{C0EFC863-A147-4A4B-9CD5-3BEDACFA83D3}" name="Fixed/Variable" dataCellStyle="Table cell"/>
    <tableColumn id="3" xr3:uid="{3E3D2AF2-16D7-4872-891A-23E6EF08388C}" name="Unit" dataCellStyle="Table cell"/>
    <tableColumn id="9" xr3:uid="{6D9C9597-8B4B-456E-BE78-2619427622CB}" name="Customer type" dataCellStyle="Table cell"/>
    <tableColumn id="4" xr3:uid="{D42DF87B-2F3A-445A-A591-A957064999AE}" name="Ausnet" dataDxfId="741" dataCellStyle="Internal link/lookup"/>
    <tableColumn id="5" xr3:uid="{0D536E01-9C54-40A5-872F-7AEC6B5E5964}" name="Citipower" dataDxfId="740" dataCellStyle="Internal link/lookup"/>
    <tableColumn id="6" xr3:uid="{61156598-626D-4F85-A017-2C9888B3AD91}" name="Jemena" dataDxfId="739" dataCellStyle="Internal link/lookup"/>
    <tableColumn id="7" xr3:uid="{4EE5EB45-9330-4B64-B7A3-C08F48938D41}" name="Powercor" dataDxfId="738" dataCellStyle="Internal link/lookup"/>
    <tableColumn id="8" xr3:uid="{99C9DEB0-D84E-402A-BBDC-1CDA9A808BD7}" name="United Energy" dataDxfId="737" dataCellStyle="Internal link/lookup"/>
  </tableColumns>
  <tableStyleInfo name="Default tabl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814BBD54-9845-4747-B0FC-4306CC6FFD10}" name="Calc_EnviroSRES_2" displayName="Calc_EnviroSRES_2" ref="C491:K494" totalsRowShown="0" headerRowDxfId="736" headerRowBorderDxfId="735" tableBorderDxfId="734" headerRowCellStyle="Table col heading" dataCellStyle="Internal link/lookup">
  <tableColumns count="9">
    <tableColumn id="1" xr3:uid="{791A5626-6473-40AB-9ACB-89DB21A7706B}" name="Cost item" dataCellStyle="Table cell"/>
    <tableColumn id="2" xr3:uid="{5511F733-1BC6-4C83-BDCA-2DACD06711C1}" name="Fixed/Variable" dataCellStyle="Table cell"/>
    <tableColumn id="3" xr3:uid="{4BB6E085-34C6-4694-AFAC-02FEBC452056}" name="Unit" dataCellStyle="Table cell"/>
    <tableColumn id="9" xr3:uid="{23533F4A-2712-4732-89B5-7AA0D1A80ABF}" name="Customer type" dataCellStyle="Table cell"/>
    <tableColumn id="4" xr3:uid="{5C3D7028-D35B-4243-9BD5-803DE0C1F090}" name="Ausnet" dataDxfId="733" dataCellStyle="Internal link/lookup"/>
    <tableColumn id="5" xr3:uid="{2A46EF8F-490F-41DC-BB79-D94A9890A10A}" name="Citipower" dataDxfId="732" dataCellStyle="Internal link/lookup"/>
    <tableColumn id="6" xr3:uid="{9CEE5387-7B05-4CC5-82B7-0186B5B65A5A}" name="Jemena" dataDxfId="731" dataCellStyle="Internal link/lookup"/>
    <tableColumn id="7" xr3:uid="{81F3FABF-D50E-455F-9DE6-D4EE60D73723}" name="Powercor" dataDxfId="730" dataCellStyle="Internal link/lookup"/>
    <tableColumn id="8" xr3:uid="{B347FCC2-B745-42AC-8178-54348C53A812}" name="United Energy" dataDxfId="729" dataCellStyle="Internal link/lookup"/>
  </tableColumns>
  <tableStyleInfo name="Default tabl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D51D2367-9227-4BB4-96FF-F19EC747EAA3}" name="Calc_FiT_2" displayName="Calc_FiT_2" ref="C497:K498" totalsRowShown="0" headerRowDxfId="728" headerRowBorderDxfId="727" tableBorderDxfId="726" totalsRowBorderDxfId="725" headerRowCellStyle="Table col heading" dataCellStyle="Table cell">
  <tableColumns count="9">
    <tableColumn id="1" xr3:uid="{87D3B033-452C-4EAA-8C49-35E3405C2143}" name="Cost item" dataDxfId="724" dataCellStyle="Table cell"/>
    <tableColumn id="2" xr3:uid="{88359BC3-F007-4EE1-9B81-A4C460102BB2}" name="Fixed/Variable" dataDxfId="723" dataCellStyle="Table cell"/>
    <tableColumn id="3" xr3:uid="{6626E15A-F702-4BE7-A73A-E6EA86DA6540}" name="Unit" dataDxfId="722" dataCellStyle="Table cell"/>
    <tableColumn id="9" xr3:uid="{375ED3D3-A6C3-4331-B4C7-7DB2F31B8B1F}" name="Customer type" dataDxfId="721" dataCellStyle="Table cell"/>
    <tableColumn id="4" xr3:uid="{36245F65-6230-4EA2-BF7F-0CC113135C97}" name="Ausnet" dataDxfId="720" dataCellStyle="Calculation">
      <calculatedColumnFormula array="1">IFERROR(
(IFERROR(INDEX(Calc_CPI_2[[CPI uplift factor]:[CPI uplift factor]],MATCH($C498,Calc_CPI_2[[Cost item]:[Cost item]],0),1),0)+
INDEX(Input_ForRateCalc[[F-PreviousVDO_InputDate]:[F-CurrentVDO_Input]],MATCH(Calc_FiT_2[[#This Row],[Cost item]:[Cost item]],Input_ForRateCalc[[Cost item]:[Cost item]],0),MATCH($D$254,Inputs!$H$8:$Q$8,0))),"-")</calculatedColumnFormula>
    </tableColumn>
    <tableColumn id="5" xr3:uid="{CA2D09F7-DE00-4523-8ABA-06C29613DAF0}" name="Citipower" dataDxfId="719" dataCellStyle="Calculation">
      <calculatedColumnFormula array="1">IFERROR(
(IFERROR(INDEX(Calc_CPI_2[[CPI uplift factor]:[CPI uplift factor]],MATCH($C498,Calc_CPI_2[[Cost item]:[Cost item]],0),1),0)+
INDEX(Input_ForRateCalc[[F-PreviousVDO_InputDate]:[F-CurrentVDO_Input]],MATCH(Calc_FiT_2[[#This Row],[Cost item]:[Cost item]],Input_ForRateCalc[[Cost item]:[Cost item]],0),MATCH($D$254,Inputs!$H$8:$Q$8,0))),"-")</calculatedColumnFormula>
    </tableColumn>
    <tableColumn id="6" xr3:uid="{2815AC9D-D500-4E33-A24F-57B0B3A74BA5}" name="Jemena" dataDxfId="718" dataCellStyle="Calculation">
      <calculatedColumnFormula array="1">IFERROR(
(IFERROR(INDEX(Calc_CPI_2[[CPI uplift factor]:[CPI uplift factor]],MATCH($C498,Calc_CPI_2[[Cost item]:[Cost item]],0),1),0)+
INDEX(Input_ForRateCalc[[F-PreviousVDO_InputDate]:[F-CurrentVDO_Input]],MATCH(Calc_FiT_2[[#This Row],[Cost item]:[Cost item]],Input_ForRateCalc[[Cost item]:[Cost item]],0),MATCH($D$254,Inputs!$H$8:$Q$8,0))),"-")</calculatedColumnFormula>
    </tableColumn>
    <tableColumn id="7" xr3:uid="{F06523DB-0763-4ABE-944B-6D5B8C4BAA9D}" name="Powercor" dataDxfId="717" dataCellStyle="Calculation">
      <calculatedColumnFormula array="1">IFERROR(
(IFERROR(INDEX(Calc_CPI_2[[CPI uplift factor]:[CPI uplift factor]],MATCH($C498,Calc_CPI_2[[Cost item]:[Cost item]],0),1),0)+
INDEX(Input_ForRateCalc[[F-PreviousVDO_InputDate]:[F-CurrentVDO_Input]],MATCH(Calc_FiT_2[[#This Row],[Cost item]:[Cost item]],Input_ForRateCalc[[Cost item]:[Cost item]],0),MATCH($D$254,Inputs!$H$8:$Q$8,0))),"-")</calculatedColumnFormula>
    </tableColumn>
    <tableColumn id="8" xr3:uid="{FE932EEE-12EB-40EF-9237-94951095FD12}" name="United Energy" dataDxfId="716" dataCellStyle="Calculation">
      <calculatedColumnFormula array="1">IFERROR(
(IFERROR(INDEX(Calc_CPI_2[[CPI uplift factor]:[CPI uplift factor]],MATCH($C498,Calc_CPI_2[[Cost item]:[Cost item]],0),1),0)+
INDEX(Input_ForRateCalc[[F-PreviousVDO_InputDate]:[F-CurrentVDO_Input]],MATCH(Calc_FiT_2[[#This Row],[Cost item]:[Cost item]],Input_ForRateCalc[[Cost item]:[Cost item]],0),MATCH($D$254,Inputs!$H$8:$Q$8,0))),"-")</calculatedColumnFormula>
    </tableColumn>
  </tableColumns>
  <tableStyleInfo name="Default tabl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9CD68F95-F088-46C9-93E7-6B5656B787E5}" name="Calc_Fixed_2" displayName="Calc_Fixed_2" ref="C258:K262" totalsRowShown="0" headerRowDxfId="715" dataDxfId="713" headerRowBorderDxfId="714" tableBorderDxfId="712" totalsRowBorderDxfId="711" headerRowCellStyle="Table col heading" dataCellStyle="Calculation">
  <tableColumns count="9">
    <tableColumn id="1" xr3:uid="{6D433DCD-FDD1-461C-BE51-5F64B0028857}" name="Fixed costs" dataCellStyle="Table cell"/>
    <tableColumn id="2" xr3:uid="{ADD02781-6CE5-4079-841C-11C03E2E9665}" name="Fixed/Variable" dataCellStyle="Table cell"/>
    <tableColumn id="3" xr3:uid="{1A92D67E-B492-4C85-8E9E-B5B091B406F6}" name="Unit" dataCellStyle="Table cell"/>
    <tableColumn id="4" xr3:uid="{472EC734-2FCF-49D5-9742-7BF822185EDF}" name="Customer type" dataCellStyle="Table cell"/>
    <tableColumn id="5" xr3:uid="{D7EEA12E-6348-4F58-8BC0-7924D6482FE3}" name="Ausnet" dataDxfId="710" dataCellStyle="Calculation"/>
    <tableColumn id="6" xr3:uid="{6CBEE716-3155-4B4C-AF50-A4352518DBD3}" name="Citipower" dataDxfId="709" dataCellStyle="Calculation"/>
    <tableColumn id="7" xr3:uid="{F520C065-E9F5-4EDB-8DA0-EBF051D23BA5}" name="Jemena" dataDxfId="708" dataCellStyle="Calculation"/>
    <tableColumn id="8" xr3:uid="{D9BCCDE5-85BC-4D9C-9B03-D4A1BA943D08}" name="Powercor" dataDxfId="707" dataCellStyle="Calculation"/>
    <tableColumn id="9" xr3:uid="{7F674C9A-9F59-4BC3-B55A-1EF91EB24F45}" name="United Energy" dataDxfId="706" dataCellStyle="Calculation"/>
  </tableColumns>
  <tableStyleInfo name="Default tabl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507C4114-DAEF-40E2-A897-DCCBA31E9DF7}" name="Calc_Variable_2" displayName="Calc_Variable_2" ref="C299:K305" totalsRowShown="0" headerRowDxfId="705" dataDxfId="703" headerRowBorderDxfId="704" tableBorderDxfId="702" totalsRowBorderDxfId="701" headerRowCellStyle="Table col heading" dataCellStyle="Calculation">
  <tableColumns count="9">
    <tableColumn id="1" xr3:uid="{E9428663-265E-4639-87C7-9F3BDBC5CB8E}" name="Variable costs" dataCellStyle="Table cell"/>
    <tableColumn id="2" xr3:uid="{4887F817-6E0C-4AC4-8D7F-575231CC1492}" name="Fixed/Variable" dataCellStyle="Table cell"/>
    <tableColumn id="3" xr3:uid="{A9B72F22-10DA-429E-8D83-86BB113D7F7D}" name="Unit" dataCellStyle="Table cell"/>
    <tableColumn id="4" xr3:uid="{25484AC1-7C71-4B3F-B0B2-22999836C216}" name="Customer type" dataCellStyle="Table cell"/>
    <tableColumn id="5" xr3:uid="{A6B6DA7D-C141-458D-B657-090C44FFD74B}" name="Ausnet" dataDxfId="700" dataCellStyle="Calculation">
      <calculatedColumnFormula>SUMIFS(Calc_NetworkV_1[Ausnet],Calc_NetworkV_1[[Cost item]:[Cost item]],$C300,Calc_NetworkV_1[[Customer type]:[Customer type]],$F300)</calculatedColumnFormula>
    </tableColumn>
    <tableColumn id="6" xr3:uid="{847207F5-00A7-4B3E-AEB3-B65DA23D2D91}" name="Citipower" dataDxfId="699" dataCellStyle="Calculation">
      <calculatedColumnFormula>SUMIFS(Calc_NetworkV_1[Citipower],Calc_NetworkV_1[[Cost item]:[Cost item]],$C300,Calc_NetworkV_1[[Customer type]:[Customer type]],$F300)</calculatedColumnFormula>
    </tableColumn>
    <tableColumn id="7" xr3:uid="{0C1FD2BC-AE5F-4E00-AC3A-28398FA94E09}" name="Jemena" dataDxfId="698" dataCellStyle="Calculation">
      <calculatedColumnFormula>SUMIFS(Calc_NetworkV_1[Jemena],Calc_NetworkV_1[[Cost item]:[Cost item]],$C300,Calc_NetworkV_1[[Customer type]:[Customer type]],$F300)</calculatedColumnFormula>
    </tableColumn>
    <tableColumn id="8" xr3:uid="{E174452F-B3A9-4A57-BB2E-7C173F27A50E}" name="Powercor" dataDxfId="697" dataCellStyle="Calculation">
      <calculatedColumnFormula>SUMIFS(Calc_NetworkV_1[Powercor],Calc_NetworkV_1[[Cost item]:[Cost item]],$C300,Calc_NetworkV_1[[Customer type]:[Customer type]],$F300)</calculatedColumnFormula>
    </tableColumn>
    <tableColumn id="9" xr3:uid="{141CD577-64AA-4FBA-A116-0412EB02F72E}" name="United Energy" dataDxfId="696" dataCellStyle="Calculation">
      <calculatedColumnFormula>SUMIFS(Calc_NetworkV_1[United Energy],Calc_NetworkV_1[[Cost item]:[Cost item]],$C300,Calc_NetworkV_1[[Customer type]:[Customer type]],$F300)</calculatedColumnFormula>
    </tableColumn>
  </tableColumns>
  <tableStyleInfo name="Default tabl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ED4BA07-FFEF-46D7-8C6B-485F53BD797C}" name="Calc_TUV_Env_1" displayName="Calc_TUV_Env_1" ref="C15:O57" totalsRowShown="0" headerRowDxfId="695" headerRowBorderDxfId="694" tableBorderDxfId="693" headerRowCellStyle="Table col heading" dataCellStyle="Table cell">
  <tableColumns count="13">
    <tableColumn id="1" xr3:uid="{9A3E1522-EF60-458C-A033-8259CC991250}" name="Cost item" dataCellStyle="Table cell"/>
    <tableColumn id="3" xr3:uid="{AA6A5485-9931-42FB-A21B-7887DFCCA014}" name="VDO decision" dataCellStyle="Table cell"/>
    <tableColumn id="11" xr3:uid="{63469E02-A8E6-4904-A4D1-AA605090A9A1}" name="Decision/Actual" dataCellStyle="Table cell"/>
    <tableColumn id="13" xr3:uid="{6A4C01CA-5362-400A-B621-C790E4ECD057}" name="Decision ref" dataCellStyle="Table cell"/>
    <tableColumn id="4" xr3:uid="{8ABEC6A4-07CC-490E-98FE-DD358CAF5DEF}" name="Pass through (Yes/No)" dataCellStyle="Table cell"/>
    <tableColumn id="12" xr3:uid="{9AA432CC-A2AE-4FBD-93D9-8298E3AA8C5C}" name="Fixed/Variable" dataCellStyle="Table cell"/>
    <tableColumn id="2" xr3:uid="{83818C8B-F883-42B7-993F-A248AF1DD74B}" name="Unit" dataCellStyle="Table cell"/>
    <tableColumn id="5" xr3:uid="{768912C1-1664-4D27-8D20-D52821CA2B28}" name="Customer type" dataCellStyle="Table cell"/>
    <tableColumn id="6" xr3:uid="{04DDD5E9-508C-40C4-947C-1D357D975B8B}" name="Ausnet" dataDxfId="692" dataCellStyle="Table cell"/>
    <tableColumn id="7" xr3:uid="{CD0C679D-D835-4294-85E9-654B7B6E8BE3}" name="Citipower" dataDxfId="691" dataCellStyle="Table cell"/>
    <tableColumn id="8" xr3:uid="{02ABE665-7668-45F8-AD39-37CF4EF95002}" name="Jemena" dataDxfId="690" dataCellStyle="Table cell"/>
    <tableColumn id="9" xr3:uid="{79A5E329-7BA6-4A9F-8AC8-3B57AFA0DAD3}" name="Powercor" dataDxfId="689" dataCellStyle="Table cell"/>
    <tableColumn id="10" xr3:uid="{1C09CFC8-36A6-407C-B07B-AAF64193F92A}" name="United Energy" dataDxfId="688" dataCellStyle="Table cell"/>
  </tableColumns>
  <tableStyleInfo name="Default tabl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2BD8368D-D2AA-4ABB-80C1-FE62922A7BBF}" name="Calc_TUV_Env_2" displayName="Calc_TUV_Env_2" ref="C245:O287" totalsRowShown="0" headerRowDxfId="687" headerRowBorderDxfId="686" tableBorderDxfId="685" headerRowCellStyle="Table col heading" dataCellStyle="Table cell">
  <tableColumns count="13">
    <tableColumn id="1" xr3:uid="{DEAB59F0-3313-48E1-848D-A0C5FC8C4A7D}" name="Cost item" dataCellStyle="Table cell"/>
    <tableColumn id="11" xr3:uid="{07468E5A-1C05-4869-8028-31B5FD6FE643}" name="VDO decision" dataCellStyle="Table cell"/>
    <tableColumn id="12" xr3:uid="{E0CA252D-08A0-47E0-AE7D-A94CDBF23AEB}" name="Decision/Actual" dataCellStyle="Table cell"/>
    <tableColumn id="13" xr3:uid="{8E626171-48B0-4F76-8FBA-CD121EEF8146}" name="Decision ref" dataCellStyle="Table cell"/>
    <tableColumn id="4" xr3:uid="{90758148-81F3-46AE-977E-3B565EE1655E}" name="Pass through (Yes/No)" dataCellStyle="Table cell"/>
    <tableColumn id="3" xr3:uid="{F3E9F982-5696-4FC0-9018-6739485A8E32}" name="Fixed/Variable" dataCellStyle="Table cell"/>
    <tableColumn id="2" xr3:uid="{E2711737-C5E5-4DFE-B4D7-6C39AB9F3BBA}" name="Unit" dataCellStyle="Table cell"/>
    <tableColumn id="5" xr3:uid="{F1CEFF4A-CFB0-4FB8-B8F7-00ACC7559123}" name="Customer type" dataCellStyle="Table cell"/>
    <tableColumn id="6" xr3:uid="{19C836A4-81F0-4E02-8F62-124FF79FB078}" name="Ausnet" dataDxfId="684" dataCellStyle="Table cell"/>
    <tableColumn id="7" xr3:uid="{AEE24C25-A8BC-420E-B521-18899E5AA37E}" name="Citipower" dataDxfId="683" dataCellStyle="Table cell"/>
    <tableColumn id="8" xr3:uid="{AEB8CFC9-76A8-427E-A724-08B3A335C7AF}" name="Jemena" dataDxfId="682" dataCellStyle="Table cell"/>
    <tableColumn id="9" xr3:uid="{96BC78E1-488C-466C-AC22-9843F217394B}" name="Powercor" dataDxfId="681" dataCellStyle="Table cell"/>
    <tableColumn id="10" xr3:uid="{745E68ED-8623-427C-AE81-7FDF8DAA9F5A}" name="United Energy" dataDxfId="680" dataCellStyle="Table cell"/>
  </tableColumns>
  <tableStyleInfo name="Default tabl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6B3887C2-F913-4ADF-BCE5-B4DB6FECDE42}" name="Calc_TUV_Net_1" displayName="Calc_TUV_Net_1" ref="C103:O230" totalsRowShown="0" headerRowDxfId="679" headerRowBorderDxfId="678" tableBorderDxfId="677" headerRowCellStyle="Table col heading" dataCellStyle="Table cell">
  <tableColumns count="13">
    <tableColumn id="1" xr3:uid="{C8BD7E1E-1DD8-46D7-A978-1371F62E5C22}" name="Cost item" dataCellStyle="Table cell"/>
    <tableColumn id="3" xr3:uid="{BB851345-3385-4E9C-BBF0-1BB75D6986E3}" name="VDO decision" dataCellStyle="Table cell"/>
    <tableColumn id="11" xr3:uid="{2B5E42B7-64E5-4CF9-903A-7E0F07472F89}" name="Decision/Actual" dataDxfId="676" dataCellStyle="Table cell"/>
    <tableColumn id="13" xr3:uid="{97AFA7C6-4729-480D-A539-A29F6733B180}" name="Decision ref" dataDxfId="675" dataCellStyle="Table cell"/>
    <tableColumn id="4" xr3:uid="{6C80B2D3-AB24-44F7-9DCD-E09360E88A84}" name="Pass through (Yes/No)" dataCellStyle="Table cell"/>
    <tableColumn id="12" xr3:uid="{FAF72939-7F43-4CA3-84B9-7001023E887A}" name="Fixed/Variable" dataCellStyle="Table cell"/>
    <tableColumn id="2" xr3:uid="{2B3E2C74-E92B-4B9B-BB93-24F7CEA69A4D}" name="Unit" dataCellStyle="Table cell"/>
    <tableColumn id="5" xr3:uid="{4C99CA6A-B8ED-4428-9001-5AF3B5520E55}" name="Customer type" dataCellStyle="Table cell"/>
    <tableColumn id="6" xr3:uid="{CF828979-524A-4DF9-B9B9-A6566CC50F44}" name="Ausnet" dataDxfId="674" dataCellStyle="Table cell">
      <calculatedColumnFormula>INDEX(Input_ForRateCalc[],MATCH($C104&amp;" - "&amp;K$103,Input_ForRateCalc[Cost item],0),MATCH(#REF!,Inputs!$C$8:$Q$8,0))</calculatedColumnFormula>
    </tableColumn>
    <tableColumn id="7" xr3:uid="{E72609C9-3164-4E3F-A82E-30ED89F2C915}" name="Citipower" dataDxfId="673" dataCellStyle="Table cell"/>
    <tableColumn id="8" xr3:uid="{ACFA6199-47C9-4850-BA0D-492483CB2DEB}" name="Jemena" dataDxfId="672" dataCellStyle="Table cell"/>
    <tableColumn id="9" xr3:uid="{0CCEDAC3-4F03-43F7-BBA9-1A2EBDE5BE72}" name="Powercor" dataDxfId="671" dataCellStyle="Table cell"/>
    <tableColumn id="10" xr3:uid="{AAB1F354-BEAF-414F-BA5C-28182E45CA95}" name="United Energy" dataDxfId="670" dataCellStyle="Table cell"/>
  </tableColumns>
  <tableStyleInfo name="Default tabl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2DAC482D-F423-4BB1-8E59-F00A38D3CBB1}" name="OP_RatesTU_RES_2" displayName="OP_RatesTU_RES_2" ref="C103:K112" totalsRowShown="0" headerRowDxfId="1059" headerRowBorderDxfId="1058" tableBorderDxfId="1057" headerRowCellStyle="Table col heading" dataCellStyle="Internal link/lookup">
  <tableColumns count="9">
    <tableColumn id="1" xr3:uid="{E6DACF48-AAD3-4B44-8D3A-458714AA3224}" name="Rate name" dataDxfId="1056" dataCellStyle="Table cell"/>
    <tableColumn id="2" xr3:uid="{811FF1AC-CED0-4823-AEE8-4CD78F706245}" name="Unit" dataDxfId="1055" dataCellStyle="Table cell"/>
    <tableColumn id="3" xr3:uid="{BC4BC08A-6590-4549-AE2B-11F5B4196FEC}" name="Customer type" dataDxfId="1054" dataCellStyle="Table cell"/>
    <tableColumn id="4" xr3:uid="{F70B0783-4C97-416B-A3FA-83DEEC36DD93}" name="Cost element" dataDxfId="1053" dataCellStyle="Table cell"/>
    <tableColumn id="5" xr3:uid="{D6B56A29-DEAB-4BAF-9917-AEABCE4AAD1E}" name="Ausnet" dataDxfId="1052" dataCellStyle="Internal link/lookup">
      <calculatedColumnFormula array="1">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name]]),0),MATCH(OP_RatesTU_RES_2[[#Headers],[Ausnet]],Calc_TUR_Net_2[[#Headers],[Ausnet]:[United Energy]],0)),
INDEX(Calc_TUR_NetCL_2[[Ausnet]:[United Energy]],MATCH(OP_RatesTU_RES_2[[#This Row],[Customer type]:[Customer type]],Calc_TUR_NetCL_2[[Customer type]:[Customer type]],0),MATCH(OP_RatesTU_RES_2[[#Headers],[Ausnet]],Calc_TUR_NetCL_2[[#Headers],[Ausnet]:[United Energy]],0))),
IF(OP_RatesTU_RES_2[[#This Row],[Cost element]:[Cost element]]="Environmental",
SUMIFS(INDEX(Calc_TUR_ENV_2[[Ausnet]:[United Energy]],0,MATCH(OP_RatesTU_RES_2[[#Headers],[Ausnet]],Calc_TUR_ENV_2[[#Headers],[Ausnet]:[United Energy]],0)),
Calc_TUR_ENV_2[[Customer type]:[Customer type]],OP_RatesTU_RES_2[[#This Row],[Customer type]:[Customer type]],Calc_TUR_ENV_2[[Rate type]:[Rate type]],OP_RatesTU_RES_2[[#This Row],[Rate name]:[Rate name]]),
"-")),"-")</calculatedColumnFormula>
    </tableColumn>
    <tableColumn id="6" xr3:uid="{EA6FD84F-66D4-4F51-A153-F8802F930F0F}" name="Citipower" dataDxfId="1051" dataCellStyle="Internal link/lookup">
      <calculatedColumnFormula array="1">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name]]),0),MATCH(OP_RatesTU_RES_2[[#Headers],[Citipower]],Calc_TUR_Net_2[[#Headers],[Ausnet]:[United Energy]],0)),
INDEX(Calc_TUR_NetCL_2[[Ausnet]:[United Energy]],MATCH(OP_RatesTU_RES_2[[#This Row],[Customer type]:[Customer type]],Calc_TUR_NetCL_2[[Customer type]:[Customer type]],0),MATCH(OP_RatesTU_RES_2[[#Headers],[Citipower]],Calc_TUR_NetCL_2[[#Headers],[Ausnet]:[United Energy]],0))),
IF(OP_RatesTU_RES_2[[#This Row],[Cost element]:[Cost element]]="Environmental",
SUMIFS(INDEX(Calc_TUR_ENV_2[[Ausnet]:[United Energy]],0,MATCH(OP_RatesTU_RES_2[[#Headers],[Citipower]],Calc_TUR_ENV_2[[#Headers],[Ausnet]:[United Energy]],0)),
Calc_TUR_ENV_2[[Customer type]:[Customer type]],OP_RatesTU_RES_2[[#This Row],[Customer type]:[Customer type]],Calc_TUR_ENV_2[[Rate type]:[Rate type]],OP_RatesTU_RES_2[[#This Row],[Rate name]:[Rate name]]),
"-")),"-")</calculatedColumnFormula>
    </tableColumn>
    <tableColumn id="7" xr3:uid="{2E9A544A-3531-4E17-9996-F185A676A58E}" name="Jemena" dataDxfId="1050" dataCellStyle="Internal link/lookup">
      <calculatedColumnFormula array="1">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name]]),0),MATCH(OP_RatesTU_RES_2[[#Headers],[Jemena]],Calc_TUR_Net_2[[#Headers],[Ausnet]:[United Energy]],0)),
INDEX(Calc_TUR_NetCL_2[[Ausnet]:[United Energy]],MATCH(OP_RatesTU_RES_2[[#This Row],[Customer type]:[Customer type]],Calc_TUR_NetCL_2[[Customer type]:[Customer type]],0),MATCH(OP_RatesTU_RES_2[[#Headers],[Jemena]],Calc_TUR_NetCL_2[[#Headers],[Ausnet]:[United Energy]],0))),
IF(OP_RatesTU_RES_2[[#This Row],[Cost element]:[Cost element]]="Environmental",
SUMIFS(INDEX(Calc_TUR_ENV_2[[Ausnet]:[United Energy]],0,MATCH(OP_RatesTU_RES_2[[#Headers],[Jemena]],Calc_TUR_ENV_2[[#Headers],[Ausnet]:[United Energy]],0)),
Calc_TUR_ENV_2[[Customer type]:[Customer type]],OP_RatesTU_RES_2[[#This Row],[Customer type]:[Customer type]],Calc_TUR_ENV_2[[Rate type]:[Rate type]],OP_RatesTU_RES_2[[#This Row],[Rate name]:[Rate name]]),
"-")),"-")</calculatedColumnFormula>
    </tableColumn>
    <tableColumn id="8" xr3:uid="{B159A814-6932-40BB-8657-EE60FC7A8539}" name="Powercor" dataDxfId="1049" dataCellStyle="Internal link/lookup">
      <calculatedColumnFormula array="1">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name]]),0),MATCH(OP_RatesTU_RES_2[[#Headers],[Powercor]],Calc_TUR_Net_2[[#Headers],[Ausnet]:[United Energy]],0)),
INDEX(Calc_TUR_NetCL_2[[Ausnet]:[United Energy]],MATCH(OP_RatesTU_RES_2[[#This Row],[Customer type]:[Customer type]],Calc_TUR_NetCL_2[[Customer type]:[Customer type]],0),MATCH(OP_RatesTU_RES_2[[#Headers],[Powercor]],Calc_TUR_NetCL_2[[#Headers],[Ausnet]:[United Energy]],0))),
IF(OP_RatesTU_RES_2[[#This Row],[Cost element]:[Cost element]]="Environmental",
SUMIFS(INDEX(Calc_TUR_ENV_2[[Ausnet]:[United Energy]],0,MATCH(OP_RatesTU_RES_2[[#Headers],[Powercor]],Calc_TUR_ENV_2[[#Headers],[Ausnet]:[United Energy]],0)),
Calc_TUR_ENV_2[[Customer type]:[Customer type]],OP_RatesTU_RES_2[[#This Row],[Customer type]:[Customer type]],Calc_TUR_ENV_2[[Rate type]:[Rate type]],OP_RatesTU_RES_2[[#This Row],[Rate name]:[Rate name]]),
"-")),"-")</calculatedColumnFormula>
    </tableColumn>
    <tableColumn id="9" xr3:uid="{E5EFB52A-128C-463D-BA62-7C010A23850E}" name="United Energy" dataDxfId="1048" dataCellStyle="Internal link/lookup">
      <calculatedColumnFormula array="1">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name]]),0),MATCH(OP_RatesTU_RES_2[[#Headers],[United Energy]],Calc_TUR_Net_2[[#Headers],[Ausnet]:[United Energy]],0)),
INDEX(Calc_TUR_NetCL_2[[Ausnet]:[United Energy]],MATCH(OP_RatesTU_RES_2[[#This Row],[Customer type]:[Customer type]],Calc_TUR_NetCL_2[[Customer type]:[Customer type]],0),MATCH(OP_RatesTU_RES_2[[#Headers],[United Energy]],Calc_TUR_NetCL_2[[#Headers],[Ausnet]:[United Energy]],0))),
IF(OP_RatesTU_RES_2[[#This Row],[Cost element]:[Cost element]]="Environmental",
SUMIFS(INDEX(Calc_TUR_ENV_2[[Ausnet]:[United Energy]],0,MATCH(OP_RatesTU_RES_2[[#Headers],[United Energy]],Calc_TUR_ENV_2[[#Headers],[Ausnet]:[United Energy]],0)),
Calc_TUR_ENV_2[[Customer type]:[Customer type]],OP_RatesTU_RES_2[[#This Row],[Customer type]:[Customer type]],Calc_TUR_ENV_2[[Rate type]:[Rate type]],OP_RatesTU_RES_2[[#This Row],[Rate name]:[Rate name]]),
"-")),"-")</calculatedColumnFormula>
    </tableColumn>
  </tableColumns>
  <tableStyleInfo name="Default tabl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F98EC66F-AA68-4EDB-80C0-49E40603808F}" name="Calc_TUV_Net_2" displayName="Calc_TUV_Net_2" ref="C334:O461" totalsRowShown="0" headerRowDxfId="669" headerRowBorderDxfId="668" tableBorderDxfId="667" headerRowCellStyle="Table col heading" dataCellStyle="Table cell">
  <tableColumns count="13">
    <tableColumn id="1" xr3:uid="{802AF59F-8604-4B66-B903-49ADFE4E3CCF}" name="Cost item" dataCellStyle="Table cell"/>
    <tableColumn id="3" xr3:uid="{8EB27DDD-18AE-433F-A5B3-E76F9D20AD45}" name="VDO decision" dataCellStyle="Table cell"/>
    <tableColumn id="11" xr3:uid="{054988D7-4073-41D7-B3ED-090DF14BF35A}" name="Decision/Actual" dataDxfId="666" dataCellStyle="Table cell"/>
    <tableColumn id="13" xr3:uid="{BA0352E2-EB7C-493C-8993-65E9EE06C836}" name="Decision ref" dataDxfId="665" dataCellStyle="Table cell"/>
    <tableColumn id="4" xr3:uid="{B8CE70A9-6CC9-4624-8AEC-7C8BCC92192C}" name="Pass through (Yes/No)" dataCellStyle="Table cell"/>
    <tableColumn id="12" xr3:uid="{FEDE33B8-16DB-4276-A069-90785447428F}" name="Fixed/Variable" dataCellStyle="Table cell"/>
    <tableColumn id="2" xr3:uid="{ACF285C0-BF63-4F73-AB4F-234265ED90CC}" name="Unit" dataCellStyle="Table cell"/>
    <tableColumn id="5" xr3:uid="{ADAC2617-D3E7-4BB8-A4F4-61EC5A4F109C}" name="Customer type" dataCellStyle="Table cell"/>
    <tableColumn id="6" xr3:uid="{DA662F0E-03DC-4EB7-A888-9EACD0EA6005}" name="Ausnet" dataDxfId="664" dataCellStyle="Table cell">
      <calculatedColumnFormula>INDEX(Input_ForRateCalc[],MATCH($C335&amp;" - "&amp;K$103,Input_ForRateCalc[Cost item],0),MATCH(#REF!,Inputs!$C$8:$Q$8,0))</calculatedColumnFormula>
    </tableColumn>
    <tableColumn id="7" xr3:uid="{7DB7A116-3678-474F-83C5-D1168C6C71C3}" name="Citipower" dataDxfId="663" dataCellStyle="Table cell"/>
    <tableColumn id="8" xr3:uid="{B5696C6B-ABCE-4541-B404-66A016EC8947}" name="Jemena" dataDxfId="662" dataCellStyle="Table cell"/>
    <tableColumn id="9" xr3:uid="{D039B53D-61BC-47A9-9CFB-2D46DD3B9A03}" name="Powercor" dataDxfId="661" dataCellStyle="Table cell"/>
    <tableColumn id="10" xr3:uid="{EF8C0228-0A1F-40C9-B385-AB92F6CA0C3C}" name="United Energy" dataDxfId="660" dataCellStyle="Table cell"/>
  </tableColumns>
  <tableStyleInfo name="Default tabl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2D055C5D-D1CA-45B7-8D3A-DEFFFED99BA7}" name="TUNet_Usage_Actual_2" displayName="TUNet_Usage_Actual_2" ref="C315:F322" totalsRowShown="0" headerRowDxfId="659" headerRowBorderDxfId="658" tableBorderDxfId="657" totalsRowBorderDxfId="656" headerRowCellStyle="Table col heading">
  <tableColumns count="4">
    <tableColumn id="1" xr3:uid="{28874C8A-C156-40BF-A055-DDB875FFA0D4}" name="Description"/>
    <tableColumn id="4" xr3:uid="{1B4BDA76-AE03-4FF7-9CFC-38F17C7DF6E4}" name="VDO decision"/>
    <tableColumn id="2" xr3:uid="{17A7A0D3-28A8-4CE6-936E-F72D83CD961B}" name="Customer type" dataDxfId="655" dataCellStyle="Table cell"/>
    <tableColumn id="3" xr3:uid="{7E3A8B2D-4674-4822-AF6C-48930867276F}" name="Value" dataDxfId="654" dataCellStyle="Table cell"/>
  </tableColumns>
  <tableStyleInfo name="Default tabl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5D4EB641-0DAC-4188-BFB1-262EBF68F214}" name="TUNet_Usage_Actual_1" displayName="TUNet_Usage_Actual_1" ref="C84:F91" totalsRowShown="0" headerRowDxfId="653" headerRowBorderDxfId="652" tableBorderDxfId="651" totalsRowBorderDxfId="650" headerRowCellStyle="Table col heading">
  <tableColumns count="4">
    <tableColumn id="1" xr3:uid="{DF878388-1FA3-415B-AEDD-161C1919B838}" name="Description"/>
    <tableColumn id="4" xr3:uid="{84EADD7B-F51E-412C-8E94-AC0CBC19B57F}" name="VDO decision" dataDxfId="649" dataCellStyle="Auto-populated">
      <calculatedColumnFormula>INDEX(Inputs!$H$10:$Q$10,1,MATCH($D$5,Inputs!$H$8:$Q$8,0))</calculatedColumnFormula>
    </tableColumn>
    <tableColumn id="2" xr3:uid="{425C28FB-44A3-4B7F-9A78-0A22116B43DA}" name="Customer type" dataDxfId="648" dataCellStyle="Table cell"/>
    <tableColumn id="3" xr3:uid="{E37F2044-12A9-4467-A63A-24B0657C5167}" name="Value" dataDxfId="647" dataCellStyle="Table cell"/>
  </tableColumns>
  <tableStyleInfo name="Default tabl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F45BCF77-CD47-4788-AE60-2582F6BED31B}" name="TUNet_Usage_PerRate_2" displayName="TUNet_Usage_PerRate_2" ref="C325:J331" totalsRowShown="0" headerRowDxfId="646" dataDxfId="644" headerRowBorderDxfId="645" tableBorderDxfId="643" headerRowCellStyle="Table col heading" dataCellStyle="Table cell">
  <tableColumns count="8">
    <tableColumn id="1" xr3:uid="{E8C7C3E9-1B26-46E0-A663-1DE39AE4D2C0}" name="Description" dataDxfId="642" dataCellStyle="Table cell"/>
    <tableColumn id="2" xr3:uid="{DF74788D-B1C9-4A01-B1A6-5EAF60A5F171}" name="VDO decision" dataDxfId="641" dataCellStyle="Auto-populated">
      <calculatedColumnFormula>INDEX(Inputs!$H$10:$Q$10,1,MATCH($D$235,Inputs!$H$8:$Q$8,0))</calculatedColumnFormula>
    </tableColumn>
    <tableColumn id="3" xr3:uid="{83EEC5EB-CF34-4F33-8180-0BEEF7880743}" name="Customer type" dataDxfId="640" dataCellStyle="Table cell"/>
    <tableColumn id="4" xr3:uid="{C1263D2C-8A88-4BC9-BAA1-B9848AFA365B}" name="Ausnet" dataDxfId="639" dataCellStyle="Table cell"/>
    <tableColumn id="5" xr3:uid="{3CF3B8DA-29D3-4ECD-9F95-B43381124E67}" name="Citipower" dataDxfId="638" dataCellStyle="Table cell"/>
    <tableColumn id="6" xr3:uid="{8443C700-E09C-4871-8A19-F1CF5F7F18C5}" name="Jemena" dataDxfId="637" dataCellStyle="Table cell"/>
    <tableColumn id="7" xr3:uid="{C0C7F693-766A-44F0-9355-01AF25816965}" name="Powercor" dataDxfId="636" dataCellStyle="Table cell"/>
    <tableColumn id="8" xr3:uid="{164E8A61-7E00-4646-A499-3A3CF12C6416}" name="United Energy" dataDxfId="635" dataCellStyle="Table cell"/>
  </tableColumns>
  <tableStyleInfo name="Default tabl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290D667-A4D7-4671-9874-2284EC2678F4}" name="TUNet_Usage_PerRate_1" displayName="TUNet_Usage_PerRate_1" ref="C94:J100" totalsRowShown="0" headerRowDxfId="634" dataDxfId="632" headerRowBorderDxfId="633" tableBorderDxfId="631" headerRowCellStyle="Table col heading" dataCellStyle="Table cell">
  <tableColumns count="8">
    <tableColumn id="1" xr3:uid="{6A8EE9E9-FD7F-4BAE-9667-4BEE14FBF643}" name="Description" dataDxfId="630" dataCellStyle="Table cell"/>
    <tableColumn id="2" xr3:uid="{71F24345-BDE3-4B02-B60B-052DAE341DAA}" name="VDO decision" dataDxfId="629" dataCellStyle="Auto-populated">
      <calculatedColumnFormula>INDEX(Inputs!$H$10:$Q$10,1,MATCH($D$5,Inputs!$H$8:$Q$8,0))</calculatedColumnFormula>
    </tableColumn>
    <tableColumn id="3" xr3:uid="{2DE31F73-71D0-4149-8C55-8C6CB0899630}" name="Customer type" dataDxfId="628" dataCellStyle="Table cell"/>
    <tableColumn id="4" xr3:uid="{559B296F-1ED7-477A-9A22-F41F2956040E}" name="Ausnet" dataDxfId="627" dataCellStyle="Table cell"/>
    <tableColumn id="5" xr3:uid="{9E6DF55C-DF9C-470F-87BB-1DE64F2879D3}" name="Citipower" dataDxfId="626" dataCellStyle="Table cell"/>
    <tableColumn id="6" xr3:uid="{DEB90EB0-CBB8-48EC-ACA0-948C53D65573}" name="Jemena" dataDxfId="625" dataCellStyle="Table cell"/>
    <tableColumn id="7" xr3:uid="{BCB28824-5A3E-47B5-B8F4-1BDD7B8F06D3}" name="Powercor" dataDxfId="624" dataCellStyle="Table cell"/>
    <tableColumn id="8" xr3:uid="{08441778-95AA-43DA-B706-B90571C5C6CA}" name="United Energy" dataDxfId="623" dataCellStyle="Table cell"/>
  </tableColumns>
  <tableStyleInfo name="Default tabl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4D2CFF59-1E5D-4A47-96A5-64C9EA3C528A}" name="Calc_TUV_NetGroup_1" displayName="Calc_TUV_NetGroup_1" ref="C10:L19" totalsRowShown="0" headerRowDxfId="622" headerRowBorderDxfId="621" tableBorderDxfId="620" totalsRowBorderDxfId="619" headerRowCellStyle="Table col heading" dataCellStyle="Table cell">
  <tableColumns count="10">
    <tableColumn id="1" xr3:uid="{8EF54E5A-D91D-4298-89FD-EFC67CFE0DD4}" name="Cost item" dataCellStyle="Table cell"/>
    <tableColumn id="2" xr3:uid="{84190791-6BFC-4A79-B93B-C4866579D043}" name="Fixed/Variable" dataCellStyle="Table cell"/>
    <tableColumn id="3" xr3:uid="{769CC324-A856-4800-B91F-1A2F23BCF882}" name="Unit" dataDxfId="618" dataCellStyle="Table cell"/>
    <tableColumn id="4" xr3:uid="{0869432B-AD12-48DC-AA94-60F2AF283928}" name="Customer type" dataCellStyle="Table cell"/>
    <tableColumn id="10" xr3:uid="{2D9A4D99-6B97-45E1-BFC0-B4B5F1A63637}" name="Cost element" dataCellStyle="Table cell"/>
    <tableColumn id="5" xr3:uid="{633ADCA7-E47D-4FBF-B95A-08C92B09A782}" name="Ausnet" dataCellStyle="Table cell">
      <calculatedColumnFormula array="1">IFERROR(SUMIFS(INDEX(Calc_TUV_Net_1[[Ausnet]:[United Energy]],0,MATCH(Calc_TUV_NetGroup_1[[#Headers],[Ausnet]],Calc_TUV_Net_1[[#Headers],[Ausnet]:[United Energy]],0)),
Calc_TUV_Net_1[Cost item],Calc_TUV_NetGroup_1[[#This Row],[Cost item]]&amp;" cost true up",
Calc_TUV_Net_1[Customer type],Calc_TUV_NetGroup_1[[#This Row],[Customer type]]),"-")</calculatedColumnFormula>
    </tableColumn>
    <tableColumn id="6" xr3:uid="{F041680C-4CA3-4784-93F1-6F2393CEA3D1}" name="Citipower" dataCellStyle="Table cell">
      <calculatedColumnFormula array="1">IFERROR(SUMIFS(INDEX(Calc_TUV_Net_1[[Ausnet]:[United Energy]],0,MATCH(Calc_TUV_NetGroup_1[[#Headers],[Citipower]],Calc_TUV_Net_1[[#Headers],[Ausnet]:[United Energy]],0)),
Calc_TUV_Net_1[Cost item],Calc_TUV_NetGroup_1[[#This Row],[Cost item]]&amp;" cost true up",
Calc_TUV_Net_1[Customer type],Calc_TUV_NetGroup_1[[#This Row],[Customer type]]),"-")</calculatedColumnFormula>
    </tableColumn>
    <tableColumn id="7" xr3:uid="{EAEA72E6-8228-47AC-A1B7-9E9AD032E3C2}" name="Jemena" dataCellStyle="Table cell">
      <calculatedColumnFormula array="1">IFERROR(SUMIFS(INDEX(Calc_TUV_Net_1[[Ausnet]:[United Energy]],0,MATCH(Calc_TUV_NetGroup_1[[#Headers],[Jemena]],Calc_TUV_Net_1[[#Headers],[Ausnet]:[United Energy]],0)),
Calc_TUV_Net_1[Cost item],Calc_TUV_NetGroup_1[[#This Row],[Cost item]]&amp;" cost true up",
Calc_TUV_Net_1[Customer type],Calc_TUV_NetGroup_1[[#This Row],[Customer type]]),"-")</calculatedColumnFormula>
    </tableColumn>
    <tableColumn id="8" xr3:uid="{4375E2F2-823F-43AA-9CF8-D2D45DCDED3C}" name="Powercor" dataCellStyle="Table cell">
      <calculatedColumnFormula array="1">IFERROR(SUMIFS(INDEX(Calc_TUV_Net_1[[Ausnet]:[United Energy]],0,MATCH(Calc_TUV_NetGroup_1[[#Headers],[Powercor]],Calc_TUV_Net_1[[#Headers],[Ausnet]:[United Energy]],0)),
Calc_TUV_Net_1[Cost item],Calc_TUV_NetGroup_1[[#This Row],[Cost item]]&amp;" cost true up",
Calc_TUV_Net_1[Customer type],Calc_TUV_NetGroup_1[[#This Row],[Customer type]]),"-")</calculatedColumnFormula>
    </tableColumn>
    <tableColumn id="9" xr3:uid="{CEE57B37-3775-45C1-98C7-DD7F7D8E2BA0}" name="United Energy" dataDxfId="617" dataCellStyle="Internal link/lookup">
      <calculatedColumnFormula array="1">IFERROR(SUMIFS(INDEX(Calc_TUV_Net_1[[Ausnet]:[United Energy]],0,MATCH(Calc_TUV_NetGroup_1[[#Headers],[United Energy]],Calc_TUV_Net_1[[#Headers],[Ausnet]:[United Energy]],0)),
Calc_TUV_Net_1[Cost item],Calc_TUV_NetGroup_1[[#This Row],[Cost item]]&amp;" cost true up",
Calc_TUV_Net_1[Customer type],Calc_TUV_NetGroup_1[[#This Row],[Customer type]]),"-")</calculatedColumnFormula>
    </tableColumn>
  </tableColumns>
  <tableStyleInfo name="Default tabl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A1D5CE5C-A7FD-4197-8202-4CC5CB5898FF}" name="Calc_TUR_Net_1" displayName="Calc_TUR_Net_1" ref="C27:L31" totalsRowShown="0" headerRowDxfId="616" headerRowBorderDxfId="615" tableBorderDxfId="614" totalsRowBorderDxfId="613" headerRowCellStyle="Table col heading" dataCellStyle="Table cell">
  <tableColumns count="10">
    <tableColumn id="1" xr3:uid="{96F69DDD-7037-4C9B-A249-9FA4BE31F052}" name="Rate type" dataCellStyle="Table cell"/>
    <tableColumn id="2" xr3:uid="{51C955C3-5452-4093-B916-4551E0C3E040}" name="Fixed/Variable" dataCellStyle="Table cell"/>
    <tableColumn id="3" xr3:uid="{E1277D1F-56B0-47A1-9F4F-B169635AF99E}" name="Unit" dataDxfId="612" dataCellStyle="Table cell"/>
    <tableColumn id="4" xr3:uid="{3E7740D7-E476-4509-87CD-7D23F9E3747F}" name="Customer type" dataCellStyle="Table cell"/>
    <tableColumn id="10" xr3:uid="{15876CB1-BDA5-40C1-AC3B-33A0F20AAC93}" name="Cost element" dataCellStyle="Table cell"/>
    <tableColumn id="5" xr3:uid="{7F803B0D-7C22-4C4A-9B48-AA4986ED7D5F}" name="Ausnet" dataDxfId="611" dataCellStyle="Table cell">
      <calculatedColumnFormula array="1">IFERROR(
(SUMIFS(Calc_TUV_NetGroup_1[Ausnet],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SUMIFS(Calc_TUV_NetGroup_1[Ausnet],
Calc_TUV_NetGroup_1[[Cost item]:[Cost item]],Calc_TUR_Net_1[[#This Row],[Rate type]:[Rate type]]&amp;" - usage",
Calc_TUV_NetGroup_1[[Customer type]:[Customer type]],Calc_TUR_Net_1[[#This Row],[Customer type]:[Customer type]],
Calc_TUV_NetGroup_1[[Cost element]:[Cost element]],Calc_TUR_Net_1[[#This Row],[Cost element]:[Cost element]]))
/$E$24,"-")</calculatedColumnFormula>
    </tableColumn>
    <tableColumn id="6" xr3:uid="{AA7550F8-9E8A-49A7-9D44-4F718B588574}" name="Citipower" dataCellStyle="Table cell">
      <calculatedColumnFormula array="1">IFERROR(
(SUMIFS(Calc_TUV_NetGroup_1[Citipower],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SUMIFS(Calc_TUV_NetGroup_1[Citipower],
Calc_TUV_NetGroup_1[[Cost item]:[Cost item]],Calc_TUR_Net_1[[#This Row],[Rate type]:[Rate type]]&amp;" - usage",
Calc_TUV_NetGroup_1[[Customer type]:[Customer type]],Calc_TUR_Net_1[[#This Row],[Customer type]:[Customer type]],
Calc_TUV_NetGroup_1[[Cost element]:[Cost element]],Calc_TUR_Net_1[[#This Row],[Cost element]:[Cost element]]))
/$E$24,"-")</calculatedColumnFormula>
    </tableColumn>
    <tableColumn id="7" xr3:uid="{39C8AE9E-CD64-486E-A690-2982460B8CBA}" name="Jemena" dataCellStyle="Table cell">
      <calculatedColumnFormula array="1">IFERROR(
(SUMIFS(Calc_TUV_NetGroup_1[Jemena],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SUMIFS(Calc_TUV_NetGroup_1[Jemena],
Calc_TUV_NetGroup_1[[Cost item]:[Cost item]],Calc_TUR_Net_1[[#This Row],[Rate type]:[Rate type]]&amp;" - usage",
Calc_TUV_NetGroup_1[[Customer type]:[Customer type]],Calc_TUR_Net_1[[#This Row],[Customer type]:[Customer type]],
Calc_TUV_NetGroup_1[[Cost element]:[Cost element]],Calc_TUR_Net_1[[#This Row],[Cost element]:[Cost element]]))
/$E$24,"-")</calculatedColumnFormula>
    </tableColumn>
    <tableColumn id="8" xr3:uid="{F9ECED3E-FBA7-4474-85E3-046AD064484D}" name="Powercor" dataCellStyle="Table cell">
      <calculatedColumnFormula array="1">IFERROR(
(SUMIFS(Calc_TUV_NetGroup_1[Powercor],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SUMIFS(Calc_TUV_NetGroup_1[Powercor],
Calc_TUV_NetGroup_1[[Cost item]:[Cost item]],Calc_TUR_Net_1[[#This Row],[Rate type]:[Rate type]]&amp;" - usage",
Calc_TUV_NetGroup_1[[Customer type]:[Customer type]],Calc_TUR_Net_1[[#This Row],[Customer type]:[Customer type]],
Calc_TUV_NetGroup_1[[Cost element]:[Cost element]],Calc_TUR_Net_1[[#This Row],[Cost element]:[Cost element]]))
/$E$24,"-")</calculatedColumnFormula>
    </tableColumn>
    <tableColumn id="9" xr3:uid="{3F3EEF4C-7BBA-4E7C-BF35-6557F7A4646C}" name="United Energy" dataCellStyle="Table cell">
      <calculatedColumnFormula array="1">IFERROR(
(SUMIFS(Calc_TUV_NetGroup_1[United Energy],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SUMIFS(Calc_TUV_NetGroup_1[United Energy],
Calc_TUV_NetGroup_1[[Cost item]:[Cost item]],Calc_TUR_Net_1[[#This Row],[Rate type]:[Rate type]]&amp;" - usage",
Calc_TUV_NetGroup_1[[Customer type]:[Customer type]],Calc_TUR_Net_1[[#This Row],[Customer type]:[Customer type]],
Calc_TUV_NetGroup_1[[Cost element]:[Cost element]],Calc_TUR_Net_1[[#This Row],[Cost element]:[Cost element]]))
/$E$24,"-")</calculatedColumnFormula>
    </tableColumn>
  </tableColumns>
  <tableStyleInfo name="Default tabl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FF52C258-3781-49C1-93FF-ED4580772ABC}" name="Calc_TUV_NetGroup_2" displayName="Calc_TUV_NetGroup_2" ref="C140:L149" totalsRowShown="0" headerRowDxfId="610" headerRowBorderDxfId="609" tableBorderDxfId="608" totalsRowBorderDxfId="607" headerRowCellStyle="Table col heading" dataCellStyle="Table cell">
  <tableColumns count="10">
    <tableColumn id="1" xr3:uid="{96D57AE1-EAFB-4AE0-9A16-5641BF28AB88}" name="Cost item" dataCellStyle="Table cell"/>
    <tableColumn id="2" xr3:uid="{45E5DC47-42D8-4C19-A53B-34F01C430921}" name="Fixed/Variable" dataCellStyle="Table cell"/>
    <tableColumn id="3" xr3:uid="{8A839F41-6127-4498-BB74-2A33BD70C444}" name="Unit" dataDxfId="606" dataCellStyle="Table cell"/>
    <tableColumn id="4" xr3:uid="{4AA6621C-AD01-4FA5-A52D-3B9C375567E2}" name="Customer type" dataCellStyle="Table cell"/>
    <tableColumn id="10" xr3:uid="{895BEAC1-AD7F-4A6E-97EF-2E1519C868CA}" name="Cost element" dataCellStyle="Table cell"/>
    <tableColumn id="5" xr3:uid="{74F5D4C2-2436-4C64-B88E-48412B7FA8CF}" name="Ausnet" dataDxfId="605" dataCellStyle="Internal link/lookup">
      <calculatedColumnFormula array="1">IFERROR(SUMIFS(INDEX(Calc_TUV_Net_2[[Ausnet]:[United Energy]],0,MATCH(Calc_TUV_NetGroup_2[[#Headers],[Ausnet]],Calc_TUV_Net_2[[#Headers],[Ausnet]:[United Energy]],0)),
Calc_TUV_Net_2[Cost item],Calc_TUV_NetGroup_2[[#This Row],[Cost item]]&amp;" cost true up",
Calc_TUV_Net_2[Customer type],Calc_TUV_NetGroup_2[[#This Row],[Customer type]]),"-")</calculatedColumnFormula>
    </tableColumn>
    <tableColumn id="6" xr3:uid="{74FFEFDF-9C46-4F0B-8874-6F37BD69D5B7}" name="Citipower" dataCellStyle="Table cell">
      <calculatedColumnFormula array="1">IFERROR(SUMIFS(INDEX(Calc_TUV_Net_2[[Ausnet]:[United Energy]],0,MATCH(Calc_TUV_NetGroup_2[[#Headers],[Citipower]],Calc_TUV_Net_2[[#Headers],[Ausnet]:[United Energy]],0)),
Calc_TUV_Net_2[Cost item],Calc_TUV_NetGroup_2[[#This Row],[Cost item]]&amp;" cost true up",
Calc_TUV_Net_2[Customer type],Calc_TUV_NetGroup_2[[#This Row],[Customer type]]),"-")</calculatedColumnFormula>
    </tableColumn>
    <tableColumn id="7" xr3:uid="{0FDAD0C1-BE4E-41E2-BF53-BA901AB1B2F3}" name="Jemena" dataCellStyle="Table cell">
      <calculatedColumnFormula array="1">IFERROR(SUMIFS(INDEX(Calc_TUV_Net_2[[Ausnet]:[United Energy]],0,MATCH(Calc_TUV_NetGroup_2[[#Headers],[Jemena]],Calc_TUV_Net_2[[#Headers],[Ausnet]:[United Energy]],0)),
Calc_TUV_Net_2[Cost item],Calc_TUV_NetGroup_2[[#This Row],[Cost item]]&amp;" cost true up",
Calc_TUV_Net_2[Customer type],Calc_TUV_NetGroup_2[[#This Row],[Customer type]]),"-")</calculatedColumnFormula>
    </tableColumn>
    <tableColumn id="8" xr3:uid="{B1FD8009-9B3A-4206-977D-C65BF274EDE2}" name="Powercor" dataCellStyle="Table cell">
      <calculatedColumnFormula array="1">IFERROR(SUMIFS(INDEX(Calc_TUV_Net_2[[Ausnet]:[United Energy]],0,MATCH(Calc_TUV_NetGroup_2[[#Headers],[Powercor]],Calc_TUV_Net_2[[#Headers],[Ausnet]:[United Energy]],0)),
Calc_TUV_Net_2[Cost item],Calc_TUV_NetGroup_2[[#This Row],[Cost item]]&amp;" cost true up",
Calc_TUV_Net_2[Customer type],Calc_TUV_NetGroup_2[[#This Row],[Customer type]]),"-")</calculatedColumnFormula>
    </tableColumn>
    <tableColumn id="9" xr3:uid="{72761EAB-764C-4B07-AEDE-D8BF0E5F5B5C}" name="United Energy" dataCellStyle="Table cell">
      <calculatedColumnFormula array="1">IFERROR(SUMIFS(INDEX(Calc_TUV_Net_2[[Ausnet]:[United Energy]],0,MATCH(Calc_TUV_NetGroup_2[[#Headers],[United Energy]],Calc_TUV_Net_2[[#Headers],[Ausnet]:[United Energy]],0)),
Calc_TUV_Net_2[Cost item],Calc_TUV_NetGroup_2[[#This Row],[Cost item]]&amp;" cost true up",
Calc_TUV_Net_2[Customer type],Calc_TUV_NetGroup_2[[#This Row],[Customer type]]),"-")</calculatedColumnFormula>
    </tableColumn>
  </tableColumns>
  <tableStyleInfo name="Default tabl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4DC4A019-850F-494F-98C1-0BFBD305CF6C}" name="Calc_TUR_Net_2" displayName="Calc_TUR_Net_2" ref="C157:L161" totalsRowShown="0" headerRowDxfId="604" headerRowBorderDxfId="603" tableBorderDxfId="602" totalsRowBorderDxfId="601" headerRowCellStyle="Table col heading" dataCellStyle="Table cell">
  <tableColumns count="10">
    <tableColumn id="1" xr3:uid="{508F5893-0986-4EA2-B925-B2EFB5554C3F}" name="Rate type" dataCellStyle="Table cell"/>
    <tableColumn id="2" xr3:uid="{B7A36EFE-FB09-4217-904A-912BBEC39451}" name="Fixed/Variable" dataCellStyle="Table cell"/>
    <tableColumn id="3" xr3:uid="{AA5BEA6C-3068-493A-9312-D43ED42985A2}" name="Unit" dataDxfId="600" dataCellStyle="Table cell"/>
    <tableColumn id="4" xr3:uid="{6849D791-ED42-40F6-88F6-33FD3B78900C}" name="Customer type" dataCellStyle="Table cell"/>
    <tableColumn id="10" xr3:uid="{CAFC397D-BF7C-4BA6-BEFB-0F1D12042B14}" name="Cost element" dataCellStyle="Table cell"/>
    <tableColumn id="5" xr3:uid="{1A63BAF3-86BD-4481-AB28-EA4C2604DE32}" name="Ausnet" dataDxfId="599" dataCellStyle="Table cell">
      <calculatedColumnFormula array="1">IFERROR(
IF(OR(
AND(Calc_TUR_Net_2[[#Headers],[Ausnet]]="Ausnet",Calc_TUR_Net_2[[#This Row],[Rate type]]="Single rate"),
AND(Calc_TUR_Net_2[[#Headers],[Ausnet]]&lt;&gt;"Ausnet",OR(Calc_TUR_Net_2[[#This Row],[Rate type]]="Block 1",Calc_TUR_Net_2[[#This Row],[Rate type]]="Balance"))),"-",
IF(Calc_TUR_Net_2[[#This Row],[Fixed/Variable]]="Fixed",
SUMIFS(Calc_TUV_NetGroup_2[Ausnet],
Calc_TUV_NetGroup_2[Cost item],Calc_TUR_Net_2[[#This Row],[Rate type]],
Calc_TUV_NetGroup_2[Customer type],Calc_TUR_Net_2[[#This Row],[Customer type]],
Calc_TUV_NetGroup_2[Cost element],Calc_TUR_Net_2[[#This Row],[Cost element]])/_xlfn.DAYS(TUR_EndDate,TUR_StartDate),
(SUMIFS(Calc_TUV_NetGroup_2[Ausnet],
Calc_TUV_NetGroup_2[Cost item],IF(OR(Calc_TUR_Net_2[[#This Row],[Rate type]]="Single rate",Calc_TUR_Net_2[[#This Row],[Rate type]]="Block 1",Calc_TUR_Net_2[[#This Row],[Rate type]]="Balance"),"Anytime - usage","TOU - usage"),
Calc_TUV_NetGroup_2[Customer type],Calc_TUR_Net_2[[#This Row],[Customer type]],
Calc_TUV_NetGroup_2[Cost element],Calc_TUR_Net_2[[#This Row],[Cost element]])/
(INDEX(Input_Usage[[F-PreviousVDO_Input]:[F-CurrentVDO_Input]],MATCH(Calc_TUR_Net_2[[#This Row],[Customer type]]&amp;" - medium - "&amp;Calc_TUR_Net_2[[#This Row],[Rate type]],Input_Usage[Ref],0),MATCH(Calc_TU_rates!$D$135,Inputs!$I$134:$M$134,0))*
(TU_NET_RateMths/MiY)))*INDEX(#REF!,MATCH(Calc_TUR_Net_2[[#This Row],[Rate type]],#REF!,0),MATCH(Calc_TUR_Net_2[[#This Row],[Customer type]],#REF!,0)))),"-")</calculatedColumnFormula>
    </tableColumn>
    <tableColumn id="6" xr3:uid="{AD72CD18-01CA-4969-807E-1EF3C8B94066}" name="Citipower" dataCellStyle="Table cell">
      <calculatedColumnFormula array="1">IFERROR(
IF(OR(
AND(Calc_TUR_Net_2[[#Headers],[Citipower]]="Ausnet",Calc_TUR_Net_2[[#This Row],[Rate type]]="Single rate"),
AND(Calc_TUR_Net_2[[#Headers],[Citipower]]&lt;&gt;"Ausnet",OR(Calc_TUR_Net_2[[#This Row],[Rate type]]="Block 1",Calc_TUR_Net_2[[#This Row],[Rate type]]="Balance"))),"-",
IF(Calc_TUR_Net_2[[#This Row],[Fixed/Variable]]="Fixed",
SUMIFS(Calc_TUV_NetGroup_2[Citipower],
Calc_TUV_NetGroup_2[Cost item],Calc_TUR_Net_2[[#This Row],[Rate type]],
Calc_TUV_NetGroup_2[Customer type],Calc_TUR_Net_2[[#This Row],[Customer type]],
Calc_TUV_NetGroup_2[Cost element],Calc_TUR_Net_2[[#This Row],[Cost element]])/_xlfn.DAYS(TUR_EndDate,TUR_StartDate),
(SUMIFS(Calc_TUV_NetGroup_2[Citipower],
Calc_TUV_NetGroup_2[Cost item],IF(OR(Calc_TUR_Net_2[[#This Row],[Rate type]]="Single rate",Calc_TUR_Net_2[[#This Row],[Rate type]]="Block 1",Calc_TUR_Net_2[[#This Row],[Rate type]]="Balance"),"Anytime - usage","TOU - usage"),
Calc_TUV_NetGroup_2[Customer type],Calc_TUR_Net_2[[#This Row],[Customer type]],
Calc_TUV_NetGroup_2[Cost element],Calc_TUR_Net_2[[#This Row],[Cost element]])/
(INDEX(Input_Usage[[F-PreviousVDO_Input]:[F-CurrentVDO_Input]],MATCH(Calc_TUR_Net_2[[#This Row],[Customer type]]&amp;" - medium - "&amp;Calc_TUR_Net_2[[#This Row],[Rate type]],Input_Usage[Ref],0),MATCH(Calc_TU_rates!$D$135,Inputs!$I$134:$M$134,0))*
(TU_NET_RateMths/MiY)))*INDEX(#REF!,MATCH(Calc_TUR_Net_2[[#This Row],[Rate type]],#REF!,0),MATCH(Calc_TUR_Net_2[[#This Row],[Customer type]],#REF!,0)))),"-")</calculatedColumnFormula>
    </tableColumn>
    <tableColumn id="7" xr3:uid="{BDACC691-E68C-4508-B968-4DA4567D6FDC}" name="Jemena" dataCellStyle="Table cell">
      <calculatedColumnFormula array="1">IFERROR(
IF(OR(
AND(Calc_TUR_Net_2[[#Headers],[Jemena]]="Ausnet",Calc_TUR_Net_2[[#This Row],[Rate type]]="Single rate"),
AND(Calc_TUR_Net_2[[#Headers],[Jemena]]&lt;&gt;"Ausnet",OR(Calc_TUR_Net_2[[#This Row],[Rate type]]="Block 1",Calc_TUR_Net_2[[#This Row],[Rate type]]="Balance"))),"-",
IF(Calc_TUR_Net_2[[#This Row],[Fixed/Variable]]="Fixed",
SUMIFS(Calc_TUV_NetGroup_2[Jemena],
Calc_TUV_NetGroup_2[Cost item],Calc_TUR_Net_2[[#This Row],[Rate type]],
Calc_TUV_NetGroup_2[Customer type],Calc_TUR_Net_2[[#This Row],[Customer type]],
Calc_TUV_NetGroup_2[Cost element],Calc_TUR_Net_2[[#This Row],[Cost element]])/_xlfn.DAYS(TUR_EndDate,TUR_StartDate),
(SUMIFS(Calc_TUV_NetGroup_2[Jemena],
Calc_TUV_NetGroup_2[Cost item],IF(OR(Calc_TUR_Net_2[[#This Row],[Rate type]]="Single rate",Calc_TUR_Net_2[[#This Row],[Rate type]]="Block 1",Calc_TUR_Net_2[[#This Row],[Rate type]]="Balance"),"Anytime - usage","TOU - usage"),
Calc_TUV_NetGroup_2[Customer type],Calc_TUR_Net_2[[#This Row],[Customer type]],
Calc_TUV_NetGroup_2[Cost element],Calc_TUR_Net_2[[#This Row],[Cost element]])/
(INDEX(Input_Usage[[F-PreviousVDO_Input]:[F-CurrentVDO_Input]],MATCH(Calc_TUR_Net_2[[#This Row],[Customer type]]&amp;" - medium - "&amp;Calc_TUR_Net_2[[#This Row],[Rate type]],Input_Usage[Ref],0),MATCH(Calc_TU_rates!$D$135,Inputs!$I$134:$M$134,0))*
(TU_NET_RateMths/MiY)))*INDEX(#REF!,MATCH(Calc_TUR_Net_2[[#This Row],[Rate type]],#REF!,0),MATCH(Calc_TUR_Net_2[[#This Row],[Customer type]],#REF!,0)))),"-")</calculatedColumnFormula>
    </tableColumn>
    <tableColumn id="8" xr3:uid="{DFE8DC4B-790A-4026-BDAA-688FB431C951}" name="Powercor" dataCellStyle="Table cell">
      <calculatedColumnFormula array="1">IFERROR(
IF(OR(
AND(Calc_TUR_Net_2[[#Headers],[Powercor]]="Ausnet",Calc_TUR_Net_2[[#This Row],[Rate type]]="Single rate"),
AND(Calc_TUR_Net_2[[#Headers],[Powercor]]&lt;&gt;"Ausnet",OR(Calc_TUR_Net_2[[#This Row],[Rate type]]="Block 1",Calc_TUR_Net_2[[#This Row],[Rate type]]="Balance"))),"-",
IF(Calc_TUR_Net_2[[#This Row],[Fixed/Variable]]="Fixed",
SUMIFS(Calc_TUV_NetGroup_2[Powercor],
Calc_TUV_NetGroup_2[Cost item],Calc_TUR_Net_2[[#This Row],[Rate type]],
Calc_TUV_NetGroup_2[Customer type],Calc_TUR_Net_2[[#This Row],[Customer type]],
Calc_TUV_NetGroup_2[Cost element],Calc_TUR_Net_2[[#This Row],[Cost element]])/_xlfn.DAYS(TUR_EndDate,TUR_StartDate),
(SUMIFS(Calc_TUV_NetGroup_2[Powercor],
Calc_TUV_NetGroup_2[Cost item],IF(OR(Calc_TUR_Net_2[[#This Row],[Rate type]]="Single rate",Calc_TUR_Net_2[[#This Row],[Rate type]]="Block 1",Calc_TUR_Net_2[[#This Row],[Rate type]]="Balance"),"Anytime - usage","TOU - usage"),
Calc_TUV_NetGroup_2[Customer type],Calc_TUR_Net_2[[#This Row],[Customer type]],
Calc_TUV_NetGroup_2[Cost element],Calc_TUR_Net_2[[#This Row],[Cost element]])/
(INDEX(Input_Usage[[F-PreviousVDO_Input]:[F-CurrentVDO_Input]],MATCH(Calc_TUR_Net_2[[#This Row],[Customer type]]&amp;" - medium - "&amp;Calc_TUR_Net_2[[#This Row],[Rate type]],Input_Usage[Ref],0),MATCH(Calc_TU_rates!$D$135,Inputs!$I$134:$M$134,0))*
(TU_NET_RateMths/MiY)))*INDEX(#REF!,MATCH(Calc_TUR_Net_2[[#This Row],[Rate type]],#REF!,0),MATCH(Calc_TUR_Net_2[[#This Row],[Customer type]],#REF!,0)))),"-")</calculatedColumnFormula>
    </tableColumn>
    <tableColumn id="9" xr3:uid="{116286F6-B1EA-474F-919D-97933C9FFD8E}" name="United Energy" dataCellStyle="Table cell">
      <calculatedColumnFormula array="1">IFERROR(
IF(OR(
AND(Calc_TUR_Net_2[[#Headers],[United Energy]]="Ausnet",Calc_TUR_Net_2[[#This Row],[Rate type]]="Single rate"),
AND(Calc_TUR_Net_2[[#Headers],[United Energy]]&lt;&gt;"Ausnet",OR(Calc_TUR_Net_2[[#This Row],[Rate type]]="Block 1",Calc_TUR_Net_2[[#This Row],[Rate type]]="Balance"))),"-",
IF(Calc_TUR_Net_2[[#This Row],[Fixed/Variable]]="Fixed",
SUMIFS(Calc_TUV_NetGroup_2[United Energy],
Calc_TUV_NetGroup_2[Cost item],Calc_TUR_Net_2[[#This Row],[Rate type]],
Calc_TUV_NetGroup_2[Customer type],Calc_TUR_Net_2[[#This Row],[Customer type]],
Calc_TUV_NetGroup_2[Cost element],Calc_TUR_Net_2[[#This Row],[Cost element]])/_xlfn.DAYS(TUR_EndDate,TUR_StartDate),
(SUMIFS(Calc_TUV_NetGroup_2[United Energy],
Calc_TUV_NetGroup_2[Cost item],IF(OR(Calc_TUR_Net_2[[#This Row],[Rate type]]="Single rate",Calc_TUR_Net_2[[#This Row],[Rate type]]="Block 1",Calc_TUR_Net_2[[#This Row],[Rate type]]="Balance"),"Anytime - usage","TOU - usage"),
Calc_TUV_NetGroup_2[Customer type],Calc_TUR_Net_2[[#This Row],[Customer type]],
Calc_TUV_NetGroup_2[Cost element],Calc_TUR_Net_2[[#This Row],[Cost element]])/
(INDEX(Input_Usage[[F-PreviousVDO_Input]:[F-CurrentVDO_Input]],MATCH(Calc_TUR_Net_2[[#This Row],[Customer type]]&amp;" - medium - "&amp;Calc_TUR_Net_2[[#This Row],[Rate type]],Input_Usage[Ref],0),MATCH(Calc_TU_rates!$D$135,Inputs!$I$134:$M$134,0))*
(TU_NET_RateMths/MiY)))*INDEX(#REF!,MATCH(Calc_TUR_Net_2[[#This Row],[Rate type]],#REF!,0),MATCH(Calc_TUR_Net_2[[#This Row],[Customer type]],#REF!,0)))),"-")</calculatedColumnFormula>
    </tableColumn>
  </tableColumns>
  <tableStyleInfo name="Default tabl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6098B90B-1344-4E60-B447-B890077F8628}" name="Calc_TUR_Env_1" displayName="Calc_TUR_Env_1" ref="C63:L96" totalsRowShown="0" headerRowDxfId="598" headerRowBorderDxfId="597" tableBorderDxfId="596" totalsRowBorderDxfId="595" headerRowCellStyle="Table col heading" dataCellStyle="Table cell">
  <tableColumns count="10">
    <tableColumn id="1" xr3:uid="{E332C2D4-CE8D-433A-9ADC-D8857F562942}" name="Rate type" dataCellStyle="Table cell"/>
    <tableColumn id="2" xr3:uid="{FD1AF85E-E765-4BB5-8EC8-A06734719E82}" name="True up" dataCellStyle="Table cell"/>
    <tableColumn id="3" xr3:uid="{66195402-7784-4DD6-BFD4-6D91BEEDF8B0}" name="Unit" dataDxfId="594" dataCellStyle="Table cell"/>
    <tableColumn id="4" xr3:uid="{EAE4A069-891C-411F-9742-DF18ADDA3EA8}" name="Customer type" dataCellStyle="Table cell"/>
    <tableColumn id="5" xr3:uid="{ACC8F195-ADA3-40DC-919D-25E00F5290C5}" name="Cost element" dataDxfId="593" dataCellStyle="Table cell"/>
    <tableColumn id="6" xr3:uid="{A72E99F3-93C6-4BF6-B455-BB551880D6F9}" name="Ausnet" dataDxfId="592" dataCellStyle="Table cell">
      <calculatedColumnFormula array="1">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calculatedColumnFormula>
    </tableColumn>
    <tableColumn id="7" xr3:uid="{5A3D3D9B-379A-4FAE-B0D3-6769ACEE354F}" name="Citipower" dataDxfId="591" dataCellStyle="Table cell">
      <calculatedColumnFormula array="1">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calculatedColumnFormula>
    </tableColumn>
    <tableColumn id="8" xr3:uid="{3AA2F046-55C7-4C97-8768-89AA876C4F26}" name="Jemena" dataDxfId="590" dataCellStyle="Table cell">
      <calculatedColumnFormula array="1">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calculatedColumnFormula>
    </tableColumn>
    <tableColumn id="9" xr3:uid="{892CB232-15D1-4FBB-B203-B4FB00635D8D}" name="Powercor" dataDxfId="589" dataCellStyle="Table cell">
      <calculatedColumnFormula array="1">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calculatedColumnFormula>
    </tableColumn>
    <tableColumn id="10" xr3:uid="{3A2D3832-2CE2-4857-A3A9-52809919DD21}" name="United Energy" dataDxfId="588" dataCellStyle="Table cell">
      <calculatedColumnFormula array="1">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calculatedColumnFormula>
    </tableColumn>
  </tableColumns>
  <tableStyleInfo name="Default tabl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743AF80E-DA00-49A0-A159-7CB4D1510410}" name="OP_RatesTU_SME_2" displayName="OP_RatesTU_SME_2" ref="M103:U112" totalsRowShown="0" headerRowDxfId="1047" headerRowBorderDxfId="1046" tableBorderDxfId="1045" headerRowCellStyle="Table col heading" dataCellStyle="Internal link/lookup">
  <tableColumns count="9">
    <tableColumn id="1" xr3:uid="{D68FF8AE-5781-4255-BEA3-9E4E2B088DC9}" name="Rate name" dataDxfId="1044" dataCellStyle="Table cell"/>
    <tableColumn id="2" xr3:uid="{050CECEC-B13D-445D-BECE-B28F63E59C08}" name="Unit" dataDxfId="1043" dataCellStyle="Table cell"/>
    <tableColumn id="3" xr3:uid="{A450D655-A125-49C9-9A0F-3AA46242B60C}" name="Customer type" dataDxfId="1042" dataCellStyle="Table cell"/>
    <tableColumn id="4" xr3:uid="{77C75CCA-D769-45F7-ACE7-23CCDD8A0810}" name="Cost element" dataDxfId="1041" dataCellStyle="Table cell"/>
    <tableColumn id="5" xr3:uid="{F2725072-29B9-4CB3-887D-563B8DD59831}" name="Ausnet" dataDxfId="1040" dataCellStyle="Internal link/lookup">
      <calculatedColumnFormula array="1">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name]]),0),MATCH(OP_RatesTU_SME_2[[#Headers],[Ausnet]],Calc_TUR_Net_2[[#Headers],[Ausnet]:[United Energy]],0)),
IF(OP_RatesTU_SME_2[[#This Row],[Cost element]:[Cost element]]="Environmental",
SUMIFS(INDEX(Calc_TUR_ENV_2[[Ausnet]:[United Energy]],0,MATCH(OP_RatesTU_SME_2[[#Headers],[Ausnet]],Calc_TUR_ENV_2[[#Headers],[Ausnet]:[United Energy]],0)),
Calc_TUR_ENV_2[[Customer type]:[Customer type]],OP_RatesTU_SME_2[[#This Row],[Customer type]:[Customer type]],Calc_TUR_ENV_2[[Rate type]:[Rate type]],OP_RatesTU_SME_2[[#This Row],[Rate name]:[Rate name]]),"-")),
"-")</calculatedColumnFormula>
    </tableColumn>
    <tableColumn id="6" xr3:uid="{E4A449F9-EA18-418F-BC67-AE1FCC5E9F1C}" name="Citipower" dataDxfId="1039" dataCellStyle="Internal link/lookup">
      <calculatedColumnFormula array="1">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name]]),0),MATCH(OP_RatesTU_SME_2[[#Headers],[Citipower]],Calc_TUR_Net_2[[#Headers],[Ausnet]:[United Energy]],0)),
IF(OP_RatesTU_SME_2[[#This Row],[Cost element]:[Cost element]]="Environmental",
SUMIFS(INDEX(Calc_TUR_ENV_2[[Ausnet]:[United Energy]],0,MATCH(OP_RatesTU_SME_2[[#Headers],[Citipower]],Calc_TUR_ENV_2[[#Headers],[Ausnet]:[United Energy]],0)),
Calc_TUR_ENV_2[[Customer type]:[Customer type]],OP_RatesTU_SME_2[[#This Row],[Customer type]:[Customer type]],Calc_TUR_ENV_2[[Rate type]:[Rate type]],OP_RatesTU_SME_2[[#This Row],[Rate name]:[Rate name]]),"-")),
"-")</calculatedColumnFormula>
    </tableColumn>
    <tableColumn id="7" xr3:uid="{B402EAD2-D706-473C-BDA1-7A0E47075E01}" name="Jemena" dataDxfId="1038" dataCellStyle="Internal link/lookup">
      <calculatedColumnFormula array="1">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name]]),0),MATCH(OP_RatesTU_SME_2[[#Headers],[Jemena]],Calc_TUR_Net_2[[#Headers],[Ausnet]:[United Energy]],0)),
IF(OP_RatesTU_SME_2[[#This Row],[Cost element]:[Cost element]]="Environmental",
SUMIFS(INDEX(Calc_TUR_ENV_2[[Ausnet]:[United Energy]],0,MATCH(OP_RatesTU_SME_2[[#Headers],[Jemena]],Calc_TUR_ENV_2[[#Headers],[Ausnet]:[United Energy]],0)),
Calc_TUR_ENV_2[[Customer type]:[Customer type]],OP_RatesTU_SME_2[[#This Row],[Customer type]:[Customer type]],Calc_TUR_ENV_2[[Rate type]:[Rate type]],OP_RatesTU_SME_2[[#This Row],[Rate name]:[Rate name]]),"-")),
"-")</calculatedColumnFormula>
    </tableColumn>
    <tableColumn id="8" xr3:uid="{97A3C1DD-56FB-4F27-AEE3-30EA5D428A98}" name="Powercor" dataDxfId="1037" dataCellStyle="Internal link/lookup">
      <calculatedColumnFormula array="1">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name]]),0),MATCH(OP_RatesTU_SME_2[[#Headers],[Powercor]],Calc_TUR_Net_2[[#Headers],[Ausnet]:[United Energy]],0)),
IF(OP_RatesTU_SME_2[[#This Row],[Cost element]:[Cost element]]="Environmental",
SUMIFS(INDEX(Calc_TUR_ENV_2[[Ausnet]:[United Energy]],0,MATCH(OP_RatesTU_SME_2[[#Headers],[Powercor]],Calc_TUR_ENV_2[[#Headers],[Ausnet]:[United Energy]],0)),
Calc_TUR_ENV_2[[Customer type]:[Customer type]],OP_RatesTU_SME_2[[#This Row],[Customer type]:[Customer type]],Calc_TUR_ENV_2[[Rate type]:[Rate type]],OP_RatesTU_SME_2[[#This Row],[Rate name]:[Rate name]]),"-")),
"-")</calculatedColumnFormula>
    </tableColumn>
    <tableColumn id="9" xr3:uid="{561B1A63-A796-4486-9F20-06B3F749C9E3}" name="United Energy" dataDxfId="1036" dataCellStyle="Internal link/lookup">
      <calculatedColumnFormula array="1">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name]]),0),MATCH(OP_RatesTU_SME_2[[#Headers],[United Energy]],Calc_TUR_Net_2[[#Headers],[Ausnet]:[United Energy]],0)),
IF(OP_RatesTU_SME_2[[#This Row],[Cost element]:[Cost element]]="Environmental",
SUMIFS(INDEX(Calc_TUR_ENV_2[[Ausnet]:[United Energy]],0,MATCH(OP_RatesTU_SME_2[[#Headers],[United Energy]],Calc_TUR_ENV_2[[#Headers],[Ausnet]:[United Energy]],0)),
Calc_TUR_ENV_2[[Customer type]:[Customer type]],OP_RatesTU_SME_2[[#This Row],[Customer type]:[Customer type]],Calc_TUR_ENV_2[[Rate type]:[Rate type]],OP_RatesTU_SME_2[[#This Row],[Rate name]:[Rate name]]),"-")),
"-")</calculatedColumnFormula>
    </tableColumn>
  </tableColumns>
  <tableStyleInfo name="Default tabl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ABD8EC13-7FD6-4873-9A8A-AF27A1752654}" name="Calc_TUR_ENV_2" displayName="Calc_TUR_ENV_2" ref="C193:L226" totalsRowShown="0" headerRowDxfId="587" headerRowBorderDxfId="586" tableBorderDxfId="585" totalsRowBorderDxfId="584" headerRowCellStyle="Table col heading" dataCellStyle="Table cell">
  <tableColumns count="10">
    <tableColumn id="1" xr3:uid="{D7402472-7D51-45A2-9F7E-32054A9C2AD1}" name="Rate type" dataCellStyle="Table cell"/>
    <tableColumn id="2" xr3:uid="{F4F50483-5EB8-47B9-8D7E-627214C0558E}" name="True up" dataCellStyle="Table cell"/>
    <tableColumn id="3" xr3:uid="{07E06059-0FC6-4AB4-8825-B95E8D18E5B8}" name="Unit" dataDxfId="583" dataCellStyle="Table cell"/>
    <tableColumn id="4" xr3:uid="{EAD4F5E9-2E38-4436-A301-DED41D02DFE3}" name="Customer type" dataCellStyle="Table cell"/>
    <tableColumn id="5" xr3:uid="{0DC1F14F-359A-46F9-BCA5-E770B1F92F26}" name="Cost element" dataDxfId="582" dataCellStyle="Table cell"/>
    <tableColumn id="6" xr3:uid="{29A716A7-E637-4169-A549-5FF4D3815C70}" name="Ausnet" dataDxfId="581" dataCellStyle="Table cell">
      <calculatedColumnFormula array="1">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calculatedColumnFormula>
    </tableColumn>
    <tableColumn id="7" xr3:uid="{BB0FA067-EEAA-48E9-BA9B-E23C98706BA6}" name="Citipower" dataDxfId="580" dataCellStyle="Table cell">
      <calculatedColumnFormula array="1">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calculatedColumnFormula>
    </tableColumn>
    <tableColumn id="8" xr3:uid="{F79E3A5D-B4CB-4D5B-B931-80D771F44DFA}" name="Jemena" dataDxfId="579" dataCellStyle="Table cell">
      <calculatedColumnFormula array="1">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calculatedColumnFormula>
    </tableColumn>
    <tableColumn id="9" xr3:uid="{7C67EE55-D28A-4FC5-ADEA-A4209390FD33}" name="Powercor" dataDxfId="578" dataCellStyle="Table cell">
      <calculatedColumnFormula array="1">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calculatedColumnFormula>
    </tableColumn>
    <tableColumn id="10" xr3:uid="{B4D050EC-0A71-4081-81A2-AFA078DCC264}" name="United Energy" dataDxfId="577" dataCellStyle="Table cell">
      <calculatedColumnFormula array="1">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calculatedColumnFormula>
    </tableColumn>
  </tableColumns>
  <tableStyleInfo name="Default tabl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48CEC897-179F-44BD-825C-BF0EE47BDAFA}" name="Calc_TUV_EnvGroup_1" displayName="Calc_TUV_EnvGroup_1" ref="C53:L56" totalsRowShown="0" headerRowDxfId="576" headerRowBorderDxfId="575" tableBorderDxfId="574" totalsRowBorderDxfId="573" headerRowCellStyle="Table col heading" dataCellStyle="Table cell">
  <tableColumns count="10">
    <tableColumn id="1" xr3:uid="{771BEA51-0FCE-4793-A637-2E8F5130E753}" name="Cost item" dataCellStyle="Table cell"/>
    <tableColumn id="2" xr3:uid="{3C34CCF2-954E-4687-8C99-E8D7D3C7ED75}" name="Fixed/Variable" dataCellStyle="Table cell"/>
    <tableColumn id="3" xr3:uid="{3C619B4E-BAC1-47C4-8ECC-6C46384996FD}" name="Unit" dataDxfId="572" dataCellStyle="Table cell"/>
    <tableColumn id="4" xr3:uid="{1503A5BC-F78F-4CF2-8C21-4A9FDC822142}" name="Customer type" dataCellStyle="Table cell"/>
    <tableColumn id="10" xr3:uid="{DE17B893-52B8-4859-B65F-88EF53883407}" name="Cost element" dataCellStyle="Table cell"/>
    <tableColumn id="5" xr3:uid="{629ABBA2-7FF9-4A02-9450-29C885B8A013}" name="Ausnet" dataCellStyle="Table cell"/>
    <tableColumn id="6" xr3:uid="{A7018C6B-64E8-46E4-8B26-2CC338AA6532}" name="Citipower" dataCellStyle="Table cell"/>
    <tableColumn id="7" xr3:uid="{94C35522-202F-48D0-8FA8-A1D7265F3B2F}" name="Jemena" dataCellStyle="Table cell"/>
    <tableColumn id="8" xr3:uid="{FEB8FEBC-4FE0-4AB3-97D0-522C200D0F26}" name="Powercor" dataCellStyle="Table cell"/>
    <tableColumn id="9" xr3:uid="{0B954CA1-2B1F-466E-85CC-83463172A299}" name="United Energy" dataDxfId="571" dataCellStyle="Internal link/lookup"/>
  </tableColumns>
  <tableStyleInfo name="Default tabl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86494F6-C76D-4BC0-9178-C720B04554FE}" name="Calc_TUV_ENVGroup_2" displayName="Calc_TUV_ENVGroup_2" ref="C183:L186" totalsRowShown="0" headerRowDxfId="570" headerRowBorderDxfId="569" tableBorderDxfId="568" totalsRowBorderDxfId="567" headerRowCellStyle="Table col heading" dataCellStyle="Table cell">
  <tableColumns count="10">
    <tableColumn id="1" xr3:uid="{F0BC8329-99A3-492E-B008-C6618C682212}" name="Cost item" dataCellStyle="Table cell"/>
    <tableColumn id="2" xr3:uid="{261548EE-86CB-4D51-A270-6FBA44A0057A}" name="Fixed/Variable" dataCellStyle="Table cell"/>
    <tableColumn id="3" xr3:uid="{2124D95F-7020-4F59-A852-6176E8CC21B4}" name="Unit" dataDxfId="566" dataCellStyle="Table cell"/>
    <tableColumn id="4" xr3:uid="{71CD4922-C40D-4E7C-9EA0-A9982C2437A5}" name="Customer type" dataCellStyle="Table cell"/>
    <tableColumn id="10" xr3:uid="{435000DE-70B4-4E67-9743-C7CF9651578E}" name="Cost element" dataDxfId="565" dataCellStyle="Table cell"/>
    <tableColumn id="5" xr3:uid="{E6640A9F-DA07-42FE-9755-14B74DDFEF89}" name="Ausnet" dataDxfId="564" dataCellStyle="Table cell"/>
    <tableColumn id="6" xr3:uid="{A0AEEBC5-C581-4732-B8E1-39B16BDC01CD}" name="Citipower" dataDxfId="563" dataCellStyle="Table cell">
      <calculatedColumnFormula array="1">IFERROR(SUMIFS(INDEX(Calc_TUV_Net_2[[Ausnet]:[United Energy]],0,MATCH(Calc_TUV_ENVGroup_2[[#Headers],[Citipower]],Calc_TUV_Net_2[[#Headers],[Ausnet]:[United Energy]],0)),
Calc_TUV_Net_2[Cost item],Calc_TUV_ENVGroup_2[[#This Row],[Cost item]]&amp;" cost true up",
Calc_TUV_Net_2[Customer type],Calc_TUV_ENVGroup_2[[#This Row],[Customer type]]),"-")</calculatedColumnFormula>
    </tableColumn>
    <tableColumn id="7" xr3:uid="{6686C12D-E8CE-44B6-86AA-D3D4B4EEC21A}" name="Jemena" dataDxfId="562" dataCellStyle="Table cell">
      <calculatedColumnFormula array="1">IFERROR(SUMIFS(INDEX(Calc_TUV_Net_2[[Ausnet]:[United Energy]],0,MATCH(Calc_TUV_ENVGroup_2[[#Headers],[Jemena]],Calc_TUV_Net_2[[#Headers],[Ausnet]:[United Energy]],0)),
Calc_TUV_Net_2[Cost item],Calc_TUV_ENVGroup_2[[#This Row],[Cost item]]&amp;" cost true up",
Calc_TUV_Net_2[Customer type],Calc_TUV_ENVGroup_2[[#This Row],[Customer type]]),"-")</calculatedColumnFormula>
    </tableColumn>
    <tableColumn id="8" xr3:uid="{2B48CA0E-7C6A-447D-84BC-7C8DC5D8197A}" name="Powercor" dataDxfId="561" dataCellStyle="Table cell">
      <calculatedColumnFormula array="1">IFERROR(SUMIFS(INDEX(Calc_TUV_Net_2[[Ausnet]:[United Energy]],0,MATCH(Calc_TUV_ENVGroup_2[[#Headers],[Powercor]],Calc_TUV_Net_2[[#Headers],[Ausnet]:[United Energy]],0)),
Calc_TUV_Net_2[Cost item],Calc_TUV_ENVGroup_2[[#This Row],[Cost item]]&amp;" cost true up",
Calc_TUV_Net_2[Customer type],Calc_TUV_ENVGroup_2[[#This Row],[Customer type]]),"-")</calculatedColumnFormula>
    </tableColumn>
    <tableColumn id="9" xr3:uid="{D5759CE0-CE25-4D79-9B28-831164F69512}" name="United Energy" dataDxfId="560" dataCellStyle="Table cell">
      <calculatedColumnFormula array="1">IFERROR(SUMIFS(INDEX(Calc_TUV_Net_2[[Ausnet]:[United Energy]],0,MATCH(Calc_TUV_ENVGroup_2[[#Headers],[United Energy]],Calc_TUV_Net_2[[#Headers],[Ausnet]:[United Energy]],0)),
Calc_TUV_Net_2[Cost item],Calc_TUV_ENVGroup_2[[#This Row],[Cost item]]&amp;" cost true up",
Calc_TUV_Net_2[Customer type],Calc_TUV_ENVGroup_2[[#This Row],[Customer type]]),"-")</calculatedColumnFormula>
    </tableColumn>
  </tableColumns>
  <tableStyleInfo name="Default tabl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22119432-BFD7-410E-AC02-B994D7186C74}" name="Calc_TUR_NetCL_2" displayName="Calc_TUR_NetCL_2" ref="C169:L170" totalsRowShown="0" headerRowDxfId="559" headerRowBorderDxfId="558" tableBorderDxfId="557" totalsRowBorderDxfId="556" headerRowCellStyle="Table col heading" dataCellStyle="Table cell">
  <tableColumns count="10">
    <tableColumn id="1" xr3:uid="{250CD9E3-6609-471C-9E86-99C77F0D99AD}" name="Rate type" dataCellStyle="Table cell"/>
    <tableColumn id="2" xr3:uid="{F56014D6-7A66-4938-9EA2-05BCBE838096}" name="Fixed/Variable" dataCellStyle="Table cell"/>
    <tableColumn id="3" xr3:uid="{27488AE4-DCA7-4E26-AC06-EA3AC43E6F02}" name="Unit" dataDxfId="555" dataCellStyle="Table cell"/>
    <tableColumn id="4" xr3:uid="{E6C5C828-5404-4056-A7FF-A47AAAE4C1FA}" name="Customer type" dataCellStyle="Table cell"/>
    <tableColumn id="10" xr3:uid="{352754BD-2E48-49B6-B8BC-35ECD0C11618}" name="Cost element" dataCellStyle="Table cell"/>
    <tableColumn id="5" xr3:uid="{C89509F0-7280-48A9-9C33-75CABE27E750}" name="Ausnet" dataDxfId="554" dataCellStyle="Table cell">
      <calculatedColumnFormula array="1">IFERROR(
(SUMIFS(Calc_TUV_NetGroup_2[Ausnet],
Calc_TUV_NetGroup_2[[Cost item]:[Cost item]],Calc_TUR_NetCL_2[[#This Row],[Rate type]:[Rate type]]&amp;" - supply",
Calc_TUV_NetGroup_2[[Customer type]:[Customer type]],Calc_TUR_NetCL_2[[#This Row],[Customer type]:[Customer type]],
Calc_TUV_NetGroup_2[[Cost element]:[Cost element]],Calc_TUR_NetCL_2[[#This Row],[Cost element]:[Cost element]])+
SUMIFS(Calc_TUV_NetGroup_2[Ausnet],
Calc_TUV_NetGroup_2[[Cost item]:[Cost item]],Calc_TUR_NetCL_2[[#This Row],[Rate type]:[Rate type]]&amp;" - usage",
Calc_TUV_NetGroup_2[[Customer type]:[Customer type]],Calc_TUR_NetCL_2[[#This Row],[Customer type]:[Customer type]],
Calc_TUV_NetGroup_2[[Cost element]:[Cost element]],Calc_TUR_NetCL_2[[#This Row],[Cost element]:[Cost element]]))
/$E$166,"-")</calculatedColumnFormula>
    </tableColumn>
    <tableColumn id="6" xr3:uid="{EF042FEE-7E15-4F68-AC3F-9FD7707A4D9B}" name="Citipower" dataCellStyle="Table cell"/>
    <tableColumn id="7" xr3:uid="{06249A30-F6F3-4247-93BB-2C86EEC6DEC5}" name="Jemena" dataCellStyle="Table cell"/>
    <tableColumn id="8" xr3:uid="{ADFB6444-F462-4C6B-9C8C-5540AFAAD687}" name="Powercor" dataCellStyle="Table cell"/>
    <tableColumn id="9" xr3:uid="{A7722DF8-138B-4745-8DD1-C510A66F4E73}" name="United Energy" dataCellStyle="Table cell"/>
  </tableColumns>
  <tableStyleInfo name="Default tabl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6227F24C-42F8-4AE0-9A70-1BD0C12EA8EE}" name="Calc_TUR_NetCL_1" displayName="Calc_TUR_NetCL_1" ref="C39:L40" totalsRowShown="0" headerRowDxfId="553" headerRowBorderDxfId="552" tableBorderDxfId="551" totalsRowBorderDxfId="550" headerRowCellStyle="Table col heading" dataCellStyle="Table cell">
  <tableColumns count="10">
    <tableColumn id="1" xr3:uid="{DA6CC4AC-9652-47ED-82AB-B9B19FD9C7F5}" name="Rate type" dataCellStyle="Table cell"/>
    <tableColumn id="2" xr3:uid="{6D1E7D9E-190F-45ED-9632-337B0D472194}" name="Fixed/Variable" dataCellStyle="Table cell"/>
    <tableColumn id="3" xr3:uid="{ED7F7BCC-3930-4637-8921-40D1E00C361C}" name="Unit" dataDxfId="549" dataCellStyle="Table cell"/>
    <tableColumn id="4" xr3:uid="{7A785ECA-F808-441B-9B5D-1B9DEA6F34D7}" name="Customer type" dataCellStyle="Table cell"/>
    <tableColumn id="10" xr3:uid="{B9966583-1E1A-492D-9408-6C4009A57E6A}" name="Cost element" dataCellStyle="Table cell"/>
    <tableColumn id="5" xr3:uid="{EA04CD4D-68AC-48C2-B0BF-3ECC0EE5787D}" name="Ausnet" dataDxfId="548" dataCellStyle="Table cell">
      <calculatedColumnFormula array="1">IFERROR(
(SUMIFS(Calc_TUV_NetGroup_1[Ausnet],
Calc_TUV_NetGroup_1[[Cost item]:[Cost item]],Calc_TUR_NetCL_1[[#This Row],[Rate type]:[Rate type]]&amp;" - supply",
Calc_TUV_NetGroup_1[[Customer type]:[Customer type]],Calc_TUR_NetCL_1[[#This Row],[Customer type]:[Customer type]],
Calc_TUV_NetGroup_1[[Cost element]:[Cost element]],Calc_TUR_NetCL_1[[#This Row],[Cost element]:[Cost element]])+
SUMIFS(Calc_TUV_NetGroup_1[Ausnet],
Calc_TUV_NetGroup_1[[Cost item]:[Cost item]],Calc_TUR_NetCL_1[[#This Row],[Rate type]:[Rate type]]&amp;" - usage",
Calc_TUV_NetGroup_1[[Customer type]:[Customer type]],Calc_TUR_NetCL_1[[#This Row],[Customer type]:[Customer type]],
Calc_TUV_NetGroup_1[[Cost element]:[Cost element]],Calc_TUR_NetCL_1[[#This Row],[Cost element]:[Cost element]]))
/$E$34,"-")</calculatedColumnFormula>
    </tableColumn>
    <tableColumn id="6" xr3:uid="{46821881-310C-4951-A3CF-F7A6C66F0869}" name="Citipower" dataCellStyle="Table cell">
      <calculatedColumnFormula array="1">IFERROR(
(SUMIFS(Calc_TUV_NetGroup_1[Citipower],
Calc_TUV_NetGroup_1[[Cost item]:[Cost item]],Calc_TUR_NetCL_1[[#This Row],[Rate type]:[Rate type]]&amp;" - supply",
Calc_TUV_NetGroup_1[[Customer type]:[Customer type]],Calc_TUR_NetCL_1[[#This Row],[Customer type]:[Customer type]],
Calc_TUV_NetGroup_1[[Cost element]:[Cost element]],Calc_TUR_NetCL_1[[#This Row],[Cost element]:[Cost element]])+
SUMIFS(Calc_TUV_NetGroup_1[Citipower],
Calc_TUV_NetGroup_1[[Cost item]:[Cost item]],Calc_TUR_NetCL_1[[#This Row],[Rate type]:[Rate type]]&amp;" - usage",
Calc_TUV_NetGroup_1[[Customer type]:[Customer type]],Calc_TUR_NetCL_1[[#This Row],[Customer type]:[Customer type]],
Calc_TUV_NetGroup_1[[Cost element]:[Cost element]],Calc_TUR_NetCL_1[[#This Row],[Cost element]:[Cost element]]))
/$E$34,"-")</calculatedColumnFormula>
    </tableColumn>
    <tableColumn id="7" xr3:uid="{31D12BC3-067D-425E-BF1D-6123D7808287}" name="Jemena" dataCellStyle="Table cell">
      <calculatedColumnFormula array="1">IFERROR(
(SUMIFS(Calc_TUV_NetGroup_1[Jemena],
Calc_TUV_NetGroup_1[[Cost item]:[Cost item]],Calc_TUR_NetCL_1[[#This Row],[Rate type]:[Rate type]]&amp;" - supply",
Calc_TUV_NetGroup_1[[Customer type]:[Customer type]],Calc_TUR_NetCL_1[[#This Row],[Customer type]:[Customer type]],
Calc_TUV_NetGroup_1[[Cost element]:[Cost element]],Calc_TUR_NetCL_1[[#This Row],[Cost element]:[Cost element]])+
SUMIFS(Calc_TUV_NetGroup_1[Jemena],
Calc_TUV_NetGroup_1[[Cost item]:[Cost item]],Calc_TUR_NetCL_1[[#This Row],[Rate type]:[Rate type]]&amp;" - usage",
Calc_TUV_NetGroup_1[[Customer type]:[Customer type]],Calc_TUR_NetCL_1[[#This Row],[Customer type]:[Customer type]],
Calc_TUV_NetGroup_1[[Cost element]:[Cost element]],Calc_TUR_NetCL_1[[#This Row],[Cost element]:[Cost element]]))
/$E$34,"-")</calculatedColumnFormula>
    </tableColumn>
    <tableColumn id="8" xr3:uid="{64F8C960-1857-4A7B-8766-D9D6EF3483A6}" name="Powercor" dataCellStyle="Table cell">
      <calculatedColumnFormula array="1">IFERROR(
(SUMIFS(Calc_TUV_NetGroup_1[Powercor],
Calc_TUV_NetGroup_1[[Cost item]:[Cost item]],Calc_TUR_NetCL_1[[#This Row],[Rate type]:[Rate type]]&amp;" - supply",
Calc_TUV_NetGroup_1[[Customer type]:[Customer type]],Calc_TUR_NetCL_1[[#This Row],[Customer type]:[Customer type]],
Calc_TUV_NetGroup_1[[Cost element]:[Cost element]],Calc_TUR_NetCL_1[[#This Row],[Cost element]:[Cost element]])+
SUMIFS(Calc_TUV_NetGroup_1[Powercor],
Calc_TUV_NetGroup_1[[Cost item]:[Cost item]],Calc_TUR_NetCL_1[[#This Row],[Rate type]:[Rate type]]&amp;" - usage",
Calc_TUV_NetGroup_1[[Customer type]:[Customer type]],Calc_TUR_NetCL_1[[#This Row],[Customer type]:[Customer type]],
Calc_TUV_NetGroup_1[[Cost element]:[Cost element]],Calc_TUR_NetCL_1[[#This Row],[Cost element]:[Cost element]]))
/$E$34,"-")</calculatedColumnFormula>
    </tableColumn>
    <tableColumn id="9" xr3:uid="{C652B29B-6227-4922-92CB-9F9FA949DA57}" name="United Energy" dataCellStyle="Table cell">
      <calculatedColumnFormula array="1">IFERROR(
(SUMIFS(Calc_TUV_NetGroup_1[United Energy],
Calc_TUV_NetGroup_1[[Cost item]:[Cost item]],Calc_TUR_NetCL_1[[#This Row],[Rate type]:[Rate type]]&amp;" - supply",
Calc_TUV_NetGroup_1[[Customer type]:[Customer type]],Calc_TUR_NetCL_1[[#This Row],[Customer type]:[Customer type]],
Calc_TUV_NetGroup_1[[Cost element]:[Cost element]],Calc_TUR_NetCL_1[[#This Row],[Cost element]:[Cost element]])+
SUMIFS(Calc_TUV_NetGroup_1[United Energy],
Calc_TUV_NetGroup_1[[Cost item]:[Cost item]],Calc_TUR_NetCL_1[[#This Row],[Rate type]:[Rate type]]&amp;" - usage",
Calc_TUV_NetGroup_1[[Customer type]:[Customer type]],Calc_TUR_NetCL_1[[#This Row],[Customer type]:[Customer type]],
Calc_TUV_NetGroup_1[[Cost element]:[Cost element]],Calc_TUR_NetCL_1[[#This Row],[Cost element]:[Cost element]]))
/$E$34,"-")</calculatedColumnFormula>
    </tableColumn>
  </tableColumns>
  <tableStyleInfo name="Default tabl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F0CA320-6B21-4206-97D5-A5D7F802DD0F}" name="Input_ForRateCalc" displayName="Input_ForRateCalc" ref="C10:U128" totalsRowShown="0" tableBorderDxfId="547" totalsRowBorderDxfId="546" headerRowCellStyle="Table col heading" dataCellStyle="Table cell">
  <autoFilter ref="C10:U128" xr:uid="{6DA969A6-2AF5-49DC-9813-51EAC98D2C62}"/>
  <tableColumns count="19">
    <tableColumn id="1" xr3:uid="{6FF7576B-C0F4-4642-91C7-CDE91D19F3FC}" name="Cost element" dataCellStyle="Table cell"/>
    <tableColumn id="2" xr3:uid="{3E9E5691-2790-4800-A001-FB9B30AEDE59}" name="Cost item" dataCellStyle="Table cell"/>
    <tableColumn id="3" xr3:uid="{54D809A2-64C6-4A88-80A0-2E0B0AA01C18}" name="Fixed/Variable" dataCellStyle="Table cell"/>
    <tableColumn id="4" xr3:uid="{FB95BD42-C055-4EA9-8F55-291F37426B18}" name="Unit" dataDxfId="545" dataCellStyle="Table cell"/>
    <tableColumn id="12" xr3:uid="{5E2B3B73-6771-45B4-82B8-0AA35BD8F705}" name="Customer type" dataDxfId="544" dataCellStyle="Table cell"/>
    <tableColumn id="6" xr3:uid="{DF24FCA2-F0DF-4144-8F1B-F3129138F4F5}" name="F-PreviousVDO_InputDate" dataDxfId="543" dataCellStyle="Hard-coded"/>
    <tableColumn id="7" xr3:uid="{FEEE9B98-F1B9-4BCE-9D75-0B157C256B9D}" name="F-PreviousVDO_Input" dataDxfId="542" dataCellStyle="Hard-coded"/>
    <tableColumn id="15" xr3:uid="{6D1A57CC-2A5F-4FB3-AF79-9C864D73D509}" name="VD-PreviousVDO_InputDate" dataDxfId="541" dataCellStyle="Hard-coded"/>
    <tableColumn id="5" xr3:uid="{6D90D13D-7691-408E-920D-28F33BBC643F}" name="VD-PreviousVDO_Input" dataDxfId="540" dataCellStyle="Hard-coded"/>
    <tableColumn id="8" xr3:uid="{BB001EDA-14C6-46F4-A3C8-E04970BC08B1}" name="VF-PreviousVDO_InputDate" dataDxfId="539" dataCellStyle="Input"/>
    <tableColumn id="9" xr3:uid="{302B1A04-0D91-4254-A1B4-2AB36404D5F0}" name="VF-PreviousVDO_Input" dataDxfId="538" dataCellStyle="Input"/>
    <tableColumn id="10" xr3:uid="{2436021E-5060-4C27-B7E4-385ED60FB6EE}" name="D-CurrentVDO_InputDate" dataDxfId="537" dataCellStyle="Input"/>
    <tableColumn id="11" xr3:uid="{43EE2DE0-3DFA-4DE9-ADDA-BFF46482A280}" name="D-CurrentVDO_Input" dataDxfId="536" dataCellStyle="Input"/>
    <tableColumn id="13" xr3:uid="{B112B93D-14AA-4188-8F83-F4632E3F87B4}" name="F-CurrentVDO_InputDate2" dataDxfId="535" dataCellStyle="Input"/>
    <tableColumn id="14" xr3:uid="{A72BF82C-154B-4AC9-94D3-5ABCF1780432}" name="F-CurrentVDO_Input" dataDxfId="534" dataCellStyle="Input"/>
    <tableColumn id="16" xr3:uid="{C3200C27-3D9E-40EE-91BB-A7D148D90B40}" name="D-NextVDO_InputDate" dataDxfId="533" dataCellStyle="Input"/>
    <tableColumn id="17" xr3:uid="{02D71021-0274-4B3D-BF3C-EA419DDC2411}" name="D-NextVDO_Input" dataDxfId="532" dataCellStyle="Input"/>
    <tableColumn id="18" xr3:uid="{EF0422F6-3FE3-472A-AA92-DA9E94E9F107}" name="F-NextVDO_InputDate" dataDxfId="531" dataCellStyle="Input"/>
    <tableColumn id="19" xr3:uid="{FBD0015D-FE84-47B9-986B-16AB073C36A1}" name="F-NextVDO_Input" dataDxfId="530" dataCellStyle="Input"/>
  </tableColumns>
  <tableStyleInfo name="Default tabl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BE96751-A1E6-4DEE-B2B9-0F040E8F63EF}" name="Input_Usage" displayName="Input_Usage" ref="C136:O173" totalsRowShown="0" headerRowDxfId="529" headerRowBorderDxfId="528" tableBorderDxfId="527" headerRowCellStyle="Table col heading">
  <autoFilter ref="C136:O173" xr:uid="{A8CBA6DB-0725-4AA8-918D-36864191E63C}"/>
  <tableColumns count="13">
    <tableColumn id="1" xr3:uid="{59724C2C-A166-49CF-BDB5-A76DD8676FC3}" name="Profile name" dataCellStyle="Table cell"/>
    <tableColumn id="2" xr3:uid="{62ED141C-4F5B-422D-B430-A67E0474CA3D}" name="Usage type" dataCellStyle="Table cell"/>
    <tableColumn id="3" xr3:uid="{07131193-CC4C-4576-890F-C94EB38C9100}" name="Ref" dataCellStyle="Table cell">
      <calculatedColumnFormula>Input_Usage[[#This Row],[Profile name]]&amp;" - "&amp;Input_Usage[[#This Row],[Usage type]]</calculatedColumnFormula>
    </tableColumn>
    <tableColumn id="4" xr3:uid="{C06CE59A-0662-40A9-B5E0-D7BDCA3E9812}" name="Unit" dataCellStyle="Table cell"/>
    <tableColumn id="8" xr3:uid="{16817664-CDEB-415C-99EE-275702065598}" name="Customer type" dataDxfId="526" dataCellStyle="Table cell"/>
    <tableColumn id="6" xr3:uid="{F4B24122-E533-4718-A2AE-9A2459EEEC0D}" name="Tariff type" dataDxfId="525" dataCellStyle="Table cell"/>
    <tableColumn id="9" xr3:uid="{6CDD316C-3B29-4CEC-9CCD-D147749461C1}" name="F-PreviousVDO_Input" dataDxfId="524" dataCellStyle="Hard-coded"/>
    <tableColumn id="5" xr3:uid="{C361A281-3CA0-4144-918C-AEA2C11D4EB2}" name="VD-PreviousVDO_Input" dataDxfId="523" dataCellStyle="Input"/>
    <tableColumn id="10" xr3:uid="{2410741E-5CE5-456C-A356-652B30948C54}" name="VF-PreviousVDO_Input" dataDxfId="522" dataCellStyle="Input"/>
    <tableColumn id="11" xr3:uid="{F7854B3F-CA63-497E-B7DD-24F6A26E4662}" name="D-CurrentVDO_Input" dataDxfId="521" dataCellStyle="Input"/>
    <tableColumn id="12" xr3:uid="{CA8A5057-1374-4829-9D1E-D3E16BD46339}" name="F-CurrentVDO_Input" dataDxfId="520" dataCellStyle="Input"/>
    <tableColumn id="7" xr3:uid="{C01DDC59-A45A-4996-B136-A6B979D84972}" name="D-NextVDO_Input" dataDxfId="519" dataCellStyle="Input"/>
    <tableColumn id="13" xr3:uid="{976C8AB7-C3C5-46DE-B8C1-C998755F48D8}" name="F-NextVDO_Input" dataDxfId="518" dataCellStyle="Input"/>
  </tableColumns>
  <tableStyleInfo name="Default tabl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642B58B-E9F1-491B-8349-034E16DC1DC1}" name="Input_TUEnv_Actual" displayName="Input_TUEnv_Actual" ref="C180:O186" totalsRowShown="0" headerRowDxfId="517" headerRowBorderDxfId="516" tableBorderDxfId="515" headerRowCellStyle="Table col heading">
  <tableColumns count="13">
    <tableColumn id="2" xr3:uid="{C2979B50-E72C-4905-B762-B1FBD0FC7D84}" name="Cost element" dataCellStyle="Table cell"/>
    <tableColumn id="1" xr3:uid="{7606E00A-72BB-46DC-B82D-8B19AE194ECC}" name="Cost item" dataDxfId="514" dataCellStyle="Table cell"/>
    <tableColumn id="3" xr3:uid="{FB39537C-58C4-45FA-AE28-8587403EDED7}" name="Fixed/Variable" dataCellStyle="Table cell"/>
    <tableColumn id="4" xr3:uid="{37BADC74-6350-4579-AA1C-AA157FB39315}" name="Unit" dataCellStyle="Table cell"/>
    <tableColumn id="7" xr3:uid="{9AD583A2-1E35-44CE-8B8E-BFB97CF15160}" name="Customer type" dataDxfId="513" dataCellStyle="Table cell"/>
    <tableColumn id="11" xr3:uid="{390D42D7-0AA8-418B-B847-28B79F13CBB2}" name="[blank]" dataCellStyle="Table cell"/>
    <tableColumn id="10" xr3:uid="{91C3BF11-950D-4602-BB8A-7802100863A1}" name="F-PreviousVDO_Input" dataDxfId="512" dataCellStyle="Input"/>
    <tableColumn id="5" xr3:uid="{7C467E70-DBCE-4B3B-9E84-9672A5BB6AB5}" name="VD-PreviousVDO_Input" dataDxfId="511" dataCellStyle="Input"/>
    <tableColumn id="6" xr3:uid="{B4F80362-EB75-43DD-B60D-B5C1D9FC2436}" name="VF-PreviousVDO_Input" dataDxfId="510" dataCellStyle="Input"/>
    <tableColumn id="8" xr3:uid="{B9E9AE44-0D3C-445F-A128-E99F54F5ABB6}" name="D-CurrentVDO_Input" dataDxfId="509" dataCellStyle="Input"/>
    <tableColumn id="9" xr3:uid="{9E2ECB50-146D-4C5C-91ED-CC4439548BF4}" name="F-CurrentVDO_Input" dataDxfId="508" dataCellStyle="Input"/>
    <tableColumn id="12" xr3:uid="{6F7733AE-138E-44CF-B1A0-BFC1AB0FAF0D}" name="D-NextVDO_Input" dataDxfId="507" dataCellStyle="Input"/>
    <tableColumn id="13" xr3:uid="{C1FBE4D8-13D1-41FD-8772-4A1C908157C5}" name="F-NextVDO_Input" dataDxfId="506" dataCellStyle="Input"/>
  </tableColumns>
  <tableStyleInfo name="Default tabl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15BD5932-7FB5-4CCD-B50A-1852C0628C64}" name="Input_DecisionActual" displayName="Input_DecisionActual" ref="C249:E256" totalsRowShown="0" headerRowBorderDxfId="505" tableBorderDxfId="504" totalsRowBorderDxfId="503">
  <tableColumns count="3">
    <tableColumn id="1" xr3:uid="{5AFC207A-A190-4EF0-9F07-F0B6DD207690}" name="VDO period" dataDxfId="502" dataCellStyle="Hard-coded"/>
    <tableColumn id="2" xr3:uid="{BA40EB1C-8734-45B1-BEF3-B4AAB668727E}" name="Actual" dataDxfId="501" dataCellStyle="Hard-coded"/>
    <tableColumn id="3" xr3:uid="{EC536779-C89D-4795-9638-A578F8187C0C}" name="Decision" dataDxfId="500" dataCellStyle="Hard-coded"/>
  </tableColumns>
  <tableStyleInfo name="Default tabl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CAB781AA-B11F-43C9-B5D5-6B4FEEF0DF29}" name="Input_TUNet_Actual" displayName="Input_TUNet_Actual" ref="C192:N203" totalsRowShown="0" headerRowDxfId="499" dataDxfId="497" headerRowBorderDxfId="498" tableBorderDxfId="496" headerRowCellStyle="Table col heading" dataCellStyle="Input">
  <tableColumns count="12">
    <tableColumn id="1" xr3:uid="{33C58E00-D758-45F8-8252-77B948C88246}" name="Cost element" dataDxfId="495" dataCellStyle="Table cell"/>
    <tableColumn id="2" xr3:uid="{BEEE8780-2525-4ED5-98B3-03A9B54F6A89}" name="Item" dataCellStyle="Table cell"/>
    <tableColumn id="3" xr3:uid="{EB73758C-CD68-455D-A4BA-DBEBCC9DD1A8}" name="Month" dataCellStyle="Table cell"/>
    <tableColumn id="5" xr3:uid="{09270975-0370-4D51-85B7-A9ABBDA9B17C}" name="Customer type" dataCellStyle="Table cell"/>
    <tableColumn id="6" xr3:uid="{BD3B0B91-C7EA-49CE-9DD7-D092B34BCD6C}" name="Unit" dataDxfId="494" dataCellStyle="Table cell"/>
    <tableColumn id="7" xr3:uid="{E3D8500B-E6BB-4D1F-AAE0-CA4E8FEAE016}" name="F-PreviousVDO_Input" dataDxfId="493" dataCellStyle="Input"/>
    <tableColumn id="8" xr3:uid="{5E9042CD-AECA-4100-AB25-51464991E9A9}" name="VD-PreviousVDO_Input" dataDxfId="492" dataCellStyle="Input"/>
    <tableColumn id="9" xr3:uid="{788F1A54-6BBA-478B-BEB6-968DEFF693D2}" name="VF-PreviousVDO_Input" dataDxfId="491" dataCellStyle="Input"/>
    <tableColumn id="10" xr3:uid="{64B65947-EB30-4CE6-957B-3229A0441A1D}" name="D-CurrentVDO_Input" dataDxfId="490" dataCellStyle="Input"/>
    <tableColumn id="11" xr3:uid="{B5BDA5F0-6298-4932-B548-24CF215531DF}" name="F-CurrentVDO_Input" dataDxfId="489" dataCellStyle="Input"/>
    <tableColumn id="4" xr3:uid="{3816C21B-6744-4AE0-902C-83725D3E94CE}" name="D-NextVDO_Input" dataDxfId="488" dataCellStyle="Input"/>
    <tableColumn id="12" xr3:uid="{9A65E46D-3981-4445-97A7-C00FDCA97E98}" name="F-NextVDO_Input" dataDxfId="487" dataCellStyle="Input"/>
  </tableColumns>
  <tableStyleInfo name="Default tabl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259EE597-E6A4-44E4-944B-CDA626B5424B}" name="OP_TotalRates_RES_2" displayName="OP_TotalRates_RES_2" ref="C81:K89" totalsRowShown="0" headerRowDxfId="1035" headerRowBorderDxfId="1034" tableBorderDxfId="1033" headerRowCellStyle="Table col heading">
  <tableColumns count="9">
    <tableColumn id="1" xr3:uid="{B296EB3D-E1CD-4637-9283-577B47AFA9A8}" name="Rate name" dataCellStyle="Table cell"/>
    <tableColumn id="2" xr3:uid="{EA2CEDA9-E825-4F7B-B818-53C4D2298ACA}" name="Unit" dataCellStyle="Table cell"/>
    <tableColumn id="3" xr3:uid="{36EFECE8-C52B-4F8C-92EF-2B882EAD862E}" name="Customer type" dataCellStyle="Table cell"/>
    <tableColumn id="4" xr3:uid="{4C89433C-DBD0-484D-A453-D4B50CC1EA25}" name="-" dataDxfId="1032" dataCellStyle="Table cell"/>
    <tableColumn id="5" xr3:uid="{4ACF9A4B-7DA7-4470-89DC-4E06ABC5E77E}" name="Ausnet" dataDxfId="1031" dataCellStyle="Table cell">
      <calculatedColumnFormula array="1">ROUND(
SUMIFS(OP_Rates_RES_2[Ausnet],OP_Rates_RES_2[[Rate name]:[Rate name]],OP_TotalRates_RES_2[[#This Row],[Rate name]:[Rate name]])+
SUMIFS(OP_RatesTU_RES_2[Ausnet],
OP_RatesTU_RES_2[[Rate name]:[Rate name]],
IF(OP_TotalRates_RES_2[[#This Row],[Unit]:[Unit]]&lt;&gt;"$",OP_TotalRates_RES_2[[#This Row],[Rate name]:[Rate name]],
IF(OP_TotalRates_RES_2[[#This Row],[Rate name]:[Rate name]]="Anytime - supply","Anytime","TOU"))),4)</calculatedColumnFormula>
    </tableColumn>
    <tableColumn id="6" xr3:uid="{6259725D-7D50-451A-B378-89B6848CEA53}" name="Citipower" dataDxfId="1030" dataCellStyle="Table cell">
      <calculatedColumnFormula array="1">ROUND(
SUMIFS(OP_Rates_RES_2[Citipower],OP_Rates_RES_2[[Rate name]:[Rate name]],OP_TotalRates_RES_2[[#This Row],[Rate name]:[Rate name]])+
SUMIFS(OP_RatesTU_RES_2[Citipower],
OP_RatesTU_RES_2[[Rate name]:[Rate name]],
IF(OP_TotalRates_RES_2[[#This Row],[Unit]:[Unit]]&lt;&gt;"$",OP_TotalRates_RES_2[[#This Row],[Rate name]:[Rate name]],
IF(OP_TotalRates_RES_2[[#This Row],[Rate name]:[Rate name]]="Anytime - supply","Anytime","TOU"))),4)</calculatedColumnFormula>
    </tableColumn>
    <tableColumn id="7" xr3:uid="{3CB60922-6057-4639-94B8-707474840F4B}" name="Jemena" dataDxfId="1029" dataCellStyle="Table cell">
      <calculatedColumnFormula array="1">ROUND(
SUMIFS(OP_Rates_RES_2[Jemena],OP_Rates_RES_2[[Rate name]:[Rate name]],OP_TotalRates_RES_2[[#This Row],[Rate name]:[Rate name]])+
SUMIFS(OP_RatesTU_RES_2[Jemena],
OP_RatesTU_RES_2[[Rate name]:[Rate name]],
IF(OP_TotalRates_RES_2[[#This Row],[Unit]:[Unit]]&lt;&gt;"$",OP_TotalRates_RES_2[[#This Row],[Rate name]:[Rate name]],
IF(OP_TotalRates_RES_2[[#This Row],[Rate name]:[Rate name]]="Anytime - supply","Anytime","TOU"))),4)</calculatedColumnFormula>
    </tableColumn>
    <tableColumn id="8" xr3:uid="{826D1692-DC0C-4317-A6F5-9D4E7153FBC1}" name="Powercor" dataDxfId="1028" dataCellStyle="Table cell">
      <calculatedColumnFormula array="1">ROUND(
SUMIFS(OP_Rates_RES_2[Powercor],OP_Rates_RES_2[[Rate name]:[Rate name]],OP_TotalRates_RES_2[[#This Row],[Rate name]:[Rate name]])+
SUMIFS(OP_RatesTU_RES_2[Powercor],
OP_RatesTU_RES_2[[Rate name]:[Rate name]],
IF(OP_TotalRates_RES_2[[#This Row],[Unit]:[Unit]]&lt;&gt;"$",OP_TotalRates_RES_2[[#This Row],[Rate name]:[Rate name]],
IF(OP_TotalRates_RES_2[[#This Row],[Rate name]:[Rate name]]="Anytime - supply","Anytime","TOU"))),4)</calculatedColumnFormula>
    </tableColumn>
    <tableColumn id="9" xr3:uid="{B5E44275-79B2-41BC-8097-33A90558A19F}" name="United Energy" dataDxfId="1027" dataCellStyle="Table cell">
      <calculatedColumnFormula array="1">ROUND(
SUMIFS(OP_Rates_RES_2[United Energy],OP_Rates_RES_2[[Rate name]:[Rate name]],OP_TotalRates_RES_2[[#This Row],[Rate name]:[Rate name]])+
SUMIFS(OP_RatesTU_RES_2[United Energy],
OP_RatesTU_RES_2[[Rate name]:[Rate name]],
IF(OP_TotalRates_RES_2[[#This Row],[Unit]:[Unit]]&lt;&gt;"$",OP_TotalRates_RES_2[[#This Row],[Rate name]:[Rate name]],
IF(OP_TotalRates_RES_2[[#This Row],[Rate name]:[Rate name]]="Anytime - supply","Anytime","TOU"))),4)</calculatedColumnFormula>
    </tableColumn>
  </tableColumns>
  <tableStyleInfo name="Default tabl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C8BAC026-C1B6-4BBE-84CC-0B1B6A6DB986}" name="Input_TUNet_Props" displayName="Input_TUNet_Props" ref="C209:J219" totalsRowShown="0" headerRowDxfId="486" headerRowBorderDxfId="485" tableBorderDxfId="484" headerRowCellStyle="Table col heading" dataCellStyle="Auto-populated">
  <tableColumns count="8">
    <tableColumn id="1" xr3:uid="{2DBA4652-0938-4C79-8D72-499B986F9883}" name="Usage type" dataCellStyle="Table cell"/>
    <tableColumn id="2" xr3:uid="{75B9397F-A913-4033-B85B-30AE1AB9B46E}" name="Customer type" dataCellStyle="Table cell"/>
    <tableColumn id="3" xr3:uid="{F2657174-5E8D-4ABF-9E60-E26277703A2F}" name="Unit" dataDxfId="483" dataCellStyle="Table cell"/>
    <tableColumn id="4" xr3:uid="{BCD7E7F5-7837-4A4A-BC75-7873E680C9D8}" name="F-PreviousVDO_Input" dataDxfId="482" dataCellStyle="Auto-populated">
      <calculatedColumnFormula array="1">IFERROR(INDEX(Input_Usage[[F-PreviousVDO_Input]:[F-CurrentVDO_Input]],MATCH(1,(Input_Usage[[Usage type]:[Usage type]]=$C210)*(Input_Usage[[Profile name]:[Profile name]]=$D210&amp;" - medium"),0),MATCH(F$209,Input_Usage[[#Headers],[F-PreviousVDO_Input]:[F-CurrentVDO_Input]],0))/
INDEX(Input_Usage[[F-PreviousVDO_Input]:[F-CurrentVDO_Input]],MATCH(1,(Input_Usage[[Usage type]:[Usage type]]="Annual")*(Input_Usage[[Profile name]:[Profile name]]=$D210&amp;" - medium"),0),MATCH(F$209,Input_Usage[[#Headers],[F-PreviousVDO_Input]:[F-CurrentVDO_Input]],0)),"-")</calculatedColumnFormula>
    </tableColumn>
    <tableColumn id="5" xr3:uid="{D2F3AB18-2C9E-45E8-8C9E-E420DEB79DF1}" name="VD-PreviousVDO_Input" dataDxfId="481" dataCellStyle="Auto-populated">
      <calculatedColumnFormula array="1">IFERROR(INDEX(Input_Usage[[F-PreviousVDO_Input]:[F-CurrentVDO_Input]],MATCH(1,(Input_Usage[[Usage type]:[Usage type]]=$C210)*(Input_Usage[[Profile name]:[Profile name]]=$D210&amp;" - medium"),0),MATCH(G$209,Input_Usage[[#Headers],[F-PreviousVDO_Input]:[F-CurrentVDO_Input]],0))/
INDEX(Input_Usage[[F-PreviousVDO_Input]:[F-CurrentVDO_Input]],MATCH(1,(Input_Usage[[Usage type]:[Usage type]]="Annual")*(Input_Usage[[Profile name]:[Profile name]]=$D210&amp;" - medium"),0),MATCH(G$209,Input_Usage[[#Headers],[F-PreviousVDO_Input]:[F-CurrentVDO_Input]],0)),"-")</calculatedColumnFormula>
    </tableColumn>
    <tableColumn id="6" xr3:uid="{348ADD9E-7A12-4018-B3D2-8BAB000CFE50}" name="VF-PreviousVDO_Input" dataDxfId="480" dataCellStyle="Auto-populated">
      <calculatedColumnFormula array="1">IFERROR(INDEX(Input_Usage[[F-PreviousVDO_Input]:[F-CurrentVDO_Input]],MATCH(1,(Input_Usage[[Usage type]:[Usage type]]=$C210)*(Input_Usage[[Profile name]:[Profile name]]=$D210&amp;" - medium"),0),MATCH(H$209,Input_Usage[[#Headers],[F-PreviousVDO_Input]:[F-CurrentVDO_Input]],0))/
INDEX(Input_Usage[[F-PreviousVDO_Input]:[F-CurrentVDO_Input]],MATCH(1,(Input_Usage[[Usage type]:[Usage type]]="Annual")*(Input_Usage[[Profile name]:[Profile name]]=$D210&amp;" - medium"),0),MATCH(H$209,Input_Usage[[#Headers],[F-PreviousVDO_Input]:[F-CurrentVDO_Input]],0)),"-")</calculatedColumnFormula>
    </tableColumn>
    <tableColumn id="7" xr3:uid="{A1DE9E87-5783-4807-81CF-43D6D8E49FDA}" name="D-CurrentVDO_Input" dataDxfId="479" dataCellStyle="Auto-populated">
      <calculatedColumnFormula array="1">IFERROR(INDEX(Input_Usage[[F-PreviousVDO_Input]:[F-CurrentVDO_Input]],MATCH(1,(Input_Usage[[Usage type]:[Usage type]]=$C210)*(Input_Usage[[Profile name]:[Profile name]]=$D210&amp;" - medium"),0),MATCH(I$209,Input_Usage[[#Headers],[F-PreviousVDO_Input]:[F-CurrentVDO_Input]],0))/
INDEX(Input_Usage[[F-PreviousVDO_Input]:[F-CurrentVDO_Input]],MATCH(1,(Input_Usage[[Usage type]:[Usage type]]="Annual")*(Input_Usage[[Profile name]:[Profile name]]=$D210&amp;" - medium"),0),MATCH(I$209,Input_Usage[[#Headers],[F-PreviousVDO_Input]:[F-CurrentVDO_Input]],0)),"-")</calculatedColumnFormula>
    </tableColumn>
    <tableColumn id="8" xr3:uid="{13F09CC0-B0F3-4AE8-AA2D-613A53A62DA8}" name="F-CurrentVDO_Input" dataDxfId="478" dataCellStyle="Auto-populated">
      <calculatedColumnFormula array="1">IFERROR(INDEX(Input_Usage[[F-PreviousVDO_Input]:[F-CurrentVDO_Input]],MATCH(1,(Input_Usage[[Usage type]:[Usage type]]=$C210)*(Input_Usage[[Profile name]:[Profile name]]=$D210&amp;" - medium"),0),MATCH(J$209,Input_Usage[[#Headers],[F-PreviousVDO_Input]:[F-CurrentVDO_Input]],0))/
INDEX(Input_Usage[[F-PreviousVDO_Input]:[F-CurrentVDO_Input]],MATCH(1,(Input_Usage[[Usage type]:[Usage type]]="Annual")*(Input_Usage[[Profile name]:[Profile name]]=$D210&amp;" - medium"),0),MATCH(J$209,Input_Usage[[#Headers],[F-PreviousVDO_Input]:[F-CurrentVDO_Input]],0)),"-")</calculatedColumnFormula>
    </tableColumn>
  </tableColumns>
  <tableStyleInfo name="Default tabl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4D97AFB3-DCE9-45DD-B8EB-9D28A04F3586}" name="Input_TUNet_Dates" displayName="Input_TUNet_Dates" ref="C229:L233" totalsRowShown="0" headerRowDxfId="477" headerRowBorderDxfId="476" tableBorderDxfId="475" headerRowCellStyle="Table col heading">
  <tableColumns count="10">
    <tableColumn id="1" xr3:uid="{3400616B-DA51-43D8-86A8-28DA7C337CAA}" name="Cost element" dataCellStyle="Table cell"/>
    <tableColumn id="2" xr3:uid="{D74AC5A3-67A3-4F51-B31A-8E1961DE6A29}" name="Item" dataCellStyle="Table cell"/>
    <tableColumn id="3" xr3:uid="{795C8EA9-FFE7-4316-A129-A469C73F917B}" name="Unit" dataDxfId="474" dataCellStyle="Table cell"/>
    <tableColumn id="4" xr3:uid="{CB5B1ABC-2D02-43FF-A397-2D236BF350C4}" name="F-PreviousVDO_Input" dataDxfId="473" dataCellStyle="Input"/>
    <tableColumn id="5" xr3:uid="{05462B30-D747-4BDF-8097-7280A9CF6E22}" name="VD-PreviousVDO_Input" dataDxfId="472" dataCellStyle="Input"/>
    <tableColumn id="6" xr3:uid="{CE860765-E0ED-4B1D-85C5-C5F321E1B046}" name="VF-PreviousVDO_Input" dataDxfId="471" dataCellStyle="Input"/>
    <tableColumn id="7" xr3:uid="{6E09A357-E9FB-456C-94E0-03594AE0C2F8}" name="D-CurrentVDO_Input" dataDxfId="470" dataCellStyle="Input"/>
    <tableColumn id="8" xr3:uid="{6513D48C-CA96-442D-A076-772D8F992618}" name="F-CurrentVDO_Input" dataDxfId="469" dataCellStyle="Input"/>
    <tableColumn id="9" xr3:uid="{0B03811D-CA78-4491-B249-4E0A8B480F33}" name="D-NextVDO_Input" dataDxfId="468" dataCellStyle="Input"/>
    <tableColumn id="10" xr3:uid="{7D4A5561-6C06-4C85-AA13-556C7D22F0EB}" name="F-NextVDO_Input" dataDxfId="467" dataCellStyle="Input"/>
  </tableColumns>
  <tableStyleInfo name="Default tabl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C5B26F8-6641-412E-849B-B69FADA0CDB5}" name="Input_TU_Periods" displayName="Input_TU_Periods" ref="D240:L241" totalsRowShown="0" headerRowDxfId="466" headerRowBorderDxfId="465" tableBorderDxfId="464" headerRowCellStyle="Table col heading" dataCellStyle="Input">
  <tableColumns count="9">
    <tableColumn id="1" xr3:uid="{8FCB2327-57E7-4735-A4C5-C5DE9A2465D7}" name="Item" dataDxfId="463" dataCellStyle="Table cell"/>
    <tableColumn id="2" xr3:uid="{B9AC8812-3C0A-4350-A58B-47B777CCB01C}" name="Unit" dataDxfId="462" dataCellStyle="Table cell"/>
    <tableColumn id="3" xr3:uid="{0345C767-3ED1-4D4E-A3EA-93A995889499}" name="F-PreviousVDO_Input" dataCellStyle="Input"/>
    <tableColumn id="4" xr3:uid="{46CC919D-E1F1-4AF2-AB8B-2719E145382B}" name="VD-PreviousVDO_Input" dataCellStyle="Input"/>
    <tableColumn id="5" xr3:uid="{EB10D9F4-15DC-43A5-9786-20AB218AB079}" name="VF-PreviousVDO_Input" dataCellStyle="Input"/>
    <tableColumn id="6" xr3:uid="{84360244-BED1-48A8-9B1E-452A67AB9B79}" name="D-CurrentVDO_Input" dataCellStyle="Input"/>
    <tableColumn id="7" xr3:uid="{254EE791-2BB6-4600-A16D-B6C42632EC43}" name="F-CurrentVDO_Input" dataDxfId="461" dataCellStyle="Input"/>
    <tableColumn id="8" xr3:uid="{2ADFBA22-2281-4A62-A379-A89015C8DD9C}" name="D-NextVDO_Input" dataCellStyle="Input"/>
    <tableColumn id="9" xr3:uid="{D712A1E2-F321-4116-9B42-8E12F26089FB}" name="F-NextVDO_Input" dataCellStyle="Input"/>
  </tableColumns>
  <tableStyleInfo name="Default tabl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904957F-79CC-4A0B-9F3C-7ED44B133D9D}" name="VDOdecisions" displayName="VDOdecisions" ref="C22:D27" tableType="queryTable" totalsRowShown="0" dataDxfId="460" dataCellStyle="Auto-populated">
  <tableColumns count="2">
    <tableColumn id="1" xr3:uid="{E095E8C5-EFB3-403E-AA31-BE5930A54881}" uniqueName="1" name="VDO decision" queryTableFieldId="1" dataDxfId="459" dataCellStyle="Auto-populated"/>
    <tableColumn id="2" xr3:uid="{2FB823D1-94AB-43A2-9393-44A217C3B50C}" uniqueName="2" name="Index" queryTableFieldId="2" dataDxfId="458" dataCellStyle="Auto-populated"/>
  </tableColumns>
  <tableStyleInfo name="Default tabl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FD37C0D-F81D-404D-9D4D-999445A3BF5F}" name="CPI" displayName="CPI" ref="C26:D66" totalsRowShown="0" headerRowBorderDxfId="457" tableBorderDxfId="456">
  <tableColumns count="2">
    <tableColumn id="1" xr3:uid="{9AA9E4FD-AEA6-406E-B536-E0A3240360A5}" name="Period" dataDxfId="455" dataCellStyle="Table cell"/>
    <tableColumn id="3" xr3:uid="{9BE9725C-E6DE-44E0-8817-4E84A297FEDC}" name="Indice" dataDxfId="454" dataCellStyle="Input"/>
  </tableColumns>
  <tableStyleInfo name="Default tabl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D98B252-0493-456C-9FF8-D3A3C4E4B6C1}" name="Input_CPI" displayName="Input_CPI" ref="C7:E17" totalsRowShown="0" headerRowBorderDxfId="453" tableBorderDxfId="452">
  <tableColumns count="3">
    <tableColumn id="1" xr3:uid="{E8446AF5-A1A4-4342-A74F-83AC0A1E0759}" name="Decision paper" dataCellStyle="Table cell"/>
    <tableColumn id="2" xr3:uid="{59E16007-75E9-4AF1-B2EE-5F57503967A5}" name="Date" dataDxfId="451" dataCellStyle="Hard-coded"/>
    <tableColumn id="3" xr3:uid="{B00403BA-623F-461C-A57F-1A628BADCABC}" name="Indice" dataDxfId="450" dataCellStyle="Auto-populated">
      <calculatedColumnFormula>IFERROR(INDEX(CPI[Indice],MATCH(D8,CPI[Period],0),1),"-")</calculatedColumnFormula>
    </tableColumn>
  </tableColumns>
  <tableStyleInfo name="Default tabl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89C9C582-8686-4E87-8AEB-A24AEF036B26}" name="Input_CostItemCPI" displayName="Input_CostItemCPI" ref="C71:J81" totalsRowShown="0">
  <tableColumns count="8">
    <tableColumn id="1" xr3:uid="{0D014813-4592-4A76-9F85-7E31C35F5F07}" name="Cost item"/>
    <tableColumn id="2" xr3:uid="{43EA9C8A-818D-4C08-B5BB-65B2A872736C}" name="VDO 2021 - Final" dataCellStyle="Input"/>
    <tableColumn id="3" xr3:uid="{D576BC92-5639-4C2B-89E7-C1A9D3C71B8B}" name="VDO 2021 - Variation draft" dataCellStyle="Input"/>
    <tableColumn id="4" xr3:uid="{CB4AA906-4EC4-4ECA-BEED-A4D88472738A}" name="VDO 2021 - Variation final" dataCellStyle="Input"/>
    <tableColumn id="5" xr3:uid="{9C198365-D838-4E7C-8732-383A5C0B4BC2}" name="VDO 2022 - Draft" dataCellStyle="Input"/>
    <tableColumn id="6" xr3:uid="{42D201D9-C45B-416B-9904-1345845CA9AA}" name="VDO 2022 - Final" dataCellStyle="Input"/>
    <tableColumn id="7" xr3:uid="{DAC0FFD0-79FB-42CE-9275-CB0712C0D7E2}" name="VDO 2022-23 - Draft" dataCellStyle="Input"/>
    <tableColumn id="8" xr3:uid="{BE6F0D71-6FFB-4DF9-A322-B20C81A650EE}" name="VDO 2022-23 - Final" dataCellStyle="Input"/>
  </tableColumns>
  <tableStyleInfo name="Default tabl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F9E3F01-29C8-44C9-A414-7871D361A8AB}" name="CostStackCalcs_RES_1" displayName="CostStackCalcs_RES_1" ref="C53:I67" totalsRowShown="0" headerRowDxfId="449" dataDxfId="447" headerRowBorderDxfId="448" tableBorderDxfId="446" totalsRowBorderDxfId="445" headerRowCellStyle="Table col heading" dataCellStyle="Table cell">
  <tableColumns count="7">
    <tableColumn id="1" xr3:uid="{D106242E-21EB-4A0E-B344-1AB2FF19A01B}" name="Labels" totalsRowDxfId="444" dataCellStyle="Table cell" totalsRowCellStyle="Table cell"/>
    <tableColumn id="2" xr3:uid="{3C70B015-29DB-4964-972A-695201DCF3BC}" name="Ausnet" dataDxfId="443" totalsRowDxfId="442" dataCellStyle="Table cell" totalsRowCellStyle="Table cell"/>
    <tableColumn id="3" xr3:uid="{0AD4E9C4-5D09-4770-901B-5C1E3759883B}" name="Citipower" dataDxfId="441" totalsRowDxfId="440" dataCellStyle="Table cell" totalsRowCellStyle="Table cell"/>
    <tableColumn id="4" xr3:uid="{BF620EA6-2229-4539-B3B0-5BC29CC007DD}" name="Jemena" dataDxfId="439" totalsRowDxfId="438" dataCellStyle="Table cell" totalsRowCellStyle="Table cell"/>
    <tableColumn id="5" xr3:uid="{4133A035-3084-4EEF-A863-1EC0692E3CC2}" name="Powercor" dataDxfId="437" totalsRowDxfId="436" dataCellStyle="Table cell" totalsRowCellStyle="Table cell"/>
    <tableColumn id="6" xr3:uid="{A843CB81-15B3-4B2D-84D5-26699752FA91}" name="United Energy" dataDxfId="435" totalsRowDxfId="434" dataCellStyle="Table cell" totalsRowCellStyle="Table cell"/>
    <tableColumn id="7" xr3:uid="{50EEE76A-8C20-4F06-B255-968B1E0C54FD}" name="Average" dataDxfId="433" totalsRowDxfId="432" dataCellStyle="Table cell" totalsRowCellStyle="Table cell">
      <calculatedColumnFormula>AVERAGE(D54:H54)</calculatedColumnFormula>
    </tableColumn>
  </tableColumns>
  <tableStyleInfo name="Default tabl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6179DB5-FA7C-453D-BCAA-CFC8D6B6B71C}" name="CostStackCalcs_RES_2" displayName="CostStackCalcs_RES_2" ref="K53:Q67" totalsRowShown="0" headerRowDxfId="431" dataDxfId="429" headerRowBorderDxfId="430" tableBorderDxfId="428" totalsRowBorderDxfId="427" headerRowCellStyle="Table col heading" dataCellStyle="Table cell">
  <tableColumns count="7">
    <tableColumn id="1" xr3:uid="{DE7FFC73-2AD0-47FF-A4F7-7571FF420246}" name="Labels" dataCellStyle="Table cell"/>
    <tableColumn id="2" xr3:uid="{69D5ADF0-E7AC-497D-949C-17575A9CFE5A}" name="Ausnet" dataDxfId="426" dataCellStyle="Table cell"/>
    <tableColumn id="3" xr3:uid="{67A4DAED-588E-4FE9-9BC6-81A483ACFE9D}" name="Citipower" dataDxfId="425" dataCellStyle="Table cell"/>
    <tableColumn id="4" xr3:uid="{DEE0DA33-879A-4CB0-B36E-4211E6462461}" name="Jemena" dataDxfId="424" dataCellStyle="Table cell"/>
    <tableColumn id="5" xr3:uid="{CB4323C2-850F-462B-967E-A38994ABFA74}" name="Powercor" dataDxfId="423" dataCellStyle="Table cell"/>
    <tableColumn id="6" xr3:uid="{B24BAD99-7BC5-48BD-B5A9-07A1D77B671B}" name="United Energy" dataDxfId="422" dataCellStyle="Table cell"/>
    <tableColumn id="7" xr3:uid="{A155A648-45F0-43A2-9EC9-85FF59A92B09}" name="Average" dataDxfId="421" dataCellStyle="Table cell">
      <calculatedColumnFormula>AVERAGE(L54:P54)</calculatedColumnFormula>
    </tableColumn>
  </tableColumns>
  <tableStyleInfo name="Default tabl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D91FF584-297C-451A-8475-8C713D8EEEBA}" name="CH_BITariff" displayName="CH_BITariff" ref="C92:O122" totalsRowShown="0" headerRowDxfId="420" headerRowBorderDxfId="419" tableBorderDxfId="418" headerRowCellStyle="Table col heading">
  <tableColumns count="13">
    <tableColumn id="1" xr3:uid="{4F272113-4D29-4517-A819-649625886D10}" name="Rate name" dataCellStyle="Table cell"/>
    <tableColumn id="2" xr3:uid="{0169AAAE-00BE-45D0-B8B5-48A0290B03CB}" name="Unit" dataCellStyle="Table cell"/>
    <tableColumn id="4" xr3:uid="{F3D63856-1388-48DB-B33C-F5CA49BF97F5}" name="Decision" dataCellStyle="Table cell"/>
    <tableColumn id="3" xr3:uid="{62267519-6FCF-4AAB-9447-7603AF65F478}" name="Customer type" dataCellStyle="Table cell"/>
    <tableColumn id="10" xr3:uid="{E6AC12E3-C80E-4D2D-BD2C-50E22D27A996}" name="Tariff type" dataCellStyle="Table cell"/>
    <tableColumn id="5" xr3:uid="{04B01605-F030-4C8B-B500-DEF6ACAB6997}" name="Ausnet" dataDxfId="417" dataCellStyle="Table cell">
      <calculatedColumnFormula>IF($E93="VDO 2021 - Variation Final",
IF($F93="Residential",
INDEX(OP_TotalRates_RES_1[],MATCH($C93,OP_TotalRates_RES_1[Rate name],0),MATCH(H$92,OP_TotalRates_RES_1[#Headers],0)),
INDEX(OP_TotalRates_SME_1[],MATCH($C93,OP_TotalRates_SME_1[Rate name],0),MATCH(H$92,OP_TotalRates_SME_1[#Headers],0))),
IF($F93="Residential",
INDEX(OP_TotalRates_RES_2[],MATCH($C93,OP_TotalRates_RES_2[Rate name],0),MATCH(H$92,OP_TotalRates_RES_2[#Headers],0)),
INDEX(OP_TotalRates_SME_2[],MATCH($C93,OP_TotalRates_SME_2[Rate name],0),MATCH(H$92,OP_TotalRates_SME_2[#Headers],0))))</calculatedColumnFormula>
    </tableColumn>
    <tableColumn id="6" xr3:uid="{67D660E5-4C74-47D9-93AE-50B30D54B5E9}" name="Citipower" dataDxfId="416" dataCellStyle="Table cell">
      <calculatedColumnFormula>IF($E93="VDO 2021 - Variation Final",
IF($F93="Residential",
INDEX(OP_TotalRates_RES_1[],MATCH($C93,OP_TotalRates_RES_1[Rate name],0),MATCH(I$92,OP_TotalRates_RES_1[#Headers],0)),
INDEX(OP_TotalRates_SME_1[],MATCH($C93,OP_TotalRates_SME_1[Rate name],0),MATCH(I$92,OP_TotalRates_SME_1[#Headers],0))),
IF($F93="Residential",
INDEX(OP_TotalRates_RES_2[],MATCH($C93,OP_TotalRates_RES_2[Rate name],0),MATCH(I$92,OP_TotalRates_RES_2[#Headers],0)),
INDEX(OP_TotalRates_SME_2[],MATCH($C93,OP_TotalRates_SME_2[Rate name],0),MATCH(I$92,OP_TotalRates_SME_2[#Headers],0))))</calculatedColumnFormula>
    </tableColumn>
    <tableColumn id="7" xr3:uid="{D9AC426C-0B64-47B8-B431-E7E29DE8638F}" name="Jemena" dataDxfId="415" dataCellStyle="Table cell">
      <calculatedColumnFormula>IF($E93="VDO 2021 - Variation Final",
IF($F93="Residential",
INDEX(OP_TotalRates_RES_1[],MATCH($C93,OP_TotalRates_RES_1[Rate name],0),MATCH(J$92,OP_TotalRates_RES_1[#Headers],0)),
INDEX(OP_TotalRates_SME_1[],MATCH($C93,OP_TotalRates_SME_1[Rate name],0),MATCH(J$92,OP_TotalRates_SME_1[#Headers],0))),
IF($F93="Residential",
INDEX(OP_TotalRates_RES_2[],MATCH($C93,OP_TotalRates_RES_2[Rate name],0),MATCH(J$92,OP_TotalRates_RES_2[#Headers],0)),
INDEX(OP_TotalRates_SME_2[],MATCH($C93,OP_TotalRates_SME_2[Rate name],0),MATCH(J$92,OP_TotalRates_SME_2[#Headers],0))))</calculatedColumnFormula>
    </tableColumn>
    <tableColumn id="8" xr3:uid="{C365D014-FA58-4A77-A4D4-5E41DFE0E0BC}" name="Powercor" dataDxfId="414" dataCellStyle="Table cell">
      <calculatedColumnFormula>IF($E93="VDO 2021 - Variation Final",
IF($F93="Residential",
INDEX(OP_TotalRates_RES_1[],MATCH($C93,OP_TotalRates_RES_1[Rate name],0),MATCH(K$92,OP_TotalRates_RES_1[#Headers],0)),
INDEX(OP_TotalRates_SME_1[],MATCH($C93,OP_TotalRates_SME_1[Rate name],0),MATCH(K$92,OP_TotalRates_SME_1[#Headers],0))),
IF($F93="Residential",
INDEX(OP_TotalRates_RES_2[],MATCH($C93,OP_TotalRates_RES_2[Rate name],0),MATCH(K$92,OP_TotalRates_RES_2[#Headers],0)),
INDEX(OP_TotalRates_SME_2[],MATCH($C93,OP_TotalRates_SME_2[Rate name],0),MATCH(K$92,OP_TotalRates_SME_2[#Headers],0))))</calculatedColumnFormula>
    </tableColumn>
    <tableColumn id="9" xr3:uid="{0F3E6A1A-CAF4-4B9D-9E21-4D98DFCA2A48}" name="United Energy" dataDxfId="413" dataCellStyle="Table cell">
      <calculatedColumnFormula>IF($E93="VDO 2021 - Variation Final",
IF($F93="Residential",
INDEX(OP_TotalRates_RES_1[],MATCH($C93,OP_TotalRates_RES_1[Rate name],0),MATCH(L$92,OP_TotalRates_RES_1[#Headers],0)),
INDEX(OP_TotalRates_SME_1[],MATCH($C93,OP_TotalRates_SME_1[Rate name],0),MATCH(L$92,OP_TotalRates_SME_1[#Headers],0))),
IF($F93="Residential",
INDEX(OP_TotalRates_RES_2[],MATCH($C93,OP_TotalRates_RES_2[Rate name],0),MATCH(L$92,OP_TotalRates_RES_2[#Headers],0)),
INDEX(OP_TotalRates_SME_2[],MATCH($C93,OP_TotalRates_SME_2[Rate name],0),MATCH(L$92,OP_TotalRates_SME_2[#Headers],0))))</calculatedColumnFormula>
    </tableColumn>
    <tableColumn id="11" xr3:uid="{A48A1D97-6FCC-441B-846B-46B2D0EB7738}" name=" " dataDxfId="412" dataCellStyle="Table cell"/>
    <tableColumn id="12" xr3:uid="{E12A0AA7-B6E2-4340-944A-C13A9A1B5AF1}" name="Usage unit" dataDxfId="411" dataCellStyle="Table cell"/>
    <tableColumn id="13" xr3:uid="{08751868-A336-45A7-A42B-856414246B5A}" name="Usage value" dataDxfId="410" dataCellStyle="Table cell">
      <calculatedColumnFormula>IF(CH_BITariff[[#This Row],[Usage unit]]="Days",DiY,SUMIFS(INDEX(Input_Usage[[F-PreviousVDO_Input]:[F-CurrentVDO_Input]],0,MATCH(CH_BITariff[[#This Row],[Decision]],Inputs!$I$134:$M$134,0)),Input_Usage[Usage type],CH_BITariff[[#This Row],[Rate name]],Input_Usage[Profile name],CH_BITariff[[#This Row],[Customer type]]&amp;" - medium"))</calculatedColumnFormula>
    </tableColumn>
  </tableColumns>
  <tableStyleInfo name="Default tabl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504AC9F5-FD18-4D06-A7AC-1599A20A14AB}" name="OP_TotalRates_SME_2" displayName="OP_TotalRates_SME_2" ref="M81:U89" totalsRowShown="0" headerRowDxfId="1026" headerRowBorderDxfId="1025" tableBorderDxfId="1024" totalsRowBorderDxfId="1023" headerRowCellStyle="Table col heading" dataCellStyle="Table cell">
  <tableColumns count="9">
    <tableColumn id="1" xr3:uid="{DC5AEBFC-A846-492A-9A3D-3C7B70A489D9}" name="Rate name" dataCellStyle="Table cell"/>
    <tableColumn id="2" xr3:uid="{61A248F6-55CA-4DCE-9C91-D6A9AED0FDC4}" name="Unit" dataCellStyle="Table cell"/>
    <tableColumn id="3" xr3:uid="{CBD751F5-C15F-4B12-80C4-7B799928ED9C}" name="Customer type" dataCellStyle="Table cell"/>
    <tableColumn id="4" xr3:uid="{5030C31E-5AD7-4F56-A84F-C30DC69E7E84}" name="-" dataCellStyle="Table cell"/>
    <tableColumn id="5" xr3:uid="{CB1F387B-FA11-477B-9107-645E6D46001E}" name="Ausnet" dataDxfId="1022" dataCellStyle="Table cell">
      <calculatedColumnFormula array="1">ROUND(
SUMIFS(OP_Rates_SME_2[Ausnet],OP_Rates_SME_2[[Rate name]:[Rate name]],OP_TotalRates_SME_2[[#This Row],[Rate name]:[Rate name]])+
SUMIFS(OP_RatesTU_SME_2[Ausnet],
OP_RatesTU_SME_2[[Rate name]:[Rate name]],
IF(OP_TotalRates_SME_2[[#This Row],[Unit]:[Unit]]&lt;&gt;"$",OP_TotalRates_SME_2[[#This Row],[Rate name]:[Rate name]],
IF(OP_TotalRates_SME_2[[#This Row],[Rate name]:[Rate name]]="Anytime - supply","Anytime","TOU"))),4)</calculatedColumnFormula>
    </tableColumn>
    <tableColumn id="6" xr3:uid="{18B5BA61-65BA-4620-AB6C-9F9986211959}" name="Citipower" dataDxfId="1021" dataCellStyle="Table cell">
      <calculatedColumnFormula array="1">ROUND(
SUMIFS(OP_Rates_SME_2[Citipower],OP_Rates_SME_2[[Rate name]:[Rate name]],OP_TotalRates_SME_2[[#This Row],[Rate name]:[Rate name]])+
SUMIFS(OP_RatesTU_SME_2[Citipower],
OP_RatesTU_SME_2[[Rate name]:[Rate name]],
IF(OP_TotalRates_SME_2[[#This Row],[Unit]:[Unit]]&lt;&gt;"$",OP_TotalRates_SME_2[[#This Row],[Rate name]:[Rate name]],
IF(OP_TotalRates_SME_2[[#This Row],[Rate name]:[Rate name]]="Anytime - supply","Anytime","TOU"))),4)</calculatedColumnFormula>
    </tableColumn>
    <tableColumn id="7" xr3:uid="{659B9969-5A85-4180-AA25-716A2E7F41B2}" name="Jemena" dataDxfId="1020" dataCellStyle="Table cell">
      <calculatedColumnFormula array="1">ROUND(
SUMIFS(OP_Rates_SME_2[Jemena],OP_Rates_SME_2[[Rate name]:[Rate name]],OP_TotalRates_SME_2[[#This Row],[Rate name]:[Rate name]])+
SUMIFS(OP_RatesTU_SME_2[Jemena],
OP_RatesTU_SME_2[[Rate name]:[Rate name]],
IF(OP_TotalRates_SME_2[[#This Row],[Unit]:[Unit]]&lt;&gt;"$",OP_TotalRates_SME_2[[#This Row],[Rate name]:[Rate name]],
IF(OP_TotalRates_SME_2[[#This Row],[Rate name]:[Rate name]]="Anytime - supply","Anytime","TOU"))),4)</calculatedColumnFormula>
    </tableColumn>
    <tableColumn id="8" xr3:uid="{17A869EE-93CC-4116-83C5-BA1B6DD4154B}" name="Powercor" dataDxfId="1019" dataCellStyle="Table cell">
      <calculatedColumnFormula array="1">ROUND(
SUMIFS(OP_Rates_SME_2[Powercor],OP_Rates_SME_2[[Rate name]:[Rate name]],OP_TotalRates_SME_2[[#This Row],[Rate name]:[Rate name]])+
SUMIFS(OP_RatesTU_SME_2[Powercor],
OP_RatesTU_SME_2[[Rate name]:[Rate name]],
IF(OP_TotalRates_SME_2[[#This Row],[Unit]:[Unit]]&lt;&gt;"$",OP_TotalRates_SME_2[[#This Row],[Rate name]:[Rate name]],
IF(OP_TotalRates_SME_2[[#This Row],[Rate name]:[Rate name]]="Anytime - supply","Anytime","TOU"))),4)</calculatedColumnFormula>
    </tableColumn>
    <tableColumn id="9" xr3:uid="{763A5092-A841-48AE-A61A-D58EAB0E4FA5}" name="United Energy" dataDxfId="1018" dataCellStyle="Table cell">
      <calculatedColumnFormula array="1">ROUND(
SUMIFS(OP_Rates_SME_2[United Energy],OP_Rates_SME_2[[Rate name]:[Rate name]],OP_TotalRates_SME_2[[#This Row],[Rate name]:[Rate name]])+
SUMIFS(OP_RatesTU_SME_2[United Energy],
OP_RatesTU_SME_2[[Rate name]:[Rate name]],
IF(OP_TotalRates_SME_2[[#This Row],[Unit]:[Unit]]&lt;&gt;"$",OP_TotalRates_SME_2[[#This Row],[Rate name]:[Rate name]],
IF(OP_TotalRates_SME_2[[#This Row],[Rate name]:[Rate name]]="Anytime - supply","Anytime","TOU"))),4)</calculatedColumnFormula>
    </tableColumn>
  </tableColumns>
  <tableStyleInfo name="Default tabl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1E45F1-9789-4232-AF6F-6AE8D87B2135}" name="CH_BITariff131" displayName="CH_BITariff131" ref="C125:L155" totalsRowShown="0" headerRowDxfId="409" headerRowBorderDxfId="408" tableBorderDxfId="407" headerRowCellStyle="Table col heading" dataCellStyle="Table cell">
  <tableColumns count="10">
    <tableColumn id="1" xr3:uid="{86A4C16C-163C-4332-BF80-34FE1258EDC3}" name="Rate name" dataCellStyle="Table cell"/>
    <tableColumn id="2" xr3:uid="{FEFA48ED-4C44-40C8-9A17-E5BC24598229}" name="Unit" dataCellStyle="Table cell"/>
    <tableColumn id="4" xr3:uid="{B1028968-C6F1-47B8-A2FE-6E7BDCC7442B}" name="Decision" dataCellStyle="Table cell"/>
    <tableColumn id="3" xr3:uid="{89BA1B9A-27F6-4C9B-8877-2688B895084B}" name="Customer type" dataCellStyle="Table cell"/>
    <tableColumn id="10" xr3:uid="{6BC65362-1CAF-47BC-B123-F4C18BCC3CBC}" name="Tariff type" dataCellStyle="Table cell"/>
    <tableColumn id="5" xr3:uid="{E2BF789B-F0F5-40F3-84BB-1D8E4A45D1C2}" name="Ausnet" dataDxfId="406" dataCellStyle="Table cell">
      <calculatedColumnFormula>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calculatedColumnFormula>
    </tableColumn>
    <tableColumn id="11" xr3:uid="{60364EDB-4248-47FB-8EE4-C2915BE2D508}" name="Citipower" dataDxfId="405" dataCellStyle="Table cell">
      <calculatedColumnFormula>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calculatedColumnFormula>
    </tableColumn>
    <tableColumn id="12" xr3:uid="{BE2CF4CC-ADBC-46FF-8867-0929F1454626}" name="Jemena" dataDxfId="404" dataCellStyle="Table cell">
      <calculatedColumnFormula>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calculatedColumnFormula>
    </tableColumn>
    <tableColumn id="13" xr3:uid="{9BAE6DA5-6534-49F5-9DFA-C59D7353E1B8}" name="Powercor" dataDxfId="403" dataCellStyle="Table cell">
      <calculatedColumnFormula>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calculatedColumnFormula>
    </tableColumn>
    <tableColumn id="14" xr3:uid="{796D05C8-68E7-4FBB-98F3-4841F09011E9}" name="United Energy" dataDxfId="402" dataCellStyle="Table cell">
      <calculatedColumnFormula>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calculatedColumnFormula>
    </tableColumn>
  </tableColumns>
  <tableStyleInfo name="Default tabl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25548D9-D869-4CEA-A145-48C25147C092}" name="HYBills_RES" displayName="HYBills_RES" ref="C9:I12" totalsRowShown="0" headerRowDxfId="401" headerRowBorderDxfId="400" tableBorderDxfId="399" totalsRowBorderDxfId="398" headerRowCellStyle="Table col heading">
  <tableColumns count="7">
    <tableColumn id="1" xr3:uid="{6438E7B9-80FD-480C-B068-F6904E4D17BA}" name="Usage profile" dataDxfId="397" dataCellStyle="Auto-populated"/>
    <tableColumn id="2" xr3:uid="{7441C0E6-89DC-41C0-A4EC-ED365F0BCB1F}" name="Ausnet" dataDxfId="396"/>
    <tableColumn id="3" xr3:uid="{D8308B78-AD44-457D-8349-674C5AD45012}" name="Citipower" dataDxfId="395"/>
    <tableColumn id="4" xr3:uid="{21CAB1EF-9E6D-4773-BA4A-813C5F6C34C1}" name="Jemena" dataDxfId="394"/>
    <tableColumn id="5" xr3:uid="{51754D47-31CA-4E59-BAC2-DC2D95634127}" name="Powercor" dataDxfId="393"/>
    <tableColumn id="6" xr3:uid="{C704C74A-8761-4F9F-A6D6-8AE7B91893D8}" name="United Energy" dataDxfId="392">
      <calculatedColumnFormula>INDEX(CostStackCalcs_RES_2[#All],MATCH("Total",CostStackCalcs_RES_2[[#All],[Labels]],0),MATCH(H9,CostStackCalcs_RES_2[#Headers],0))</calculatedColumnFormula>
    </tableColumn>
    <tableColumn id="7" xr3:uid="{132E1219-0D98-4769-834F-BEBC83317AD2}" name="Victoria" dataDxfId="391">
      <calculatedColumnFormula>AVERAGE(HYBills_RES[[#This Row],[Ausnet]:[United Energy]])</calculatedColumnFormula>
    </tableColumn>
  </tableColumns>
  <tableStyleInfo name="Default tabl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0C4B6BD-2609-42E4-A1D9-D113FEC4FC74}" name="HYBills_SME" displayName="HYBills_SME" ref="C19:I22" totalsRowShown="0" headerRowDxfId="390" headerRowBorderDxfId="389" tableBorderDxfId="388" totalsRowBorderDxfId="387" headerRowCellStyle="Table col heading">
  <tableColumns count="7">
    <tableColumn id="1" xr3:uid="{E87376E4-B8A6-4B4D-A0E6-51FFF779D4B8}" name="Usage profile" dataDxfId="386" dataCellStyle="Auto-populated"/>
    <tableColumn id="2" xr3:uid="{5CCBF9A8-F1AA-4BD2-B0F7-E70A9BD3DCA4}" name="Ausnet" dataDxfId="385"/>
    <tableColumn id="3" xr3:uid="{B7EE6A2F-7FA7-4EEE-959F-2156C47F64C3}" name="Citipower" dataDxfId="384"/>
    <tableColumn id="4" xr3:uid="{32FB4C06-D06C-4CF8-B781-131E4CA72889}" name="Jemena" dataDxfId="383"/>
    <tableColumn id="5" xr3:uid="{47574D7D-6EB3-463C-9B6A-F96C6307D7B1}" name="Powercor" dataDxfId="382"/>
    <tableColumn id="6" xr3:uid="{F0BBBFCC-F9F5-46A5-BE10-1D6F68912E70}" name="United Energy" dataDxfId="381">
      <calculatedColumnFormula>INDEX(CostStackCalcs_RES_2[#All],MATCH("Total",CostStackCalcs_RES_2[[#All],[Labels]],0),MATCH(H19,CostStackCalcs_RES_2[#Headers],0))</calculatedColumnFormula>
    </tableColumn>
    <tableColumn id="7" xr3:uid="{E4A20E29-1BBD-434A-9BB5-3B70EE84EF81}" name="Victoria" dataDxfId="380">
      <calculatedColumnFormula>AVERAGE(HYBills_SME[[#This Row],[Ausnet]:[United Energy]])</calculatedColumnFormula>
    </tableColumn>
  </tableColumns>
  <tableStyleInfo name="Default tabl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90D73A03-AA62-46C5-98B9-38F596309B3F}" name="HYBillImpact_RES" displayName="HYBillImpact_RES" ref="O9:U12" totalsRowShown="0" headerRowDxfId="379" headerRowBorderDxfId="378" tableBorderDxfId="377" totalsRowBorderDxfId="376" headerRowCellStyle="Table col heading">
  <tableColumns count="7">
    <tableColumn id="1" xr3:uid="{C470D21A-B98C-4A54-BF48-90DC5FDD0625}" name="Usage profile" dataDxfId="375"/>
    <tableColumn id="2" xr3:uid="{0586FB85-303B-4CC6-8326-107DFE791837}" name="Ausnet" dataDxfId="374"/>
    <tableColumn id="3" xr3:uid="{3ED51F18-190F-4063-B46F-3EAF9A8CD0C9}" name="Citipower" dataDxfId="373"/>
    <tableColumn id="4" xr3:uid="{4608B666-468B-4269-B1B4-F6D1DB7084E9}" name="Jemena" dataDxfId="372"/>
    <tableColumn id="5" xr3:uid="{11192B77-7C8A-4549-8ED5-2A108B46DC0F}" name="Powercor" dataDxfId="371"/>
    <tableColumn id="6" xr3:uid="{C9D3A6B2-43D0-4510-BBBF-2FA2F9C4B5A5}" name="United Energy" dataDxfId="370"/>
    <tableColumn id="7" xr3:uid="{5A1FB35B-24B2-4060-96F7-EC12C7C41389}" name="Victoria" dataDxfId="369"/>
  </tableColumns>
  <tableStyleInfo name="Default tabl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0E5BDBD-50AA-4C66-A1B9-BF6F954CABC8}" name="HYBillImpact_SME" displayName="HYBillImpact_SME" ref="O19:U22" totalsRowShown="0" headerRowDxfId="368" headerRowBorderDxfId="367" tableBorderDxfId="366" totalsRowBorderDxfId="365" headerRowCellStyle="Table col heading">
  <tableColumns count="7">
    <tableColumn id="1" xr3:uid="{28866918-E4CC-49E8-9139-FFD8BECD856A}" name="Usage profile"/>
    <tableColumn id="2" xr3:uid="{DA4D7B04-BAFF-46C6-87A1-1B719171F08C}" name="Ausnet" dataDxfId="364"/>
    <tableColumn id="3" xr3:uid="{0715B5E4-E07E-4F75-80AB-85D9A972FDE2}" name="Citipower" dataDxfId="363"/>
    <tableColumn id="4" xr3:uid="{C20DEB34-7D71-4BDA-AD3B-ECA9CBA99A8B}" name="Jemena" dataDxfId="362"/>
    <tableColumn id="5" xr3:uid="{25F72017-5C5E-4C6A-AF86-51C9494359B9}" name="Powercor" dataDxfId="361"/>
    <tableColumn id="6" xr3:uid="{3347B9F3-52A2-4F02-96E8-7002AA9314F4}" name="United Energy" dataDxfId="360"/>
    <tableColumn id="7" xr3:uid="{1E857945-DB11-4C6B-876F-AF23874F6630}" name="Victoria" dataDxfId="359"/>
  </tableColumns>
  <tableStyleInfo name="Default tabl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73955480-7F90-4EA4-A6F9-511F6EF88293}" name="Table40424448" displayName="Table40424448" ref="AG9:AM12" totalsRowShown="0" headerRowDxfId="358" headerRowBorderDxfId="357" tableBorderDxfId="356" totalsRowBorderDxfId="355" headerRowCellStyle="Table col heading">
  <tableColumns count="7">
    <tableColumn id="1" xr3:uid="{7D19E1F1-2893-4D13-9CB6-8BA8143BE186}" name="Usage profile" dataDxfId="354"/>
    <tableColumn id="2" xr3:uid="{78E5C500-A3F4-4696-863B-7D94DF558620}" name="Ausnet" dataDxfId="353">
      <calculatedColumnFormula>P10/D$10</calculatedColumnFormula>
    </tableColumn>
    <tableColumn id="3" xr3:uid="{5F03BEB6-FB05-49C6-8173-41AACCAF6E89}" name="Citipower" dataDxfId="352">
      <calculatedColumnFormula>Q10/E$10</calculatedColumnFormula>
    </tableColumn>
    <tableColumn id="4" xr3:uid="{195A6FA0-A788-42F4-925A-5AF44F4EA9E2}" name="Jemena" dataDxfId="351">
      <calculatedColumnFormula>R10/F$10</calculatedColumnFormula>
    </tableColumn>
    <tableColumn id="5" xr3:uid="{EDE27CEF-4820-4C7E-8D0F-C0509BD51321}" name="Powercor" dataDxfId="350">
      <calculatedColumnFormula>S10/G$10</calculatedColumnFormula>
    </tableColumn>
    <tableColumn id="6" xr3:uid="{296E2877-233D-4957-BDEE-1540BBAF0559}" name="United Energy" dataDxfId="349">
      <calculatedColumnFormula>T10/H$10</calculatedColumnFormula>
    </tableColumn>
    <tableColumn id="7" xr3:uid="{3E24E8DB-6B81-4B1F-89A7-68B1648E8E61}" name="Victoria" dataDxfId="348">
      <calculatedColumnFormula>U10/I$10</calculatedColumnFormula>
    </tableColumn>
  </tableColumns>
  <tableStyleInfo name="Default tabl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F38FA6A0-7CB4-4FDE-AB35-3BD71CA41456}" name="Table4032434564" displayName="Table4032434564" ref="AG19:AM22" totalsRowShown="0" headerRowDxfId="347" headerRowBorderDxfId="346" tableBorderDxfId="345" totalsRowBorderDxfId="344" headerRowCellStyle="Table col heading">
  <tableColumns count="7">
    <tableColumn id="1" xr3:uid="{5BA0E446-E101-4724-86C8-65B2B29DC58C}" name="Usage profile"/>
    <tableColumn id="2" xr3:uid="{9194852E-E9E9-48BE-AC2B-F7CA14B9299A}" name="Ausnet" dataDxfId="343">
      <calculatedColumnFormula>P20/D$20</calculatedColumnFormula>
    </tableColumn>
    <tableColumn id="3" xr3:uid="{B8C90372-E87D-4A88-AB1A-B56A78017E4C}" name="Citipower" dataDxfId="342">
      <calculatedColumnFormula>Q20/E$20</calculatedColumnFormula>
    </tableColumn>
    <tableColumn id="4" xr3:uid="{8FC33F84-2E8D-467C-AD7F-7E8D320F2119}" name="Jemena" dataDxfId="341">
      <calculatedColumnFormula>R20/F$20</calculatedColumnFormula>
    </tableColumn>
    <tableColumn id="5" xr3:uid="{A5B4C1F8-E813-4314-BA99-A79A970A3BB3}" name="Powercor" dataDxfId="340">
      <calculatedColumnFormula>S20/G$20</calculatedColumnFormula>
    </tableColumn>
    <tableColumn id="6" xr3:uid="{CD8CF38F-8C18-4212-A326-18512B4F9CC0}" name="United Energy" dataDxfId="339">
      <calculatedColumnFormula>T20/H$20</calculatedColumnFormula>
    </tableColumn>
    <tableColumn id="7" xr3:uid="{42978954-F4F1-4E58-A40F-6EF10FCD30A1}" name="Victoria" dataDxfId="338">
      <calculatedColumnFormula>U20/I$20</calculatedColumnFormula>
    </tableColumn>
  </tableColumns>
  <tableStyleInfo name="Default tabl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1B8EDB1-676B-49D7-847E-2DB67EA8383A}" name="HYBills_RES80" displayName="HYBills_RES80" ref="C9:I12" totalsRowShown="0" headerRowDxfId="337" headerRowBorderDxfId="336" tableBorderDxfId="335" totalsRowBorderDxfId="334" headerRowCellStyle="Table col heading">
  <tableColumns count="7">
    <tableColumn id="1" xr3:uid="{DCFADE7A-2DEC-4999-BB5A-4381F73709E5}" name="Usage profile" dataDxfId="333" dataCellStyle="Auto-populated"/>
    <tableColumn id="2" xr3:uid="{C3AB0AFB-8B16-4104-97C8-053E7252884B}" name="Ausnet" dataDxfId="332"/>
    <tableColumn id="3" xr3:uid="{AFC4AE20-8C18-4574-88E8-F85CC0B47EBC}" name="Citipower" dataDxfId="331"/>
    <tableColumn id="4" xr3:uid="{B3687B0F-73EA-4347-BB69-4F43857D41A5}" name="Jemena" dataDxfId="330"/>
    <tableColumn id="5" xr3:uid="{16496074-68D0-494C-98D6-08BBBF577F9D}" name="Powercor" dataDxfId="329"/>
    <tableColumn id="6" xr3:uid="{BA1AA6E5-CF20-468A-B5B1-7C85C3C092BA}" name="United Energy" dataDxfId="328">
      <calculatedColumnFormula>INDEX(CostStackCalcs_RES_2[#All],MATCH("Total",CostStackCalcs_RES_2[[#All],[Labels]],0),MATCH(H9,CostStackCalcs_RES_2[#Headers],0))</calculatedColumnFormula>
    </tableColumn>
    <tableColumn id="7" xr3:uid="{D45C54C4-F6E3-49A7-9698-8EAF9F38EA3E}" name="Victoria" dataDxfId="327">
      <calculatedColumnFormula>AVERAGE(HYBills_RES80[[#This Row],[Ausnet]:[United Energy]])</calculatedColumnFormula>
    </tableColumn>
  </tableColumns>
  <tableStyleInfo name="Default tabl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259C16-6A9A-4E22-BFCD-7F8C7C61B1F3}" name="HYBills_SME81" displayName="HYBills_SME81" ref="C19:I22" totalsRowShown="0" headerRowDxfId="326" headerRowBorderDxfId="325" tableBorderDxfId="324" totalsRowBorderDxfId="323" headerRowCellStyle="Table col heading">
  <tableColumns count="7">
    <tableColumn id="1" xr3:uid="{BB160358-8267-4D25-B50C-2DBB1E8600DD}" name="Usage profile" dataDxfId="322" dataCellStyle="Auto-populated"/>
    <tableColumn id="2" xr3:uid="{3D656C6E-9204-45A2-B648-FB9F7AA79BBF}" name="Ausnet" dataDxfId="321"/>
    <tableColumn id="3" xr3:uid="{2C56D3FB-2511-477D-93F4-61E6C5A9D220}" name="Citipower" dataDxfId="320"/>
    <tableColumn id="4" xr3:uid="{5FE23AC3-F0A0-4ED1-A115-EE6BD46B70D2}" name="Jemena" dataDxfId="319"/>
    <tableColumn id="5" xr3:uid="{F0682D27-2BC4-4F72-AB6E-1DFCCA7A04A9}" name="Powercor" dataDxfId="318"/>
    <tableColumn id="6" xr3:uid="{E604B531-B99D-4EE2-BBAE-BD0762451B3C}" name="United Energy" dataDxfId="317">
      <calculatedColumnFormula>INDEX(CostStackCalcs_RES_2[#All],MATCH("Total",CostStackCalcs_RES_2[[#All],[Labels]],0),MATCH(H19,CostStackCalcs_RES_2[#Headers],0))</calculatedColumnFormula>
    </tableColumn>
    <tableColumn id="7" xr3:uid="{A66AC6CE-5F1B-432A-8E00-6E367F5C94A9}" name="Victoria" dataDxfId="316">
      <calculatedColumnFormula>AVERAGE(HYBills_SME81[[#This Row],[Ausnet]:[United Energy]])</calculatedColumnFormula>
    </tableColumn>
  </tableColumns>
  <tableStyleInfo name="Default tabl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9ED1A16B-B1BB-43D1-9363-EDC85A335CB5}" name="HYBillImpact_RES82" displayName="HYBillImpact_RES82" ref="O9:U12" totalsRowShown="0" headerRowDxfId="315" headerRowBorderDxfId="314" tableBorderDxfId="313" totalsRowBorderDxfId="312" headerRowCellStyle="Table col heading">
  <tableColumns count="7">
    <tableColumn id="1" xr3:uid="{43C83CC7-7868-4DF6-81EE-251F97DAB652}" name="Usage profile" dataDxfId="311"/>
    <tableColumn id="2" xr3:uid="{A6D63C51-0A03-407C-B838-B2B457A45A3F}" name="Ausnet" dataDxfId="310"/>
    <tableColumn id="3" xr3:uid="{3A862E83-CF9F-48DD-9998-491372187F5F}" name="Citipower" dataDxfId="309"/>
    <tableColumn id="4" xr3:uid="{3444D5C2-8366-4BB5-8E4D-BCB9B6D4C468}" name="Jemena" dataDxfId="308"/>
    <tableColumn id="5" xr3:uid="{252AEB4B-A564-4B98-998F-EF258E668876}" name="Powercor" dataDxfId="307"/>
    <tableColumn id="6" xr3:uid="{B799DAB1-03C3-4652-AA61-1CAE219F7896}" name="United Energy" dataDxfId="306"/>
    <tableColumn id="7" xr3:uid="{963222B8-AF03-43AF-BEF6-774C96940AEB}" name="Victoria" dataDxfId="305"/>
  </tableColumns>
  <tableStyleInfo name="Default tabl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C68F836F-BFAF-4D94-8E10-FB158016F93D}" name="OP_TotalRates_RES_1" displayName="OP_TotalRates_RES_1" ref="C8:K16" totalsRowShown="0" headerRowDxfId="1017" headerRowBorderDxfId="1016" tableBorderDxfId="1015" headerRowCellStyle="Table col heading">
  <tableColumns count="9">
    <tableColumn id="1" xr3:uid="{EFBA7F8E-5702-4B5F-A24C-D58F32BECFFD}" name="Rate name" dataCellStyle="Table cell"/>
    <tableColumn id="2" xr3:uid="{24CBE57F-78AE-413E-88DE-E3AFD3FAC564}" name="Unit" dataCellStyle="Table cell"/>
    <tableColumn id="3" xr3:uid="{CC5F9EDC-12A7-4A47-87A8-B10E13AC49C0}" name="Customer type" dataCellStyle="Table cell"/>
    <tableColumn id="4" xr3:uid="{6028E8A5-6981-468F-8C25-5C3250F89BE4}" name="-" dataDxfId="1014" dataCellStyle="Table cell"/>
    <tableColumn id="5" xr3:uid="{19AB9587-A48D-452C-A107-3AD3AECADD01}" name="Ausnet" dataDxfId="1013" dataCellStyle="Table cell">
      <calculatedColumnFormula array="1">ROUND(
SUMIFS(OP_Rates_RES_1[Ausnet],OP_Rates_RES_1[[Rate name]:[Rate name]],OP_TotalRates_RES_1[[#This Row],[Rate name]:[Rate name]])+
SUMIFS(OP_RatesTU_RES_1[Ausnet],
OP_RatesTU_RES_1[[Rate name]:[Rate name]],IF(OP_TotalRates_RES_1[[#This Row],[Unit]:[Unit]]&lt;&gt;"$",OP_TotalRates_RES_1[[#This Row],[Rate name]:[Rate name]],LEFT(OP_TotalRates_RES_1[[#This Row],[Rate name]:[Rate name]],LEN(OP_TotalRates_RES_1[[#This Row],[Rate name]:[Rate name]])-FIND(" - supply",OP_TotalRates_RES_1[[#This Row],[Rate name]:[Rate name]])-1))),4)</calculatedColumnFormula>
    </tableColumn>
    <tableColumn id="6" xr3:uid="{5ADC659C-CDAF-412F-A469-5F305214C88F}" name="Citipower" dataDxfId="1012" dataCellStyle="Table cell">
      <calculatedColumnFormula array="1">ROUND(
SUMIFS(OP_Rates_RES_1[Citipower],OP_Rates_RES_1[[Rate name]:[Rate name]],OP_TotalRates_RES_1[[#This Row],[Rate name]:[Rate name]])+
SUMIFS(OP_RatesTU_RES_1[Citipower],
OP_RatesTU_RES_1[[Rate name]:[Rate name]],IF(OP_TotalRates_RES_1[[#This Row],[Unit]:[Unit]]&lt;&gt;"$",OP_TotalRates_RES_1[[#This Row],[Rate name]:[Rate name]],LEFT(OP_TotalRates_RES_1[[#This Row],[Rate name]:[Rate name]],LEN(OP_TotalRates_RES_1[[#This Row],[Rate name]:[Rate name]])-FIND(" - supply",OP_TotalRates_RES_1[[#This Row],[Rate name]:[Rate name]])-1))),4)</calculatedColumnFormula>
    </tableColumn>
    <tableColumn id="7" xr3:uid="{A8D8F831-A0DC-4582-9262-C3C3BBD0BC92}" name="Jemena" dataDxfId="1011" dataCellStyle="Table cell">
      <calculatedColumnFormula array="1">ROUND(
SUMIFS(OP_Rates_RES_1[Jemena],OP_Rates_RES_1[[Rate name]:[Rate name]],OP_TotalRates_RES_1[[#This Row],[Rate name]:[Rate name]])+
SUMIFS(OP_RatesTU_RES_1[Jemena],
OP_RatesTU_RES_1[[Rate name]:[Rate name]],IF(OP_TotalRates_RES_1[[#This Row],[Unit]:[Unit]]&lt;&gt;"$",OP_TotalRates_RES_1[[#This Row],[Rate name]:[Rate name]],LEFT(OP_TotalRates_RES_1[[#This Row],[Rate name]:[Rate name]],LEN(OP_TotalRates_RES_1[[#This Row],[Rate name]:[Rate name]])-FIND(" - supply",OP_TotalRates_RES_1[[#This Row],[Rate name]:[Rate name]])-1))),4)</calculatedColumnFormula>
    </tableColumn>
    <tableColumn id="8" xr3:uid="{64D6C646-6150-4639-ABF2-AE215E5A4B51}" name="Powercor" dataDxfId="1010" dataCellStyle="Table cell">
      <calculatedColumnFormula array="1">ROUND(
SUMIFS(OP_Rates_RES_1[Powercor],OP_Rates_RES_1[[Rate name]:[Rate name]],OP_TotalRates_RES_1[[#This Row],[Rate name]:[Rate name]])+
SUMIFS(OP_RatesTU_RES_1[Powercor],
OP_RatesTU_RES_1[[Rate name]:[Rate name]],IF(OP_TotalRates_RES_1[[#This Row],[Unit]:[Unit]]&lt;&gt;"$",OP_TotalRates_RES_1[[#This Row],[Rate name]:[Rate name]],LEFT(OP_TotalRates_RES_1[[#This Row],[Rate name]:[Rate name]],LEN(OP_TotalRates_RES_1[[#This Row],[Rate name]:[Rate name]])-FIND(" - supply",OP_TotalRates_RES_1[[#This Row],[Rate name]:[Rate name]])-1))),4)</calculatedColumnFormula>
    </tableColumn>
    <tableColumn id="9" xr3:uid="{BC7F9AB5-3ED3-42A5-B1F1-C1AA07207FF4}" name="United Energy" dataDxfId="1009" dataCellStyle="Table cell">
      <calculatedColumnFormula array="1">ROUND(
SUMIFS(OP_Rates_RES_1[United Energy],OP_Rates_RES_1[[Rate name]:[Rate name]],OP_TotalRates_RES_1[[#This Row],[Rate name]:[Rate name]])+
SUMIFS(OP_RatesTU_RES_1[United Energy],
OP_RatesTU_RES_1[[Rate name]:[Rate name]],IF(OP_TotalRates_RES_1[[#This Row],[Unit]:[Unit]]&lt;&gt;"$",OP_TotalRates_RES_1[[#This Row],[Rate name]:[Rate name]],LEFT(OP_TotalRates_RES_1[[#This Row],[Rate name]:[Rate name]],LEN(OP_TotalRates_RES_1[[#This Row],[Rate name]:[Rate name]])-FIND(" - supply",OP_TotalRates_RES_1[[#This Row],[Rate name]:[Rate name]])-1))),4)</calculatedColumnFormula>
    </tableColumn>
  </tableColumns>
  <tableStyleInfo name="Default tabl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90657FCC-7310-47FC-B355-00E97C9B3D7A}" name="HYBillImpact_SME83" displayName="HYBillImpact_SME83" ref="O19:U22" totalsRowShown="0" headerRowDxfId="304" headerRowBorderDxfId="303" tableBorderDxfId="302" totalsRowBorderDxfId="301" headerRowCellStyle="Table col heading">
  <tableColumns count="7">
    <tableColumn id="1" xr3:uid="{54ACE1C5-57B9-4324-B9DA-0488F87E56BF}" name="Usage profile"/>
    <tableColumn id="2" xr3:uid="{56F91BA7-A2A8-44E6-9E89-119551A44CD0}" name="Ausnet" dataDxfId="300"/>
    <tableColumn id="3" xr3:uid="{6AA5EDE8-8AAE-4972-A347-4C69391F1135}" name="Citipower" dataDxfId="299"/>
    <tableColumn id="4" xr3:uid="{2D966E8D-8067-4F8B-BC35-CB3246AA4A98}" name="Jemena" dataDxfId="298"/>
    <tableColumn id="5" xr3:uid="{55366C44-954E-4E1E-8CD5-3C8902C45A5F}" name="Powercor" dataDxfId="297"/>
    <tableColumn id="6" xr3:uid="{8973452E-AA67-4FDF-BB1D-B9798EC99AAA}" name="United Energy" dataDxfId="296"/>
    <tableColumn id="7" xr3:uid="{E0CCE4BC-2206-4398-814B-2CC0D9B67914}" name="Victoria" dataDxfId="295"/>
  </tableColumns>
  <tableStyleInfo name="Default tabl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61B673BD-C040-4C85-8084-5D58BF8DBAF3}" name="Table4042444884" displayName="Table4042444884" ref="AG9:AM12" totalsRowShown="0" headerRowDxfId="294" headerRowBorderDxfId="293" tableBorderDxfId="292" totalsRowBorderDxfId="291" headerRowCellStyle="Table col heading">
  <tableColumns count="7">
    <tableColumn id="1" xr3:uid="{D1BEB343-CF40-4554-86F0-7184504FA2E0}" name="Usage profile" dataDxfId="290"/>
    <tableColumn id="2" xr3:uid="{A9D68760-BA74-4CEB-AD31-B12C102AAABB}" name="Ausnet" dataDxfId="289">
      <calculatedColumnFormula>P10/D$10</calculatedColumnFormula>
    </tableColumn>
    <tableColumn id="3" xr3:uid="{D1B4D0F8-345B-46B5-8714-57537A7D046E}" name="Citipower" dataDxfId="288">
      <calculatedColumnFormula>Q10/E$10</calculatedColumnFormula>
    </tableColumn>
    <tableColumn id="4" xr3:uid="{F7F8020A-E3C3-4CBA-AF7F-8BF2478AAD54}" name="Jemena" dataDxfId="287">
      <calculatedColumnFormula>R10/F$10</calculatedColumnFormula>
    </tableColumn>
    <tableColumn id="5" xr3:uid="{6BC980B5-4F61-41CE-B383-25024F9F5679}" name="Powercor" dataDxfId="286">
      <calculatedColumnFormula>S10/G$10</calculatedColumnFormula>
    </tableColumn>
    <tableColumn id="6" xr3:uid="{B1EB5012-0089-4003-8870-07C7F79B8437}" name="United Energy" dataDxfId="285">
      <calculatedColumnFormula>T10/H$10</calculatedColumnFormula>
    </tableColumn>
    <tableColumn id="7" xr3:uid="{CCA2DEDD-3D89-4431-B5B3-7B5A42770A65}" name="Victoria" dataDxfId="284">
      <calculatedColumnFormula>U10/I$10</calculatedColumnFormula>
    </tableColumn>
  </tableColumns>
  <tableStyleInfo name="Default tabl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8D642024-142D-4806-9133-BB923009ADD7}" name="Table403243456485" displayName="Table403243456485" ref="AG19:AM22" totalsRowShown="0" headerRowDxfId="283" headerRowBorderDxfId="282" tableBorderDxfId="281" totalsRowBorderDxfId="280" headerRowCellStyle="Table col heading">
  <tableColumns count="7">
    <tableColumn id="1" xr3:uid="{F0307098-06CD-48D4-A06E-828AAD3E1231}" name="Usage profile"/>
    <tableColumn id="2" xr3:uid="{46D54C07-474D-499B-AC6F-E156E2BBD538}" name="Ausnet" dataDxfId="279">
      <calculatedColumnFormula>P20/D$20</calculatedColumnFormula>
    </tableColumn>
    <tableColumn id="3" xr3:uid="{62CDADC9-ABD9-4517-9913-1E98561A426C}" name="Citipower" dataDxfId="278">
      <calculatedColumnFormula>Q20/E$20</calculatedColumnFormula>
    </tableColumn>
    <tableColumn id="4" xr3:uid="{E91249C9-B136-4601-A2BA-FDBD8B00962A}" name="Jemena" dataDxfId="277">
      <calculatedColumnFormula>R20/F$20</calculatedColumnFormula>
    </tableColumn>
    <tableColumn id="5" xr3:uid="{7181B396-EBE8-4F85-A491-4CAFB94AC830}" name="Powercor" dataDxfId="276">
      <calculatedColumnFormula>S20/G$20</calculatedColumnFormula>
    </tableColumn>
    <tableColumn id="6" xr3:uid="{0DECF0F4-5CD9-49D3-8616-618202F9ABC5}" name="United Energy" dataDxfId="275">
      <calculatedColumnFormula>T20/H$20</calculatedColumnFormula>
    </tableColumn>
    <tableColumn id="7" xr3:uid="{64EB2F12-C58A-463B-8515-DC2114EF2005}" name="Victoria" dataDxfId="274">
      <calculatedColumnFormula>U20/I$20</calculatedColumnFormula>
    </tableColumn>
  </tableColumns>
  <tableStyleInfo name="Default tabl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4602DBFC-01B3-4C81-95BD-542EA5F7CEC2}" name="HYBills_RES74" displayName="HYBills_RES74" ref="C9:I12" totalsRowShown="0" headerRowDxfId="273" headerRowBorderDxfId="272" tableBorderDxfId="271" totalsRowBorderDxfId="270" headerRowCellStyle="Table col heading">
  <tableColumns count="7">
    <tableColumn id="1" xr3:uid="{C2A5FA2B-12C3-424F-B5F8-6A92B5113844}" name="Usage profile" dataDxfId="269" dataCellStyle="Auto-populated"/>
    <tableColumn id="2" xr3:uid="{C1866781-B000-42EC-AA09-3D962798BE48}" name="Ausnet" dataDxfId="268" dataCellStyle="Table cell">
      <calculatedColumnFormula>'CH_Bill impacts full year 2'!#REF!/MiY</calculatedColumnFormula>
    </tableColumn>
    <tableColumn id="3" xr3:uid="{45EB6ABA-941B-4F80-A509-21831AB13759}" name="Citipower" dataDxfId="267" dataCellStyle="Table cell">
      <calculatedColumnFormula>'CH_Bill impacts full year 2'!#REF!/MiY</calculatedColumnFormula>
    </tableColumn>
    <tableColumn id="4" xr3:uid="{74B1B8E0-2DEA-4D23-BBA2-AF9CDD80B5CE}" name="Jemena" dataDxfId="266" dataCellStyle="Table cell">
      <calculatedColumnFormula>'CH_Bill impacts full year 2'!#REF!/MiY</calculatedColumnFormula>
    </tableColumn>
    <tableColumn id="5" xr3:uid="{716C33A7-2EBF-407F-9A28-DB5D8F6D48D2}" name="Powercor" dataDxfId="265" dataCellStyle="Table cell">
      <calculatedColumnFormula>'CH_Bill impacts full year 2'!#REF!/MiY</calculatedColumnFormula>
    </tableColumn>
    <tableColumn id="6" xr3:uid="{C9972E93-F457-45E2-A193-FC1DEAF4CC3D}" name="United Energy" dataDxfId="264" dataCellStyle="Table cell">
      <calculatedColumnFormula>'CH_Bill impacts full year 2'!#REF!/MiY</calculatedColumnFormula>
    </tableColumn>
    <tableColumn id="7" xr3:uid="{C03D9BCC-623F-4593-8D6A-776C0E0E342F}" name="Victoria" dataDxfId="263" dataCellStyle="Table cell">
      <calculatedColumnFormula>'CH_Bill impacts full year 2'!#REF!/MiY</calculatedColumnFormula>
    </tableColumn>
  </tableColumns>
  <tableStyleInfo name="Default tabl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C8431DB1-1EAC-4B71-B594-2222659C5EF6}" name="HYBills_SME75" displayName="HYBills_SME75" ref="C19:I22" totalsRowShown="0" headerRowDxfId="262" headerRowBorderDxfId="261" tableBorderDxfId="260" totalsRowBorderDxfId="259" headerRowCellStyle="Table col heading">
  <tableColumns count="7">
    <tableColumn id="1" xr3:uid="{DFB07FC6-B908-4D08-900F-33EE7F6AED24}" name="Usage profile" dataDxfId="258" dataCellStyle="Auto-populated"/>
    <tableColumn id="2" xr3:uid="{E58DCA4C-316C-4A77-9F4C-A59E535E01B6}" name="Ausnet" dataDxfId="257" dataCellStyle="Table cell">
      <calculatedColumnFormula>'CH_Bill impacts full year 2'!#REF!/MiY</calculatedColumnFormula>
    </tableColumn>
    <tableColumn id="3" xr3:uid="{21829E23-C8E7-48BA-9865-D30DD6A7F8FC}" name="Citipower" dataDxfId="256" dataCellStyle="Table cell">
      <calculatedColumnFormula>'CH_Bill impacts full year 2'!#REF!/MiY</calculatedColumnFormula>
    </tableColumn>
    <tableColumn id="4" xr3:uid="{91B7B5C4-DD6C-4244-9726-A3AFADEC232A}" name="Jemena" dataDxfId="255" dataCellStyle="Table cell">
      <calculatedColumnFormula>'CH_Bill impacts full year 2'!#REF!/MiY</calculatedColumnFormula>
    </tableColumn>
    <tableColumn id="5" xr3:uid="{6ABFB1E7-B031-448E-A8B1-13D8C8ADE46D}" name="Powercor" dataDxfId="254" dataCellStyle="Table cell">
      <calculatedColumnFormula>'CH_Bill impacts full year 2'!#REF!/MiY</calculatedColumnFormula>
    </tableColumn>
    <tableColumn id="6" xr3:uid="{5286DEF9-8FD9-41C5-9407-210D24BA5B1E}" name="United Energy" dataDxfId="253" dataCellStyle="Table cell">
      <calculatedColumnFormula>'CH_Bill impacts full year 2'!#REF!/MiY</calculatedColumnFormula>
    </tableColumn>
    <tableColumn id="7" xr3:uid="{CB91E7B7-C462-45B5-B177-E1E93DCCA197}" name="Victoria" dataDxfId="252" dataCellStyle="Table cell">
      <calculatedColumnFormula>'CH_Bill impacts full year 2'!#REF!/MiY</calculatedColumnFormula>
    </tableColumn>
  </tableColumns>
  <tableStyleInfo name="Default tabl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1164D0F9-FDBC-4584-802C-65C8EBF680B2}" name="HYBillImpact_RES76" displayName="HYBillImpact_RES76" ref="O9:U12" totalsRowShown="0" headerRowDxfId="251" headerRowBorderDxfId="250" tableBorderDxfId="249" totalsRowBorderDxfId="248" headerRowCellStyle="Table col heading">
  <tableColumns count="7">
    <tableColumn id="1" xr3:uid="{5564EF2D-67AA-4ACE-BF4C-2122647B3DC2}" name="Usage profile" dataDxfId="247"/>
    <tableColumn id="2" xr3:uid="{84264A52-4F43-41FB-8A33-A189A9C4BBC7}" name="Ausnet" dataDxfId="246"/>
    <tableColumn id="3" xr3:uid="{9BCD295B-0C03-4639-A0F3-4FC600415D79}" name="Citipower" dataDxfId="245"/>
    <tableColumn id="4" xr3:uid="{FA88D3D3-CEFC-44D5-913D-2255C49125E6}" name="Jemena" dataDxfId="244"/>
    <tableColumn id="5" xr3:uid="{A2D6634C-92D7-47B4-B75E-F28DD5B40B03}" name="Powercor" dataDxfId="243"/>
    <tableColumn id="6" xr3:uid="{A931154D-79A5-46AF-864C-98234F0AA42F}" name="United Energy" dataDxfId="242"/>
    <tableColumn id="7" xr3:uid="{00C88B2F-D581-4CB0-911A-96676B863547}" name="Victoria" dataDxfId="241"/>
  </tableColumns>
  <tableStyleInfo name="Default tabl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2C1DB293-52E2-4ECD-ADC6-1974577C69E3}" name="HYBillImpact_SME77" displayName="HYBillImpact_SME77" ref="O19:U22" totalsRowShown="0" headerRowDxfId="240" headerRowBorderDxfId="239" tableBorderDxfId="238" totalsRowBorderDxfId="237" headerRowCellStyle="Table col heading">
  <tableColumns count="7">
    <tableColumn id="1" xr3:uid="{D3C77948-2729-4B71-9DA7-37562DF58095}" name="Usage profile"/>
    <tableColumn id="2" xr3:uid="{C3967EB4-0799-4A68-B3ED-851A43BE5AE0}" name="Ausnet" dataDxfId="236"/>
    <tableColumn id="3" xr3:uid="{17684960-DC4A-4E2F-8A01-A3E1E0E182C7}" name="Citipower" dataDxfId="235"/>
    <tableColumn id="4" xr3:uid="{1115EADF-2A0B-4157-BBC0-8746434622EA}" name="Jemena" dataDxfId="234"/>
    <tableColumn id="5" xr3:uid="{78531923-60FD-4BE7-9EB5-EA5773D9C6BA}" name="Powercor" dataDxfId="233"/>
    <tableColumn id="6" xr3:uid="{4DF64642-4073-4833-826C-E4DFEAE2D37A}" name="United Energy" dataDxfId="232"/>
    <tableColumn id="7" xr3:uid="{8523FBDA-E9EF-4BEC-9ECA-713EE29B4F66}" name="Victoria" dataDxfId="231"/>
  </tableColumns>
  <tableStyleInfo name="Default tabl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A8B21C5D-EF72-4BDD-B0A4-DE2F7F4C5E5E}" name="Table4042444878" displayName="Table4042444878" ref="AG9:AM12" totalsRowShown="0" headerRowDxfId="230" headerRowBorderDxfId="229" tableBorderDxfId="228" totalsRowBorderDxfId="227" headerRowCellStyle="Table col heading">
  <tableColumns count="7">
    <tableColumn id="1" xr3:uid="{A4B62882-801C-4904-B7F5-A89306D753A2}" name="Usage profile" dataDxfId="226"/>
    <tableColumn id="2" xr3:uid="{7E3D38C6-91ED-4D8A-B096-1C677949B50C}" name="Ausnet" dataDxfId="225">
      <calculatedColumnFormula>P10/D$10</calculatedColumnFormula>
    </tableColumn>
    <tableColumn id="3" xr3:uid="{B18BF27E-F970-4647-9ADC-B3FE23399017}" name="Citipower" dataDxfId="224">
      <calculatedColumnFormula>Q10/E$10</calculatedColumnFormula>
    </tableColumn>
    <tableColumn id="4" xr3:uid="{A07BF494-A6E7-4DB8-8715-BD36CC747E7D}" name="Jemena" dataDxfId="223">
      <calculatedColumnFormula>R10/F$10</calculatedColumnFormula>
    </tableColumn>
    <tableColumn id="5" xr3:uid="{F16500ED-8E64-4409-B7D2-6B4E6BBB470B}" name="Powercor" dataDxfId="222">
      <calculatedColumnFormula>S10/G$10</calculatedColumnFormula>
    </tableColumn>
    <tableColumn id="6" xr3:uid="{F733AC97-C0BE-4775-86A4-B84045D29324}" name="United Energy" dataDxfId="221">
      <calculatedColumnFormula>T10/H$10</calculatedColumnFormula>
    </tableColumn>
    <tableColumn id="7" xr3:uid="{287FBECB-1733-46C9-99DD-69AAA462EE55}" name="Victoria" dataDxfId="220">
      <calculatedColumnFormula>U10/I$10</calculatedColumnFormula>
    </tableColumn>
  </tableColumns>
  <tableStyleInfo name="Default tabl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586BA8E8-6EB7-4C4F-BA1C-F1830A0290AF}" name="Table403243456479" displayName="Table403243456479" ref="AG19:AM22" totalsRowShown="0" headerRowDxfId="219" headerRowBorderDxfId="218" tableBorderDxfId="217" totalsRowBorderDxfId="216" headerRowCellStyle="Table col heading">
  <tableColumns count="7">
    <tableColumn id="1" xr3:uid="{3497A837-46DE-4969-9717-E60EB9F4CDC1}" name="Usage profile"/>
    <tableColumn id="2" xr3:uid="{49E0B2D3-E15B-47E4-8050-B974633AE553}" name="Ausnet" dataDxfId="215">
      <calculatedColumnFormula>P20/D$20</calculatedColumnFormula>
    </tableColumn>
    <tableColumn id="3" xr3:uid="{E7B9CF41-4F94-4422-A9B1-2CA35408A09F}" name="Citipower" dataDxfId="214">
      <calculatedColumnFormula>Q20/E$20</calculatedColumnFormula>
    </tableColumn>
    <tableColumn id="4" xr3:uid="{31625558-2E75-455C-A883-7EF0971D2839}" name="Jemena" dataDxfId="213">
      <calculatedColumnFormula>R20/F$20</calculatedColumnFormula>
    </tableColumn>
    <tableColumn id="5" xr3:uid="{A7E91D15-F53C-49C5-A456-80E88F160AA1}" name="Powercor" dataDxfId="212">
      <calculatedColumnFormula>S20/G$20</calculatedColumnFormula>
    </tableColumn>
    <tableColumn id="6" xr3:uid="{F0620C79-D78F-4EB2-ADB6-FDE75B4B77CA}" name="United Energy" dataDxfId="211">
      <calculatedColumnFormula>T20/H$20</calculatedColumnFormula>
    </tableColumn>
    <tableColumn id="7" xr3:uid="{0195E515-5CC9-45D3-B04F-005F04FB72C9}" name="Victoria" dataDxfId="210">
      <calculatedColumnFormula>U20/I$20</calculatedColumnFormula>
    </tableColumn>
  </tableColumns>
  <tableStyleInfo name="Default tabl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A2AD646B-4D30-4BFB-8DAD-5348FA092A78}" name="HYBills_RES7486" displayName="HYBills_RES7486" ref="C9:G12" totalsRowShown="0" headerRowDxfId="209" headerRowBorderDxfId="208" tableBorderDxfId="207" totalsRowBorderDxfId="206" headerRowCellStyle="Table col heading">
  <tableColumns count="5">
    <tableColumn id="1" xr3:uid="{B67B33B6-80D8-4463-B2ED-1F434EB493F7}" name="Usage profile" dataDxfId="205" dataCellStyle="Auto-populated"/>
    <tableColumn id="2" xr3:uid="{30E3A19C-D0EF-4520-AB60-8F97994B3CE9}" name="Citipower - initial" dataDxfId="204" dataCellStyle="Table cell">
      <calculatedColumnFormula>HYBills_RES7486[[#This Row],[Citipower]]</calculatedColumnFormula>
    </tableColumn>
    <tableColumn id="3" xr3:uid="{944FF9D2-F295-4A27-92D4-2AC196736F1A}" name="Citipower" dataDxfId="203" dataCellStyle="Table cell">
      <calculatedColumnFormula>'CH_Bill impacts half year'!E20</calculatedColumnFormula>
    </tableColumn>
    <tableColumn id="4" xr3:uid="{0D227CB0-93AD-4DE7-A935-F12F3E4A055C}" name="Powercor - initial" dataDxfId="202" dataCellStyle="Table cell">
      <calculatedColumnFormula>HYBills_RES7486[[#This Row],[Powercor]]</calculatedColumnFormula>
    </tableColumn>
    <tableColumn id="5" xr3:uid="{1C2B9EAD-7658-4969-887A-044CBD5845F9}" name="Powercor" dataDxfId="201" dataCellStyle="Table cell">
      <calculatedColumnFormula>'CH_Bill impacts half year'!G20</calculatedColumnFormula>
    </tableColumn>
  </tableColumns>
  <tableStyleInfo name="Default tabl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table" Target="../tables/table13.xml"/><Relationship Id="rId4" Type="http://schemas.openxmlformats.org/officeDocument/2006/relationships/table" Target="../tables/table16.xml"/></Relationships>
</file>

<file path=xl/worksheets/_rels/sheet12.xml.rels><?xml version="1.0" encoding="UTF-8" standalone="yes"?>
<Relationships xmlns="http://schemas.openxmlformats.org/package/2006/relationships"><Relationship Id="rId8" Type="http://schemas.openxmlformats.org/officeDocument/2006/relationships/table" Target="../tables/table23.xml"/><Relationship Id="rId13" Type="http://schemas.openxmlformats.org/officeDocument/2006/relationships/table" Target="../tables/table28.xml"/><Relationship Id="rId18" Type="http://schemas.openxmlformats.org/officeDocument/2006/relationships/table" Target="../tables/table33.xml"/><Relationship Id="rId26" Type="http://schemas.openxmlformats.org/officeDocument/2006/relationships/table" Target="../tables/table41.xml"/><Relationship Id="rId3" Type="http://schemas.openxmlformats.org/officeDocument/2006/relationships/table" Target="../tables/table18.xml"/><Relationship Id="rId21" Type="http://schemas.openxmlformats.org/officeDocument/2006/relationships/table" Target="../tables/table36.xml"/><Relationship Id="rId7" Type="http://schemas.openxmlformats.org/officeDocument/2006/relationships/table" Target="../tables/table22.xml"/><Relationship Id="rId12" Type="http://schemas.openxmlformats.org/officeDocument/2006/relationships/table" Target="../tables/table27.xml"/><Relationship Id="rId17" Type="http://schemas.openxmlformats.org/officeDocument/2006/relationships/table" Target="../tables/table32.xml"/><Relationship Id="rId25" Type="http://schemas.openxmlformats.org/officeDocument/2006/relationships/table" Target="../tables/table40.xml"/><Relationship Id="rId2" Type="http://schemas.openxmlformats.org/officeDocument/2006/relationships/table" Target="../tables/table17.xml"/><Relationship Id="rId16" Type="http://schemas.openxmlformats.org/officeDocument/2006/relationships/table" Target="../tables/table31.xml"/><Relationship Id="rId20" Type="http://schemas.openxmlformats.org/officeDocument/2006/relationships/table" Target="../tables/table35.xml"/><Relationship Id="rId29" Type="http://schemas.openxmlformats.org/officeDocument/2006/relationships/table" Target="../tables/table44.xml"/><Relationship Id="rId1" Type="http://schemas.openxmlformats.org/officeDocument/2006/relationships/printerSettings" Target="../printerSettings/printerSettings6.bin"/><Relationship Id="rId6" Type="http://schemas.openxmlformats.org/officeDocument/2006/relationships/table" Target="../tables/table21.xml"/><Relationship Id="rId11" Type="http://schemas.openxmlformats.org/officeDocument/2006/relationships/table" Target="../tables/table26.xml"/><Relationship Id="rId24" Type="http://schemas.openxmlformats.org/officeDocument/2006/relationships/table" Target="../tables/table39.xml"/><Relationship Id="rId5" Type="http://schemas.openxmlformats.org/officeDocument/2006/relationships/table" Target="../tables/table20.xml"/><Relationship Id="rId15" Type="http://schemas.openxmlformats.org/officeDocument/2006/relationships/table" Target="../tables/table30.xml"/><Relationship Id="rId23" Type="http://schemas.openxmlformats.org/officeDocument/2006/relationships/table" Target="../tables/table38.xml"/><Relationship Id="rId28" Type="http://schemas.openxmlformats.org/officeDocument/2006/relationships/table" Target="../tables/table43.xml"/><Relationship Id="rId10" Type="http://schemas.openxmlformats.org/officeDocument/2006/relationships/table" Target="../tables/table25.xml"/><Relationship Id="rId19" Type="http://schemas.openxmlformats.org/officeDocument/2006/relationships/table" Target="../tables/table34.xml"/><Relationship Id="rId31" Type="http://schemas.openxmlformats.org/officeDocument/2006/relationships/table" Target="../tables/table46.xml"/><Relationship Id="rId4" Type="http://schemas.openxmlformats.org/officeDocument/2006/relationships/table" Target="../tables/table19.xml"/><Relationship Id="rId9" Type="http://schemas.openxmlformats.org/officeDocument/2006/relationships/table" Target="../tables/table24.xml"/><Relationship Id="rId14" Type="http://schemas.openxmlformats.org/officeDocument/2006/relationships/table" Target="../tables/table29.xml"/><Relationship Id="rId22" Type="http://schemas.openxmlformats.org/officeDocument/2006/relationships/table" Target="../tables/table37.xml"/><Relationship Id="rId27" Type="http://schemas.openxmlformats.org/officeDocument/2006/relationships/table" Target="../tables/table42.xml"/><Relationship Id="rId30" Type="http://schemas.openxmlformats.org/officeDocument/2006/relationships/table" Target="../tables/table45.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53.xml"/><Relationship Id="rId3" Type="http://schemas.openxmlformats.org/officeDocument/2006/relationships/table" Target="../tables/table48.xml"/><Relationship Id="rId7" Type="http://schemas.openxmlformats.org/officeDocument/2006/relationships/table" Target="../tables/table52.xml"/><Relationship Id="rId2" Type="http://schemas.openxmlformats.org/officeDocument/2006/relationships/table" Target="../tables/table47.xml"/><Relationship Id="rId1" Type="http://schemas.openxmlformats.org/officeDocument/2006/relationships/printerSettings" Target="../printerSettings/printerSettings7.bin"/><Relationship Id="rId6" Type="http://schemas.openxmlformats.org/officeDocument/2006/relationships/table" Target="../tables/table51.xml"/><Relationship Id="rId5" Type="http://schemas.openxmlformats.org/officeDocument/2006/relationships/table" Target="../tables/table50.xml"/><Relationship Id="rId4" Type="http://schemas.openxmlformats.org/officeDocument/2006/relationships/table" Target="../tables/table49.xml"/><Relationship Id="rId9" Type="http://schemas.openxmlformats.org/officeDocument/2006/relationships/table" Target="../tables/table54.xml"/></Relationships>
</file>

<file path=xl/worksheets/_rels/sheet14.xml.rels><?xml version="1.0" encoding="UTF-8" standalone="yes"?>
<Relationships xmlns="http://schemas.openxmlformats.org/package/2006/relationships"><Relationship Id="rId8" Type="http://schemas.openxmlformats.org/officeDocument/2006/relationships/table" Target="../tables/table61.xml"/><Relationship Id="rId3" Type="http://schemas.openxmlformats.org/officeDocument/2006/relationships/table" Target="../tables/table56.xml"/><Relationship Id="rId7" Type="http://schemas.openxmlformats.org/officeDocument/2006/relationships/table" Target="../tables/table60.xml"/><Relationship Id="rId2" Type="http://schemas.openxmlformats.org/officeDocument/2006/relationships/table" Target="../tables/table55.xml"/><Relationship Id="rId1" Type="http://schemas.openxmlformats.org/officeDocument/2006/relationships/printerSettings" Target="../printerSettings/printerSettings8.bin"/><Relationship Id="rId6" Type="http://schemas.openxmlformats.org/officeDocument/2006/relationships/table" Target="../tables/table59.xml"/><Relationship Id="rId11" Type="http://schemas.openxmlformats.org/officeDocument/2006/relationships/table" Target="../tables/table64.xml"/><Relationship Id="rId5" Type="http://schemas.openxmlformats.org/officeDocument/2006/relationships/table" Target="../tables/table58.xml"/><Relationship Id="rId10" Type="http://schemas.openxmlformats.org/officeDocument/2006/relationships/table" Target="../tables/table63.xml"/><Relationship Id="rId4" Type="http://schemas.openxmlformats.org/officeDocument/2006/relationships/table" Target="../tables/table57.xml"/><Relationship Id="rId9" Type="http://schemas.openxmlformats.org/officeDocument/2006/relationships/table" Target="../tables/table62.xml"/></Relationships>
</file>

<file path=xl/worksheets/_rels/sheet15.xml.rels><?xml version="1.0" encoding="UTF-8" standalone="yes"?>
<Relationships xmlns="http://schemas.openxmlformats.org/package/2006/relationships"><Relationship Id="rId8" Type="http://schemas.openxmlformats.org/officeDocument/2006/relationships/table" Target="../tables/table71.xml"/><Relationship Id="rId3" Type="http://schemas.openxmlformats.org/officeDocument/2006/relationships/table" Target="../tables/table66.xml"/><Relationship Id="rId7" Type="http://schemas.openxmlformats.org/officeDocument/2006/relationships/table" Target="../tables/table70.xml"/><Relationship Id="rId2" Type="http://schemas.openxmlformats.org/officeDocument/2006/relationships/table" Target="../tables/table65.xml"/><Relationship Id="rId1" Type="http://schemas.openxmlformats.org/officeDocument/2006/relationships/printerSettings" Target="../printerSettings/printerSettings9.bin"/><Relationship Id="rId6" Type="http://schemas.openxmlformats.org/officeDocument/2006/relationships/table" Target="../tables/table69.xml"/><Relationship Id="rId5" Type="http://schemas.openxmlformats.org/officeDocument/2006/relationships/table" Target="../tables/table68.xml"/><Relationship Id="rId4" Type="http://schemas.openxmlformats.org/officeDocument/2006/relationships/table" Target="../tables/table67.xml"/><Relationship Id="rId9" Type="http://schemas.openxmlformats.org/officeDocument/2006/relationships/table" Target="../tables/table72.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76.xml"/><Relationship Id="rId2" Type="http://schemas.openxmlformats.org/officeDocument/2006/relationships/table" Target="../tables/table75.xml"/><Relationship Id="rId1" Type="http://schemas.openxmlformats.org/officeDocument/2006/relationships/table" Target="../tables/table74.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77.xml"/><Relationship Id="rId2" Type="http://schemas.openxmlformats.org/officeDocument/2006/relationships/drawing" Target="../drawings/drawing2.xml"/><Relationship Id="rId1" Type="http://schemas.openxmlformats.org/officeDocument/2006/relationships/printerSettings" Target="../printerSettings/printerSettings10.bin"/><Relationship Id="rId4" Type="http://schemas.openxmlformats.org/officeDocument/2006/relationships/table" Target="../tables/table78.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table" Target="../tables/table8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table" Target="../tables/table86.xml"/><Relationship Id="rId3" Type="http://schemas.openxmlformats.org/officeDocument/2006/relationships/table" Target="../tables/table81.xml"/><Relationship Id="rId7" Type="http://schemas.openxmlformats.org/officeDocument/2006/relationships/table" Target="../tables/table85.xml"/><Relationship Id="rId2" Type="http://schemas.openxmlformats.org/officeDocument/2006/relationships/drawing" Target="../drawings/drawing4.xml"/><Relationship Id="rId1" Type="http://schemas.openxmlformats.org/officeDocument/2006/relationships/printerSettings" Target="../printerSettings/printerSettings12.bin"/><Relationship Id="rId6" Type="http://schemas.openxmlformats.org/officeDocument/2006/relationships/table" Target="../tables/table84.xml"/><Relationship Id="rId5" Type="http://schemas.openxmlformats.org/officeDocument/2006/relationships/table" Target="../tables/table83.xml"/><Relationship Id="rId4" Type="http://schemas.openxmlformats.org/officeDocument/2006/relationships/table" Target="../tables/table82.xml"/></Relationships>
</file>

<file path=xl/worksheets/_rels/sheet21.xml.rels><?xml version="1.0" encoding="UTF-8" standalone="yes"?>
<Relationships xmlns="http://schemas.openxmlformats.org/package/2006/relationships"><Relationship Id="rId8" Type="http://schemas.openxmlformats.org/officeDocument/2006/relationships/table" Target="../tables/table92.xml"/><Relationship Id="rId3" Type="http://schemas.openxmlformats.org/officeDocument/2006/relationships/table" Target="../tables/table87.xml"/><Relationship Id="rId7" Type="http://schemas.openxmlformats.org/officeDocument/2006/relationships/table" Target="../tables/table91.xml"/><Relationship Id="rId2" Type="http://schemas.openxmlformats.org/officeDocument/2006/relationships/drawing" Target="../drawings/drawing5.xml"/><Relationship Id="rId1" Type="http://schemas.openxmlformats.org/officeDocument/2006/relationships/printerSettings" Target="../printerSettings/printerSettings13.bin"/><Relationship Id="rId6" Type="http://schemas.openxmlformats.org/officeDocument/2006/relationships/table" Target="../tables/table90.xml"/><Relationship Id="rId5" Type="http://schemas.openxmlformats.org/officeDocument/2006/relationships/table" Target="../tables/table89.xml"/><Relationship Id="rId4" Type="http://schemas.openxmlformats.org/officeDocument/2006/relationships/table" Target="../tables/table88.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98.xml"/><Relationship Id="rId3" Type="http://schemas.openxmlformats.org/officeDocument/2006/relationships/table" Target="../tables/table93.xml"/><Relationship Id="rId7" Type="http://schemas.openxmlformats.org/officeDocument/2006/relationships/table" Target="../tables/table97.xml"/><Relationship Id="rId2" Type="http://schemas.openxmlformats.org/officeDocument/2006/relationships/drawing" Target="../drawings/drawing6.xml"/><Relationship Id="rId1" Type="http://schemas.openxmlformats.org/officeDocument/2006/relationships/printerSettings" Target="../printerSettings/printerSettings14.bin"/><Relationship Id="rId6" Type="http://schemas.openxmlformats.org/officeDocument/2006/relationships/table" Target="../tables/table96.xml"/><Relationship Id="rId5" Type="http://schemas.openxmlformats.org/officeDocument/2006/relationships/table" Target="../tables/table95.xml"/><Relationship Id="rId4" Type="http://schemas.openxmlformats.org/officeDocument/2006/relationships/table" Target="../tables/table94.xml"/></Relationships>
</file>

<file path=xl/worksheets/_rels/sheet23.xml.rels><?xml version="1.0" encoding="UTF-8" standalone="yes"?>
<Relationships xmlns="http://schemas.openxmlformats.org/package/2006/relationships"><Relationship Id="rId8" Type="http://schemas.openxmlformats.org/officeDocument/2006/relationships/table" Target="../tables/table104.xml"/><Relationship Id="rId3" Type="http://schemas.openxmlformats.org/officeDocument/2006/relationships/table" Target="../tables/table99.xml"/><Relationship Id="rId7" Type="http://schemas.openxmlformats.org/officeDocument/2006/relationships/table" Target="../tables/table103.xml"/><Relationship Id="rId2" Type="http://schemas.openxmlformats.org/officeDocument/2006/relationships/drawing" Target="../drawings/drawing7.xml"/><Relationship Id="rId1" Type="http://schemas.openxmlformats.org/officeDocument/2006/relationships/printerSettings" Target="../printerSettings/printerSettings15.bin"/><Relationship Id="rId6" Type="http://schemas.openxmlformats.org/officeDocument/2006/relationships/table" Target="../tables/table102.xml"/><Relationship Id="rId5" Type="http://schemas.openxmlformats.org/officeDocument/2006/relationships/table" Target="../tables/table101.xml"/><Relationship Id="rId4" Type="http://schemas.openxmlformats.org/officeDocument/2006/relationships/table" Target="../tables/table100.xml"/><Relationship Id="rId9" Type="http://schemas.openxmlformats.org/officeDocument/2006/relationships/table" Target="../tables/table105.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106.xml"/><Relationship Id="rId2" Type="http://schemas.openxmlformats.org/officeDocument/2006/relationships/drawing" Target="../drawings/drawing8.xml"/><Relationship Id="rId1" Type="http://schemas.openxmlformats.org/officeDocument/2006/relationships/printerSettings" Target="../printerSettings/printerSettings16.bin"/><Relationship Id="rId6" Type="http://schemas.openxmlformats.org/officeDocument/2006/relationships/table" Target="../tables/table109.xml"/><Relationship Id="rId5" Type="http://schemas.openxmlformats.org/officeDocument/2006/relationships/table" Target="../tables/table108.xml"/><Relationship Id="rId4" Type="http://schemas.openxmlformats.org/officeDocument/2006/relationships/table" Target="../tables/table107.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110.x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table" Target="../tables/table11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12.xml"/><Relationship Id="rId2" Type="http://schemas.openxmlformats.org/officeDocument/2006/relationships/drawing" Target="../drawings/drawing10.xml"/><Relationship Id="rId1" Type="http://schemas.openxmlformats.org/officeDocument/2006/relationships/printerSettings" Target="../printerSettings/printerSettings20.bin"/><Relationship Id="rId4" Type="http://schemas.openxmlformats.org/officeDocument/2006/relationships/table" Target="../tables/table113.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114.xml"/><Relationship Id="rId2" Type="http://schemas.openxmlformats.org/officeDocument/2006/relationships/drawing" Target="../drawings/drawing11.xml"/><Relationship Id="rId1" Type="http://schemas.openxmlformats.org/officeDocument/2006/relationships/printerSettings" Target="../printerSettings/printerSettings21.bin"/><Relationship Id="rId4" Type="http://schemas.openxmlformats.org/officeDocument/2006/relationships/table" Target="../tables/table11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118.xml"/><Relationship Id="rId2" Type="http://schemas.openxmlformats.org/officeDocument/2006/relationships/table" Target="../tables/table117.xml"/><Relationship Id="rId1" Type="http://schemas.openxmlformats.org/officeDocument/2006/relationships/table" Target="../tables/table116.xml"/><Relationship Id="rId6" Type="http://schemas.openxmlformats.org/officeDocument/2006/relationships/table" Target="../tables/table121.xml"/><Relationship Id="rId5" Type="http://schemas.openxmlformats.org/officeDocument/2006/relationships/table" Target="../tables/table120.xml"/><Relationship Id="rId4" Type="http://schemas.openxmlformats.org/officeDocument/2006/relationships/table" Target="../tables/table119.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BC9E0-BE5F-4892-896D-1BCD09BCAA16}">
  <sheetPr>
    <tabColor rgb="FF7F7F7F"/>
  </sheetPr>
  <dimension ref="B1:B29"/>
  <sheetViews>
    <sheetView showGridLines="0" workbookViewId="0">
      <selection activeCell="B2" sqref="B2"/>
    </sheetView>
  </sheetViews>
  <sheetFormatPr defaultRowHeight="15" x14ac:dyDescent="0.25"/>
  <cols>
    <col min="2" max="2" width="200.5703125" customWidth="1"/>
  </cols>
  <sheetData>
    <row r="1" spans="2:2" ht="28.5" x14ac:dyDescent="0.25">
      <c r="B1" s="37" t="s">
        <v>0</v>
      </c>
    </row>
    <row r="3" spans="2:2" ht="28.5" x14ac:dyDescent="0.25">
      <c r="B3" s="37" t="s">
        <v>1</v>
      </c>
    </row>
    <row r="5" spans="2:2" x14ac:dyDescent="0.25">
      <c r="B5" s="381" t="s">
        <v>614</v>
      </c>
    </row>
    <row r="6" spans="2:2" x14ac:dyDescent="0.25">
      <c r="B6" s="381"/>
    </row>
    <row r="7" spans="2:2" x14ac:dyDescent="0.25">
      <c r="B7" s="381"/>
    </row>
    <row r="8" spans="2:2" x14ac:dyDescent="0.25">
      <c r="B8" s="381"/>
    </row>
    <row r="9" spans="2:2" x14ac:dyDescent="0.25">
      <c r="B9" s="381"/>
    </row>
    <row r="10" spans="2:2" x14ac:dyDescent="0.25">
      <c r="B10" s="381"/>
    </row>
    <row r="11" spans="2:2" x14ac:dyDescent="0.25">
      <c r="B11" s="381"/>
    </row>
    <row r="12" spans="2:2" x14ac:dyDescent="0.25">
      <c r="B12" s="381"/>
    </row>
    <row r="13" spans="2:2" x14ac:dyDescent="0.25">
      <c r="B13" s="381"/>
    </row>
    <row r="14" spans="2:2" x14ac:dyDescent="0.25">
      <c r="B14" s="381"/>
    </row>
    <row r="15" spans="2:2" x14ac:dyDescent="0.25">
      <c r="B15" s="381"/>
    </row>
    <row r="16" spans="2:2" x14ac:dyDescent="0.25">
      <c r="B16" s="381"/>
    </row>
    <row r="17" spans="2:2" x14ac:dyDescent="0.25">
      <c r="B17" s="381"/>
    </row>
    <row r="18" spans="2:2" x14ac:dyDescent="0.25">
      <c r="B18" s="381"/>
    </row>
    <row r="19" spans="2:2" x14ac:dyDescent="0.25">
      <c r="B19" s="381"/>
    </row>
    <row r="20" spans="2:2" x14ac:dyDescent="0.25">
      <c r="B20" s="381"/>
    </row>
    <row r="21" spans="2:2" x14ac:dyDescent="0.25">
      <c r="B21" s="381"/>
    </row>
    <row r="22" spans="2:2" x14ac:dyDescent="0.25">
      <c r="B22" s="381"/>
    </row>
    <row r="23" spans="2:2" x14ac:dyDescent="0.25">
      <c r="B23" s="381"/>
    </row>
    <row r="24" spans="2:2" x14ac:dyDescent="0.25">
      <c r="B24" s="381"/>
    </row>
    <row r="25" spans="2:2" x14ac:dyDescent="0.25">
      <c r="B25" s="381"/>
    </row>
    <row r="26" spans="2:2" x14ac:dyDescent="0.25">
      <c r="B26" s="381"/>
    </row>
    <row r="27" spans="2:2" x14ac:dyDescent="0.25">
      <c r="B27" s="381"/>
    </row>
    <row r="28" spans="2:2" x14ac:dyDescent="0.25">
      <c r="B28" s="381"/>
    </row>
    <row r="29" spans="2:2" x14ac:dyDescent="0.25">
      <c r="B29" s="381"/>
    </row>
  </sheetData>
  <sheetProtection algorithmName="SHA-512" hashValue="WQ2QdibRw2bjoLjVJgxbz72Z69XHUHtZpD51kRTshGWSqI54hg0V7mem3hPD6fjt6s1qk/88y+7PDiAUqsOI3A==" saltValue="Ni2/Q5m1UHW7tbSVWC31Hw==" spinCount="100000" sheet="1" objects="1" scenarios="1"/>
  <mergeCells count="1">
    <mergeCell ref="B5:B29"/>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736FE-7522-432C-9E07-B6421590DE6E}">
  <sheetPr>
    <tabColor rgb="FFCE0058"/>
  </sheetPr>
  <dimension ref="A1:X173"/>
  <sheetViews>
    <sheetView showGridLines="0" tabSelected="1" topLeftCell="B1" zoomScale="70" zoomScaleNormal="70" workbookViewId="0">
      <pane ySplit="3" topLeftCell="A4" activePane="bottomLeft" state="frozen"/>
      <selection pane="bottomLeft" activeCell="C4" sqref="C4"/>
    </sheetView>
  </sheetViews>
  <sheetFormatPr defaultColWidth="9.42578125" defaultRowHeight="15" outlineLevelRow="2" outlineLevelCol="1" x14ac:dyDescent="0.25"/>
  <cols>
    <col min="1" max="1" width="100.5703125" hidden="1" customWidth="1" outlineLevel="1"/>
    <col min="2" max="2" width="10.5703125" style="6" customWidth="1" collapsed="1"/>
    <col min="3" max="3" width="30.5703125" customWidth="1"/>
    <col min="4" max="4" width="15.5703125" customWidth="1"/>
    <col min="5" max="5" width="16.42578125" customWidth="1"/>
    <col min="6" max="12" width="15.5703125" customWidth="1"/>
    <col min="13" max="13" width="30.5703125" customWidth="1"/>
    <col min="14" max="14" width="15.5703125" customWidth="1"/>
    <col min="15" max="15" width="16.42578125" customWidth="1"/>
    <col min="16" max="22" width="15.5703125" customWidth="1"/>
  </cols>
  <sheetData>
    <row r="1" spans="1:22" ht="15" customHeight="1" x14ac:dyDescent="0.25">
      <c r="A1" s="1" t="s">
        <v>20</v>
      </c>
      <c r="B1" s="21"/>
      <c r="C1" s="22"/>
      <c r="D1" s="22"/>
      <c r="E1" s="22"/>
      <c r="F1" s="123" t="s">
        <v>411</v>
      </c>
      <c r="G1" s="96"/>
      <c r="H1" s="22"/>
      <c r="I1" s="22"/>
      <c r="J1" s="22"/>
      <c r="K1" s="22"/>
      <c r="L1" s="22"/>
      <c r="M1" s="22"/>
      <c r="N1" s="22"/>
      <c r="O1" s="22"/>
      <c r="P1" s="22"/>
      <c r="Q1" s="22"/>
      <c r="R1" s="22"/>
      <c r="S1" s="22"/>
      <c r="T1" s="22"/>
      <c r="U1" s="22"/>
      <c r="V1" s="22"/>
    </row>
    <row r="2" spans="1:22" s="4" customFormat="1" ht="50.1" customHeight="1" x14ac:dyDescent="0.25">
      <c r="A2" s="382" t="s">
        <v>21</v>
      </c>
      <c r="B2" s="25"/>
      <c r="C2" s="25" t="str">
        <f>Disclaimer!$B$1</f>
        <v>VDO calculation model</v>
      </c>
      <c r="D2" s="25"/>
      <c r="E2" s="25"/>
      <c r="F2" s="240" t="str">
        <f>Calc_Rates!$D$5</f>
        <v>VDO 2022-23 - Draft</v>
      </c>
      <c r="G2" s="240" t="str">
        <f>Calc_Rates!$D$254</f>
        <v>VDO 2022 - Final</v>
      </c>
      <c r="H2" s="25"/>
      <c r="I2" s="25"/>
      <c r="J2" s="25"/>
      <c r="K2" s="25"/>
      <c r="L2" s="25"/>
      <c r="M2" s="25"/>
      <c r="N2" s="25"/>
      <c r="O2" s="25"/>
      <c r="P2" s="25"/>
      <c r="Q2" s="25"/>
      <c r="R2" s="25"/>
      <c r="S2" s="25"/>
      <c r="T2" s="25"/>
      <c r="U2" s="25"/>
      <c r="V2" s="25"/>
    </row>
    <row r="3" spans="1:22" s="4" customFormat="1" ht="30" customHeight="1" x14ac:dyDescent="0.25">
      <c r="A3" s="382"/>
      <c r="B3" s="27">
        <f ca="1">_xlfn.SHEET()</f>
        <v>10</v>
      </c>
      <c r="C3" s="26" t="str">
        <f>"VDO rates"</f>
        <v>VDO rates</v>
      </c>
      <c r="D3" s="26"/>
      <c r="E3" s="26"/>
      <c r="F3" s="95">
        <f>SUM(G55:K62,Q55:U62,G44:K51,Q44:U51,G66:K74,Q66:U74)</f>
        <v>0</v>
      </c>
      <c r="G3" s="95">
        <f>SUM(G128:K135,Q128:U135,G117:K124,Q117:U124,G139:K147,Q139:U147)</f>
        <v>0</v>
      </c>
      <c r="H3" s="26"/>
      <c r="I3" s="26"/>
      <c r="J3" s="26"/>
      <c r="K3" s="26"/>
      <c r="L3" s="26"/>
      <c r="M3" s="26"/>
      <c r="N3" s="26"/>
      <c r="O3" s="26"/>
      <c r="P3" s="26"/>
      <c r="Q3" s="26"/>
      <c r="R3" s="26"/>
      <c r="S3" s="26"/>
      <c r="T3" s="26"/>
      <c r="U3" s="26"/>
      <c r="V3" s="26"/>
    </row>
    <row r="4" spans="1:22" x14ac:dyDescent="0.25">
      <c r="B4"/>
    </row>
    <row r="5" spans="1:22" ht="16.5" thickBot="1" x14ac:dyDescent="0.3">
      <c r="A5" s="1" t="s">
        <v>23</v>
      </c>
      <c r="B5" s="9">
        <f ca="1">MAX(B$3:B4)+0.1</f>
        <v>10.1</v>
      </c>
      <c r="C5" s="28" t="str">
        <f>"VDO rates - "&amp;Calc_Rates!$D$5</f>
        <v>VDO rates - VDO 2022-23 - Draft</v>
      </c>
      <c r="D5" s="28"/>
      <c r="E5" s="28"/>
      <c r="F5" s="28"/>
      <c r="G5" s="28"/>
      <c r="H5" s="28"/>
      <c r="I5" s="28"/>
      <c r="J5" s="28"/>
      <c r="K5" s="28"/>
      <c r="L5" s="28"/>
      <c r="M5" s="28"/>
      <c r="N5" s="28"/>
      <c r="O5" s="28"/>
      <c r="P5" s="28"/>
      <c r="Q5" s="28"/>
      <c r="R5" s="28"/>
      <c r="S5" s="28"/>
      <c r="T5" s="28"/>
      <c r="U5" s="28"/>
      <c r="V5" s="28"/>
    </row>
    <row r="6" spans="1:22" outlineLevel="1" x14ac:dyDescent="0.25"/>
    <row r="7" spans="1:22" ht="15.75" outlineLevel="1" x14ac:dyDescent="0.25">
      <c r="C7" s="29" t="s">
        <v>623</v>
      </c>
      <c r="M7" s="29" t="s">
        <v>624</v>
      </c>
      <c r="P7" s="87"/>
      <c r="Q7" s="87"/>
      <c r="R7" s="87"/>
    </row>
    <row r="8" spans="1:22" ht="15.75" outlineLevel="1" x14ac:dyDescent="0.25">
      <c r="C8" s="168" t="s">
        <v>331</v>
      </c>
      <c r="D8" s="168" t="s">
        <v>103</v>
      </c>
      <c r="E8" s="168" t="s">
        <v>91</v>
      </c>
      <c r="F8" s="168" t="s">
        <v>9</v>
      </c>
      <c r="G8" s="169" t="s">
        <v>268</v>
      </c>
      <c r="H8" s="169" t="s">
        <v>269</v>
      </c>
      <c r="I8" s="169" t="s">
        <v>270</v>
      </c>
      <c r="J8" s="169" t="s">
        <v>271</v>
      </c>
      <c r="K8" s="169" t="s">
        <v>272</v>
      </c>
      <c r="M8" s="168" t="s">
        <v>331</v>
      </c>
      <c r="N8" s="168" t="s">
        <v>103</v>
      </c>
      <c r="O8" s="168" t="s">
        <v>91</v>
      </c>
      <c r="P8" s="168" t="s">
        <v>9</v>
      </c>
      <c r="Q8" s="169" t="s">
        <v>268</v>
      </c>
      <c r="R8" s="169" t="s">
        <v>269</v>
      </c>
      <c r="S8" s="169" t="s">
        <v>270</v>
      </c>
      <c r="T8" s="169" t="s">
        <v>271</v>
      </c>
      <c r="U8" s="169" t="s">
        <v>272</v>
      </c>
    </row>
    <row r="9" spans="1:22" outlineLevel="1" x14ac:dyDescent="0.25">
      <c r="C9" s="23" t="s">
        <v>550</v>
      </c>
      <c r="D9" s="23" t="s">
        <v>109</v>
      </c>
      <c r="E9" s="23" t="s">
        <v>92</v>
      </c>
      <c r="F9" s="23" t="s">
        <v>9</v>
      </c>
      <c r="G9" s="209" cm="1">
        <f t="array" ref="G9">ROUND(
SUMIFS(OP_Rates_RES_1[Ausnet],OP_Rates_RES_1[[Rate name]:[Rate name]],OP_TotalRates_RES_1[[#This Row],[Rate name]:[Rate name]])+
SUMIFS(OP_RatesTU_RES_1[Ausnet],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1.2310000000000001</v>
      </c>
      <c r="H9" s="209" cm="1">
        <f t="array" ref="H9">ROUND(
SUMIFS(OP_Rates_RES_1[Citipower],OP_Rates_RES_1[[Rate name]:[Rate name]],OP_TotalRates_RES_1[[#This Row],[Rate name]:[Rate name]])+
SUMIFS(OP_RatesTU_RES_1[Citipower],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1.1303000000000001</v>
      </c>
      <c r="I9" s="209" cm="1">
        <f t="array" ref="I9">ROUND(
SUMIFS(OP_Rates_RES_1[Jemena],OP_Rates_RES_1[[Rate name]:[Rate name]],OP_TotalRates_RES_1[[#This Row],[Rate name]:[Rate name]])+
SUMIFS(OP_RatesTU_RES_1[Jemena],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1.0840000000000001</v>
      </c>
      <c r="J9" s="209" cm="1">
        <f t="array" ref="J9">ROUND(
SUMIFS(OP_Rates_RES_1[Powercor],OP_Rates_RES_1[[Rate name]:[Rate name]],OP_TotalRates_RES_1[[#This Row],[Rate name]:[Rate name]])+
SUMIFS(OP_RatesTU_RES_1[Powercor],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1.2801</v>
      </c>
      <c r="K9" s="209" cm="1">
        <f t="array" ref="K9">ROUND(
SUMIFS(OP_Rates_RES_1[United Energy],OP_Rates_RES_1[[Rate name]:[Rate name]],OP_TotalRates_RES_1[[#This Row],[Rate name]:[Rate name]])+
SUMIFS(OP_RatesTU_RES_1[United Energy],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1.0386</v>
      </c>
      <c r="M9" s="23" t="s">
        <v>550</v>
      </c>
      <c r="N9" s="23" t="s">
        <v>109</v>
      </c>
      <c r="O9" s="23" t="s">
        <v>93</v>
      </c>
      <c r="P9" s="23" t="s">
        <v>9</v>
      </c>
      <c r="Q9" s="209" cm="1">
        <f t="array" ref="Q9">ROUND(
SUMIFS(OP_Rates_SME_1[Ausnet],OP_Rates_SME_1[[Rate name]:[Rate name]],OP_TotalRates_SME_1[[#This Row],[Rate name]:[Rate name]])+
SUMIFS(OP_RatesTU_SME_1[Ausnet],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1.2310000000000001</v>
      </c>
      <c r="R9" s="209" cm="1">
        <f t="array" ref="R9">ROUND(
SUMIFS(OP_Rates_SME_1[Citipower],OP_Rates_SME_1[[Rate name]:[Rate name]],OP_TotalRates_SME_1[[#This Row],[Rate name]:[Rate name]])+
SUMIFS(OP_RatesTU_SME_1[Citipower],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1.3541000000000001</v>
      </c>
      <c r="S9" s="209" cm="1">
        <f t="array" ref="S9">ROUND(
SUMIFS(OP_Rates_SME_1[Jemena],OP_Rates_SME_1[[Rate name]:[Rate name]],OP_TotalRates_SME_1[[#This Row],[Rate name]:[Rate name]])+
SUMIFS(OP_RatesTU_SME_1[Jemena],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1.2509999999999999</v>
      </c>
      <c r="T9" s="209" cm="1">
        <f t="array" ref="T9">ROUND(
SUMIFS(OP_Rates_SME_1[Powercor],OP_Rates_SME_1[[Rate name]:[Rate name]],OP_TotalRates_SME_1[[#This Row],[Rate name]:[Rate name]])+
SUMIFS(OP_RatesTU_SME_1[Powercor],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1.4078999999999999</v>
      </c>
      <c r="U9" s="209" cm="1">
        <f t="array" ref="U9">ROUND(
SUMIFS(OP_Rates_SME_1[United Energy],OP_Rates_SME_1[[Rate name]:[Rate name]],OP_TotalRates_SME_1[[#This Row],[Rate name]:[Rate name]])+
SUMIFS(OP_RatesTU_SME_1[United Energy],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1.1664000000000001</v>
      </c>
    </row>
    <row r="10" spans="1:22" outlineLevel="1" x14ac:dyDescent="0.25">
      <c r="C10" s="23" t="s">
        <v>221</v>
      </c>
      <c r="D10" s="23" t="s">
        <v>282</v>
      </c>
      <c r="E10" s="23" t="s">
        <v>92</v>
      </c>
      <c r="F10" s="23" t="s">
        <v>9</v>
      </c>
      <c r="G10" s="209" cm="1">
        <f t="array" ref="G10">ROUND(
SUMIFS(OP_Rates_RES_1[Ausnet],OP_Rates_RES_1[[Rate name]:[Rate name]],OP_TotalRates_RES_1[[#This Row],[Rate name]:[Rate name]])+
SUMIFS(OP_RatesTU_RES_1[Ausnet],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0.26919999999999999</v>
      </c>
      <c r="H10" s="209" cm="1">
        <f t="array" ref="H10">ROUND(
SUMIFS(OP_Rates_RES_1[Citipower],OP_Rates_RES_1[[Rate name]:[Rate name]],OP_TotalRates_RES_1[[#This Row],[Rate name]:[Rate name]])+
SUMIFS(OP_RatesTU_RES_1[Citipower],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v>
      </c>
      <c r="I10" s="209" cm="1">
        <f t="array" ref="I10">ROUND(
SUMIFS(OP_Rates_RES_1[Jemena],OP_Rates_RES_1[[Rate name]:[Rate name]],OP_TotalRates_RES_1[[#This Row],[Rate name]:[Rate name]])+
SUMIFS(OP_RatesTU_RES_1[Jemena],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v>
      </c>
      <c r="J10" s="209" cm="1">
        <f t="array" ref="J10">ROUND(
SUMIFS(OP_Rates_RES_1[Powercor],OP_Rates_RES_1[[Rate name]:[Rate name]],OP_TotalRates_RES_1[[#This Row],[Rate name]:[Rate name]])+
SUMIFS(OP_RatesTU_RES_1[Powercor],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v>
      </c>
      <c r="K10" s="209" cm="1">
        <f t="array" ref="K10">ROUND(
SUMIFS(OP_Rates_RES_1[United Energy],OP_Rates_RES_1[[Rate name]:[Rate name]],OP_TotalRates_RES_1[[#This Row],[Rate name]:[Rate name]])+
SUMIFS(OP_RatesTU_RES_1[United Energy],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v>
      </c>
      <c r="M10" s="23" t="s">
        <v>221</v>
      </c>
      <c r="N10" s="23" t="s">
        <v>282</v>
      </c>
      <c r="O10" s="23" t="s">
        <v>93</v>
      </c>
      <c r="P10" s="23" t="s">
        <v>9</v>
      </c>
      <c r="Q10" s="209" cm="1">
        <f t="array" ref="Q10">ROUND(
SUMIFS(OP_Rates_SME_1[Ausnet],OP_Rates_SME_1[[Rate name]:[Rate name]],OP_TotalRates_SME_1[[#This Row],[Rate name]:[Rate name]])+
SUMIFS(OP_RatesTU_SME_1[Ausnet],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0.3019</v>
      </c>
      <c r="R10" s="209" cm="1">
        <f t="array" ref="R10">ROUND(
SUMIFS(OP_Rates_SME_1[Citipower],OP_Rates_SME_1[[Rate name]:[Rate name]],OP_TotalRates_SME_1[[#This Row],[Rate name]:[Rate name]])+
SUMIFS(OP_RatesTU_SME_1[Citipower],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c r="S10" s="209" cm="1">
        <f t="array" ref="S10">ROUND(
SUMIFS(OP_Rates_SME_1[Jemena],OP_Rates_SME_1[[Rate name]:[Rate name]],OP_TotalRates_SME_1[[#This Row],[Rate name]:[Rate name]])+
SUMIFS(OP_RatesTU_SME_1[Jemena],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c r="T10" s="209" cm="1">
        <f t="array" ref="T10">ROUND(
SUMIFS(OP_Rates_SME_1[Powercor],OP_Rates_SME_1[[Rate name]:[Rate name]],OP_TotalRates_SME_1[[#This Row],[Rate name]:[Rate name]])+
SUMIFS(OP_RatesTU_SME_1[Powercor],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c r="U10" s="209" cm="1">
        <f t="array" ref="U10">ROUND(
SUMIFS(OP_Rates_SME_1[United Energy],OP_Rates_SME_1[[Rate name]:[Rate name]],OP_TotalRates_SME_1[[#This Row],[Rate name]:[Rate name]])+
SUMIFS(OP_RatesTU_SME_1[United Energy],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row>
    <row r="11" spans="1:22" outlineLevel="1" x14ac:dyDescent="0.25">
      <c r="C11" s="23" t="s">
        <v>228</v>
      </c>
      <c r="D11" s="23" t="s">
        <v>282</v>
      </c>
      <c r="E11" s="23" t="s">
        <v>92</v>
      </c>
      <c r="F11" s="23" t="s">
        <v>9</v>
      </c>
      <c r="G11" s="209" cm="1">
        <f t="array" ref="G11">ROUND(
SUMIFS(OP_Rates_RES_1[Ausnet],OP_Rates_RES_1[[Rate name]:[Rate name]],OP_TotalRates_RES_1[[#This Row],[Rate name]:[Rate name]])+
SUMIFS(OP_RatesTU_RES_1[Ausnet],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0.28539999999999999</v>
      </c>
      <c r="H11" s="209" cm="1">
        <f t="array" ref="H11">ROUND(
SUMIFS(OP_Rates_RES_1[Citipower],OP_Rates_RES_1[[Rate name]:[Rate name]],OP_TotalRates_RES_1[[#This Row],[Rate name]:[Rate name]])+
SUMIFS(OP_RatesTU_RES_1[Citipower],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v>
      </c>
      <c r="I11" s="209" cm="1">
        <f t="array" ref="I11">ROUND(
SUMIFS(OP_Rates_RES_1[Jemena],OP_Rates_RES_1[[Rate name]:[Rate name]],OP_TotalRates_RES_1[[#This Row],[Rate name]:[Rate name]])+
SUMIFS(OP_RatesTU_RES_1[Jemena],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v>
      </c>
      <c r="J11" s="209" cm="1">
        <f t="array" ref="J11">ROUND(
SUMIFS(OP_Rates_RES_1[Powercor],OP_Rates_RES_1[[Rate name]:[Rate name]],OP_TotalRates_RES_1[[#This Row],[Rate name]:[Rate name]])+
SUMIFS(OP_RatesTU_RES_1[Powercor],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v>
      </c>
      <c r="K11" s="209" cm="1">
        <f t="array" ref="K11">ROUND(
SUMIFS(OP_Rates_RES_1[United Energy],OP_Rates_RES_1[[Rate name]:[Rate name]],OP_TotalRates_RES_1[[#This Row],[Rate name]:[Rate name]])+
SUMIFS(OP_RatesTU_RES_1[United Energy],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v>
      </c>
      <c r="M11" s="23" t="s">
        <v>228</v>
      </c>
      <c r="N11" s="23" t="s">
        <v>282</v>
      </c>
      <c r="O11" s="23" t="s">
        <v>93</v>
      </c>
      <c r="P11" s="23" t="s">
        <v>9</v>
      </c>
      <c r="Q11" s="209" cm="1">
        <f t="array" ref="Q11">ROUND(
SUMIFS(OP_Rates_SME_1[Ausnet],OP_Rates_SME_1[[Rate name]:[Rate name]],OP_TotalRates_SME_1[[#This Row],[Rate name]:[Rate name]])+
SUMIFS(OP_RatesTU_SME_1[Ausnet],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0.3337</v>
      </c>
      <c r="R11" s="209" cm="1">
        <f t="array" ref="R11">ROUND(
SUMIFS(OP_Rates_SME_1[Citipower],OP_Rates_SME_1[[Rate name]:[Rate name]],OP_TotalRates_SME_1[[#This Row],[Rate name]:[Rate name]])+
SUMIFS(OP_RatesTU_SME_1[Citipower],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c r="S11" s="209" cm="1">
        <f t="array" ref="S11">ROUND(
SUMIFS(OP_Rates_SME_1[Jemena],OP_Rates_SME_1[[Rate name]:[Rate name]],OP_TotalRates_SME_1[[#This Row],[Rate name]:[Rate name]])+
SUMIFS(OP_RatesTU_SME_1[Jemena],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c r="T11" s="209" cm="1">
        <f t="array" ref="T11">ROUND(
SUMIFS(OP_Rates_SME_1[Powercor],OP_Rates_SME_1[[Rate name]:[Rate name]],OP_TotalRates_SME_1[[#This Row],[Rate name]:[Rate name]])+
SUMIFS(OP_RatesTU_SME_1[Powercor],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c r="U11" s="209" cm="1">
        <f t="array" ref="U11">ROUND(
SUMIFS(OP_Rates_SME_1[United Energy],OP_Rates_SME_1[[Rate name]:[Rate name]],OP_TotalRates_SME_1[[#This Row],[Rate name]:[Rate name]])+
SUMIFS(OP_RatesTU_SME_1[United Energy],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row>
    <row r="12" spans="1:22" outlineLevel="1" x14ac:dyDescent="0.25">
      <c r="C12" s="23" t="s">
        <v>549</v>
      </c>
      <c r="D12" s="23" t="s">
        <v>282</v>
      </c>
      <c r="E12" s="23" t="s">
        <v>92</v>
      </c>
      <c r="F12" s="23" t="s">
        <v>9</v>
      </c>
      <c r="G12" s="209" cm="1">
        <f t="array" ref="G12">ROUND(
SUMIFS(OP_Rates_RES_1[Ausnet],OP_Rates_RES_1[[Rate name]:[Rate name]],OP_TotalRates_RES_1[[#This Row],[Rate name]:[Rate name]])+
SUMIFS(OP_RatesTU_RES_1[Ausnet],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v>
      </c>
      <c r="H12" s="209" cm="1">
        <f t="array" ref="H12">ROUND(
SUMIFS(OP_Rates_RES_1[Citipower],OP_Rates_RES_1[[Rate name]:[Rate name]],OP_TotalRates_RES_1[[#This Row],[Rate name]:[Rate name]])+
SUMIFS(OP_RatesTU_RES_1[Citipower],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0.218</v>
      </c>
      <c r="I12" s="209" cm="1">
        <f t="array" ref="I12">ROUND(
SUMIFS(OP_Rates_RES_1[Jemena],OP_Rates_RES_1[[Rate name]:[Rate name]],OP_TotalRates_RES_1[[#This Row],[Rate name]:[Rate name]])+
SUMIFS(OP_RatesTU_RES_1[Jemena],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0.23300000000000001</v>
      </c>
      <c r="J12" s="209" cm="1">
        <f t="array" ref="J12">ROUND(
SUMIFS(OP_Rates_RES_1[Powercor],OP_Rates_RES_1[[Rate name]:[Rate name]],OP_TotalRates_RES_1[[#This Row],[Rate name]:[Rate name]])+
SUMIFS(OP_RatesTU_RES_1[Powercor],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0.2276</v>
      </c>
      <c r="K12" s="209" cm="1">
        <f t="array" ref="K12">ROUND(
SUMIFS(OP_Rates_RES_1[United Energy],OP_Rates_RES_1[[Rate name]:[Rate name]],OP_TotalRates_RES_1[[#This Row],[Rate name]:[Rate name]])+
SUMIFS(OP_RatesTU_RES_1[United Energy],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0.22500000000000001</v>
      </c>
      <c r="M12" s="23" t="s">
        <v>549</v>
      </c>
      <c r="N12" s="23" t="s">
        <v>282</v>
      </c>
      <c r="O12" s="23" t="s">
        <v>93</v>
      </c>
      <c r="P12" s="23" t="s">
        <v>9</v>
      </c>
      <c r="Q12" s="209" cm="1">
        <f t="array" ref="Q12">ROUND(
SUMIFS(OP_Rates_SME_1[Ausnet],OP_Rates_SME_1[[Rate name]:[Rate name]],OP_TotalRates_SME_1[[#This Row],[Rate name]:[Rate name]])+
SUMIFS(OP_RatesTU_SME_1[Ausnet],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c r="R12" s="209" cm="1">
        <f t="array" ref="R12">ROUND(
SUMIFS(OP_Rates_SME_1[Citipower],OP_Rates_SME_1[[Rate name]:[Rate name]],OP_TotalRates_SME_1[[#This Row],[Rate name]:[Rate name]])+
SUMIFS(OP_RatesTU_SME_1[Citipower],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0.21510000000000001</v>
      </c>
      <c r="S12" s="209" cm="1">
        <f t="array" ref="S12">ROUND(
SUMIFS(OP_Rates_SME_1[Jemena],OP_Rates_SME_1[[Rate name]:[Rate name]],OP_TotalRates_SME_1[[#This Row],[Rate name]:[Rate name]])+
SUMIFS(OP_RatesTU_SME_1[Jemena],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0.24560000000000001</v>
      </c>
      <c r="T12" s="209" cm="1">
        <f t="array" ref="T12">ROUND(
SUMIFS(OP_Rates_SME_1[Powercor],OP_Rates_SME_1[[Rate name]:[Rate name]],OP_TotalRates_SME_1[[#This Row],[Rate name]:[Rate name]])+
SUMIFS(OP_RatesTU_SME_1[Powercor],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0.2266</v>
      </c>
      <c r="U12" s="209" cm="1">
        <f t="array" ref="U12">ROUND(
SUMIFS(OP_Rates_SME_1[United Energy],OP_Rates_SME_1[[Rate name]:[Rate name]],OP_TotalRates_SME_1[[#This Row],[Rate name]:[Rate name]])+
SUMIFS(OP_RatesTU_SME_1[United Energy],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0.22189999999999999</v>
      </c>
    </row>
    <row r="13" spans="1:22" outlineLevel="1" x14ac:dyDescent="0.25">
      <c r="C13" s="23" t="s">
        <v>551</v>
      </c>
      <c r="D13" s="23" t="s">
        <v>109</v>
      </c>
      <c r="E13" s="23" t="s">
        <v>92</v>
      </c>
      <c r="F13" s="23" t="s">
        <v>9</v>
      </c>
      <c r="G13" s="209" cm="1">
        <f t="array" ref="G13">ROUND(
SUMIFS(OP_Rates_RES_1[Ausnet],OP_Rates_RES_1[[Rate name]:[Rate name]],OP_TotalRates_RES_1[[#This Row],[Rate name]:[Rate name]])+
SUMIFS(OP_RatesTU_RES_1[Ausnet],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1.2310000000000001</v>
      </c>
      <c r="H13" s="209" cm="1">
        <f t="array" ref="H13">ROUND(
SUMIFS(OP_Rates_RES_1[Citipower],OP_Rates_RES_1[[Rate name]:[Rate name]],OP_TotalRates_RES_1[[#This Row],[Rate name]:[Rate name]])+
SUMIFS(OP_RatesTU_RES_1[Citipower],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1.1303000000000001</v>
      </c>
      <c r="I13" s="209" cm="1">
        <f t="array" ref="I13">ROUND(
SUMIFS(OP_Rates_RES_1[Jemena],OP_Rates_RES_1[[Rate name]:[Rate name]],OP_TotalRates_RES_1[[#This Row],[Rate name]:[Rate name]])+
SUMIFS(OP_RatesTU_RES_1[Jemena],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1.0840000000000001</v>
      </c>
      <c r="J13" s="209" cm="1">
        <f t="array" ref="J13">ROUND(
SUMIFS(OP_Rates_RES_1[Powercor],OP_Rates_RES_1[[Rate name]:[Rate name]],OP_TotalRates_RES_1[[#This Row],[Rate name]:[Rate name]])+
SUMIFS(OP_RatesTU_RES_1[Powercor],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1.2801</v>
      </c>
      <c r="K13" s="209" cm="1">
        <f t="array" ref="K13">ROUND(
SUMIFS(OP_Rates_RES_1[United Energy],OP_Rates_RES_1[[Rate name]:[Rate name]],OP_TotalRates_RES_1[[#This Row],[Rate name]:[Rate name]])+
SUMIFS(OP_RatesTU_RES_1[United Energy],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1.0386</v>
      </c>
      <c r="M13" s="23" t="s">
        <v>551</v>
      </c>
      <c r="N13" s="23" t="s">
        <v>109</v>
      </c>
      <c r="O13" s="23" t="s">
        <v>93</v>
      </c>
      <c r="P13" s="23" t="s">
        <v>9</v>
      </c>
      <c r="Q13" s="209" cm="1">
        <f t="array" ref="Q13">ROUND(
SUMIFS(OP_Rates_SME_1[Ausnet],OP_Rates_SME_1[[Rate name]:[Rate name]],OP_TotalRates_SME_1[[#This Row],[Rate name]:[Rate name]])+
SUMIFS(OP_RatesTU_SME_1[Ausnet],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1.2310000000000001</v>
      </c>
      <c r="R13" s="209" cm="1">
        <f t="array" ref="R13">ROUND(
SUMIFS(OP_Rates_SME_1[Citipower],OP_Rates_SME_1[[Rate name]:[Rate name]],OP_TotalRates_SME_1[[#This Row],[Rate name]:[Rate name]])+
SUMIFS(OP_RatesTU_SME_1[Citipower],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1.3541000000000001</v>
      </c>
      <c r="S13" s="209" cm="1">
        <f t="array" ref="S13">ROUND(
SUMIFS(OP_Rates_SME_1[Jemena],OP_Rates_SME_1[[Rate name]:[Rate name]],OP_TotalRates_SME_1[[#This Row],[Rate name]:[Rate name]])+
SUMIFS(OP_RatesTU_SME_1[Jemena],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1.5951</v>
      </c>
      <c r="T13" s="209" cm="1">
        <f t="array" ref="T13">ROUND(
SUMIFS(OP_Rates_SME_1[Powercor],OP_Rates_SME_1[[Rate name]:[Rate name]],OP_TotalRates_SME_1[[#This Row],[Rate name]:[Rate name]])+
SUMIFS(OP_RatesTU_SME_1[Powercor],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1.4078999999999999</v>
      </c>
      <c r="U13" s="209" cm="1">
        <f t="array" ref="U13">ROUND(
SUMIFS(OP_Rates_SME_1[United Energy],OP_Rates_SME_1[[Rate name]:[Rate name]],OP_TotalRates_SME_1[[#This Row],[Rate name]:[Rate name]])+
SUMIFS(OP_RatesTU_SME_1[United Energy],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1.1664000000000001</v>
      </c>
    </row>
    <row r="14" spans="1:22" outlineLevel="1" x14ac:dyDescent="0.25">
      <c r="C14" s="23" t="s">
        <v>230</v>
      </c>
      <c r="D14" s="23" t="s">
        <v>282</v>
      </c>
      <c r="E14" s="23" t="s">
        <v>92</v>
      </c>
      <c r="F14" s="23" t="s">
        <v>9</v>
      </c>
      <c r="G14" s="209" cm="1">
        <f t="array" ref="G14">ROUND(
SUMIFS(OP_Rates_RES_1[Ausnet],OP_Rates_RES_1[[Rate name]:[Rate name]],OP_TotalRates_RES_1[[#This Row],[Rate name]:[Rate name]])+
SUMIFS(OP_RatesTU_RES_1[Ausnet],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0.37890000000000001</v>
      </c>
      <c r="H14" s="209" cm="1">
        <f t="array" ref="H14">ROUND(
SUMIFS(OP_Rates_RES_1[Citipower],OP_Rates_RES_1[[Rate name]:[Rate name]],OP_TotalRates_RES_1[[#This Row],[Rate name]:[Rate name]])+
SUMIFS(OP_RatesTU_RES_1[Citipower],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0.31009999999999999</v>
      </c>
      <c r="I14" s="209" cm="1">
        <f t="array" ref="I14">ROUND(
SUMIFS(OP_Rates_RES_1[Jemena],OP_Rates_RES_1[[Rate name]:[Rate name]],OP_TotalRates_RES_1[[#This Row],[Rate name]:[Rate name]])+
SUMIFS(OP_RatesTU_RES_1[Jemena],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0.28920000000000001</v>
      </c>
      <c r="J14" s="209" cm="1">
        <f t="array" ref="J14">ROUND(
SUMIFS(OP_Rates_RES_1[Powercor],OP_Rates_RES_1[[Rate name]:[Rate name]],OP_TotalRates_RES_1[[#This Row],[Rate name]:[Rate name]])+
SUMIFS(OP_RatesTU_RES_1[Powercor],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0.31759999999999999</v>
      </c>
      <c r="K14" s="209" cm="1">
        <f t="array" ref="K14">ROUND(
SUMIFS(OP_Rates_RES_1[United Energy],OP_Rates_RES_1[[Rate name]:[Rate name]],OP_TotalRates_RES_1[[#This Row],[Rate name]:[Rate name]])+
SUMIFS(OP_RatesTU_RES_1[United Energy],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0.316</v>
      </c>
      <c r="M14" s="23" t="s">
        <v>230</v>
      </c>
      <c r="N14" s="23" t="s">
        <v>282</v>
      </c>
      <c r="O14" s="23" t="s">
        <v>93</v>
      </c>
      <c r="P14" s="23" t="s">
        <v>9</v>
      </c>
      <c r="Q14" s="209" cm="1">
        <f t="array" ref="Q14">ROUND(
SUMIFS(OP_Rates_SME_1[Ausnet],OP_Rates_SME_1[[Rate name]:[Rate name]],OP_TotalRates_SME_1[[#This Row],[Rate name]:[Rate name]])+
SUMIFS(OP_RatesTU_SME_1[Ausnet],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0.32490000000000002</v>
      </c>
      <c r="R14" s="209" cm="1">
        <f t="array" ref="R14">ROUND(
SUMIFS(OP_Rates_SME_1[Citipower],OP_Rates_SME_1[[Rate name]:[Rate name]],OP_TotalRates_SME_1[[#This Row],[Rate name]:[Rate name]])+
SUMIFS(OP_RatesTU_SME_1[Citipower],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0.2712</v>
      </c>
      <c r="S14" s="209" cm="1">
        <f t="array" ref="S14">ROUND(
SUMIFS(OP_Rates_SME_1[Jemena],OP_Rates_SME_1[[Rate name]:[Rate name]],OP_TotalRates_SME_1[[#This Row],[Rate name]:[Rate name]])+
SUMIFS(OP_RatesTU_SME_1[Jemena],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0.2848</v>
      </c>
      <c r="T14" s="209" cm="1">
        <f t="array" ref="T14">ROUND(
SUMIFS(OP_Rates_SME_1[Powercor],OP_Rates_SME_1[[Rate name]:[Rate name]],OP_TotalRates_SME_1[[#This Row],[Rate name]:[Rate name]])+
SUMIFS(OP_RatesTU_SME_1[Powercor],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0.2903</v>
      </c>
      <c r="U14" s="209" cm="1">
        <f t="array" ref="U14">ROUND(
SUMIFS(OP_Rates_SME_1[United Energy],OP_Rates_SME_1[[Rate name]:[Rate name]],OP_TotalRates_SME_1[[#This Row],[Rate name]:[Rate name]])+
SUMIFS(OP_RatesTU_SME_1[United Energy],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0.28249999999999997</v>
      </c>
    </row>
    <row r="15" spans="1:22" outlineLevel="1" x14ac:dyDescent="0.25">
      <c r="C15" s="23" t="s">
        <v>609</v>
      </c>
      <c r="D15" s="23" t="s">
        <v>282</v>
      </c>
      <c r="E15" s="23" t="s">
        <v>92</v>
      </c>
      <c r="F15" s="23" t="s">
        <v>9</v>
      </c>
      <c r="G15" s="209" cm="1">
        <f t="array" ref="G15">ROUND(
SUMIFS(OP_Rates_RES_1[Ausnet],OP_Rates_RES_1[[Rate name]:[Rate name]],OP_TotalRates_RES_1[[#This Row],[Rate name]:[Rate name]])+
SUMIFS(OP_RatesTU_RES_1[Ausnet],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0.18629999999999999</v>
      </c>
      <c r="H15" s="209" cm="1">
        <f t="array" ref="H15">ROUND(
SUMIFS(OP_Rates_RES_1[Citipower],OP_Rates_RES_1[[Rate name]:[Rate name]],OP_TotalRates_RES_1[[#This Row],[Rate name]:[Rate name]])+
SUMIFS(OP_RatesTU_RES_1[Citipower],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0.1706</v>
      </c>
      <c r="I15" s="209" cm="1">
        <f t="array" ref="I15">ROUND(
SUMIFS(OP_Rates_RES_1[Jemena],OP_Rates_RES_1[[Rate name]:[Rate name]],OP_TotalRates_RES_1[[#This Row],[Rate name]:[Rate name]])+
SUMIFS(OP_RatesTU_RES_1[Jemena],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0.1772</v>
      </c>
      <c r="J15" s="209" cm="1">
        <f t="array" ref="J15">ROUND(
SUMIFS(OP_Rates_RES_1[Powercor],OP_Rates_RES_1[[Rate name]:[Rate name]],OP_TotalRates_RES_1[[#This Row],[Rate name]:[Rate name]])+
SUMIFS(OP_RatesTU_RES_1[Powercor],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0.1787</v>
      </c>
      <c r="K15" s="209" cm="1">
        <f t="array" ref="K15">ROUND(
SUMIFS(OP_Rates_RES_1[United Energy],OP_Rates_RES_1[[Rate name]:[Rate name]],OP_TotalRates_RES_1[[#This Row],[Rate name]:[Rate name]])+
SUMIFS(OP_RatesTU_RES_1[United Energy],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0.1779</v>
      </c>
      <c r="M15" s="23" t="s">
        <v>609</v>
      </c>
      <c r="N15" s="23" t="s">
        <v>282</v>
      </c>
      <c r="O15" s="23" t="s">
        <v>93</v>
      </c>
      <c r="P15" s="23" t="s">
        <v>9</v>
      </c>
      <c r="Q15" s="209" cm="1">
        <f t="array" ref="Q15">ROUND(
SUMIFS(OP_Rates_SME_1[Ausnet],OP_Rates_SME_1[[Rate name]:[Rate name]],OP_TotalRates_SME_1[[#This Row],[Rate name]:[Rate name]])+
SUMIFS(OP_RatesTU_SME_1[Ausnet],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0.1704</v>
      </c>
      <c r="R15" s="209" cm="1">
        <f t="array" ref="R15">ROUND(
SUMIFS(OP_Rates_SME_1[Citipower],OP_Rates_SME_1[[Rate name]:[Rate name]],OP_TotalRates_SME_1[[#This Row],[Rate name]:[Rate name]])+
SUMIFS(OP_RatesTU_SME_1[Citipower],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0.153</v>
      </c>
      <c r="S15" s="209" cm="1">
        <f t="array" ref="S15">ROUND(
SUMIFS(OP_Rates_SME_1[Jemena],OP_Rates_SME_1[[Rate name]:[Rate name]],OP_TotalRates_SME_1[[#This Row],[Rate name]:[Rate name]])+
SUMIFS(OP_RatesTU_SME_1[Jemena],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0.1532</v>
      </c>
      <c r="T15" s="209" cm="1">
        <f t="array" ref="T15">ROUND(
SUMIFS(OP_Rates_SME_1[Powercor],OP_Rates_SME_1[[Rate name]:[Rate name]],OP_TotalRates_SME_1[[#This Row],[Rate name]:[Rate name]])+
SUMIFS(OP_RatesTU_SME_1[Powercor],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0.1565</v>
      </c>
      <c r="U15" s="209" cm="1">
        <f t="array" ref="U15">ROUND(
SUMIFS(OP_Rates_SME_1[United Energy],OP_Rates_SME_1[[Rate name]:[Rate name]],OP_TotalRates_SME_1[[#This Row],[Rate name]:[Rate name]])+
SUMIFS(OP_RatesTU_SME_1[United Energy],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0.15559999999999999</v>
      </c>
    </row>
    <row r="16" spans="1:22" outlineLevel="1" x14ac:dyDescent="0.25">
      <c r="C16" s="23" t="s">
        <v>287</v>
      </c>
      <c r="D16" s="23" t="s">
        <v>282</v>
      </c>
      <c r="E16" s="23" t="s">
        <v>92</v>
      </c>
      <c r="F16" s="23" t="s">
        <v>9</v>
      </c>
      <c r="G16" s="209" cm="1">
        <f t="array" ref="G16">ROUND(
SUMIFS(OP_Rates_RES_1[Ausnet],OP_Rates_RES_1[[Rate name]:[Rate name]],OP_TotalRates_RES_1[[#This Row],[Rate name]:[Rate name]])+
SUMIFS(OP_RatesTU_RES_1[Ausnet],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0.18529999999999999</v>
      </c>
      <c r="H16" s="209" cm="1">
        <f t="array" ref="H16">ROUND(
SUMIFS(OP_Rates_RES_1[Citipower],OP_Rates_RES_1[[Rate name]:[Rate name]],OP_TotalRates_RES_1[[#This Row],[Rate name]:[Rate name]])+
SUMIFS(OP_RatesTU_RES_1[Citipower],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0.153</v>
      </c>
      <c r="I16" s="209" cm="1">
        <f t="array" ref="I16">ROUND(
SUMIFS(OP_Rates_RES_1[Jemena],OP_Rates_RES_1[[Rate name]:[Rate name]],OP_TotalRates_RES_1[[#This Row],[Rate name]:[Rate name]])+
SUMIFS(OP_RatesTU_RES_1[Jemena],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0.1739</v>
      </c>
      <c r="J16" s="209" cm="1">
        <f t="array" ref="J16">ROUND(
SUMIFS(OP_Rates_RES_1[Powercor],OP_Rates_RES_1[[Rate name]:[Rate name]],OP_TotalRates_RES_1[[#This Row],[Rate name]:[Rate name]])+
SUMIFS(OP_RatesTU_RES_1[Powercor],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0.16039999999999999</v>
      </c>
      <c r="K16" s="209" cm="1">
        <f t="array" ref="K16">ROUND(
SUMIFS(OP_Rates_RES_1[United Energy],OP_Rates_RES_1[[Rate name]:[Rate name]],OP_TotalRates_RES_1[[#This Row],[Rate name]:[Rate name]])+
SUMIFS(OP_RatesTU_RES_1[United Energy],
OP_RatesTU_RES_1[[Rate name]:[Rate name]],IF(OP_TotalRates_RES_1[[#This Row],[Unit]:[Unit]]&lt;&gt;"$",OP_TotalRates_RES_1[[#This Row],[Rate name]:[Rate name]],LEFT(OP_TotalRates_RES_1[[#This Row],[Rate name]:[Rate name]],LEN(OP_TotalRates_RES_1[[#This Row],[Rate name]:[Rate name]])-FIND(" - supply",OP_TotalRates_RES_1[[#This Row],[Rate name]:[Rate name]])-1))),4)</f>
        <v>0.15709999999999999</v>
      </c>
      <c r="M16" s="44"/>
      <c r="N16" s="44"/>
      <c r="O16" s="23"/>
      <c r="P16" s="59" t="s">
        <v>9</v>
      </c>
      <c r="Q16" s="209" cm="1">
        <f t="array" ref="Q16">ROUND(
SUMIFS(OP_Rates_SME_1[Ausnet],OP_Rates_SME_1[[Rate name]:[Rate name]],OP_TotalRates_SME_1[[#This Row],[Rate name]:[Rate name]])+
SUMIFS(OP_RatesTU_SME_1[Ausnet],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c r="R16" s="209" cm="1">
        <f t="array" ref="R16">ROUND(
SUMIFS(OP_Rates_SME_1[Citipower],OP_Rates_SME_1[[Rate name]:[Rate name]],OP_TotalRates_SME_1[[#This Row],[Rate name]:[Rate name]])+
SUMIFS(OP_RatesTU_SME_1[Citipower],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c r="S16" s="209" cm="1">
        <f t="array" ref="S16">ROUND(
SUMIFS(OP_Rates_SME_1[Jemena],OP_Rates_SME_1[[Rate name]:[Rate name]],OP_TotalRates_SME_1[[#This Row],[Rate name]:[Rate name]])+
SUMIFS(OP_RatesTU_SME_1[Jemena],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c r="T16" s="209" cm="1">
        <f t="array" ref="T16">ROUND(
SUMIFS(OP_Rates_SME_1[Powercor],OP_Rates_SME_1[[Rate name]:[Rate name]],OP_TotalRates_SME_1[[#This Row],[Rate name]:[Rate name]])+
SUMIFS(OP_RatesTU_SME_1[Powercor],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c r="U16" s="209" cm="1">
        <f t="array" ref="U16">ROUND(
SUMIFS(OP_Rates_SME_1[United Energy],OP_Rates_SME_1[[Rate name]:[Rate name]],OP_TotalRates_SME_1[[#This Row],[Rate name]:[Rate name]])+
SUMIFS(OP_RatesTU_SME_1[United Energy],
OP_RatesTU_SME_1[[Rate name]:[Rate name]],IF(OP_TotalRates_SME_1[[#This Row],[Unit]:[Unit]]&lt;&gt;"$",OP_TotalRates_SME_1[[#This Row],[Rate name]:[Rate name]],LEFT(OP_TotalRates_SME_1[[#This Row],[Rate name]:[Rate name]],LEN(OP_TotalRates_SME_1[[#This Row],[Rate name]:[Rate name]])-FIND(" - supply",OP_TotalRates_SME_1[[#This Row],[Rate name]:[Rate name]])-1))),4)</f>
        <v>0</v>
      </c>
    </row>
    <row r="17" spans="3:21" outlineLevel="1" x14ac:dyDescent="0.25"/>
    <row r="18" spans="3:21" ht="15.75" outlineLevel="1" x14ac:dyDescent="0.25">
      <c r="C18" s="29" t="s">
        <v>669</v>
      </c>
      <c r="H18" s="87"/>
      <c r="M18" s="29" t="s">
        <v>670</v>
      </c>
      <c r="R18" s="87"/>
    </row>
    <row r="19" spans="3:21" ht="15.75" outlineLevel="2" x14ac:dyDescent="0.25">
      <c r="C19" s="43" t="s">
        <v>331</v>
      </c>
      <c r="D19" s="43" t="s">
        <v>103</v>
      </c>
      <c r="E19" s="43" t="s">
        <v>91</v>
      </c>
      <c r="F19" s="43" t="s">
        <v>9</v>
      </c>
      <c r="G19" s="60" t="s">
        <v>268</v>
      </c>
      <c r="H19" s="60" t="s">
        <v>269</v>
      </c>
      <c r="I19" s="60" t="s">
        <v>270</v>
      </c>
      <c r="J19" s="60" t="s">
        <v>271</v>
      </c>
      <c r="K19" s="85" t="s">
        <v>272</v>
      </c>
      <c r="M19" s="43" t="s">
        <v>331</v>
      </c>
      <c r="N19" s="43" t="s">
        <v>103</v>
      </c>
      <c r="O19" s="43" t="s">
        <v>91</v>
      </c>
      <c r="P19" s="43" t="s">
        <v>9</v>
      </c>
      <c r="Q19" s="60" t="s">
        <v>268</v>
      </c>
      <c r="R19" s="60" t="s">
        <v>269</v>
      </c>
      <c r="S19" s="60" t="s">
        <v>270</v>
      </c>
      <c r="T19" s="60" t="s">
        <v>271</v>
      </c>
      <c r="U19" s="85" t="s">
        <v>272</v>
      </c>
    </row>
    <row r="20" spans="3:21" outlineLevel="2" x14ac:dyDescent="0.25">
      <c r="C20" s="23" t="s">
        <v>550</v>
      </c>
      <c r="D20" s="23" t="s">
        <v>109</v>
      </c>
      <c r="E20" s="23" t="s">
        <v>92</v>
      </c>
      <c r="F20" s="59" t="s">
        <v>9</v>
      </c>
      <c r="G20" s="62">
        <f>SUMIFS(Calc_Rates!G$17:G$47,Calc_Rates!$C$17:$C$47,OP_Rates!$C20,Calc_Rates!$F$17:$F$47,OP_Rates!$E20)</f>
        <v>1.230976975710445</v>
      </c>
      <c r="H20" s="62">
        <f>SUMIFS(Calc_Rates!H$17:H$47,Calc_Rates!$C$17:$C$47,OP_Rates!$C20,Calc_Rates!$F$17:$F$47,OP_Rates!$E20)</f>
        <v>1.1303462849374368</v>
      </c>
      <c r="I20" s="62">
        <f>SUMIFS(Calc_Rates!I$17:I$47,Calc_Rates!$C$17:$C$47,OP_Rates!$C20,Calc_Rates!$F$17:$F$47,OP_Rates!$E20)</f>
        <v>1.083995364705838</v>
      </c>
      <c r="J20" s="62">
        <f>SUMIFS(Calc_Rates!J$17:J$47,Calc_Rates!$C$17:$C$47,OP_Rates!$C20,Calc_Rates!$F$17:$F$47,OP_Rates!$E20)</f>
        <v>1.2800520090363177</v>
      </c>
      <c r="K20" s="94">
        <f>SUMIFS(Calc_Rates!K$17:K$47,Calc_Rates!$C$17:$C$47,OP_Rates!$C20,Calc_Rates!$F$17:$F$47,OP_Rates!$E20)</f>
        <v>1.0386077601272328</v>
      </c>
      <c r="M20" s="23" t="s">
        <v>550</v>
      </c>
      <c r="N20" s="23" t="s">
        <v>109</v>
      </c>
      <c r="O20" s="23" t="s">
        <v>93</v>
      </c>
      <c r="P20" s="59" t="s">
        <v>9</v>
      </c>
      <c r="Q20" s="62">
        <f>IF(SUMIFS(Calc_Rates!G$17:G$47,Calc_Rates!$C$17:$C$47,OP_Rates!$M20,Calc_Rates!$F$17:$F$47,OP_Rates!$O20)=0,"-",SUMIFS(Calc_Rates!G$17:G$47,Calc_Rates!$C$17:$C$47,OP_Rates!$M20,Calc_Rates!$F$17:$F$47,OP_Rates!$O20))</f>
        <v>1.230976975710445</v>
      </c>
      <c r="R20" s="62">
        <f>IF(SUMIFS(Calc_Rates!H$17:H$47,Calc_Rates!$C$17:$C$47,OP_Rates!$M20,Calc_Rates!$F$17:$F$47,OP_Rates!$O20)=0,"-",SUMIFS(Calc_Rates!H$17:H$47,Calc_Rates!$C$17:$C$47,OP_Rates!$M20,Calc_Rates!$F$17:$F$47,OP_Rates!$O20))</f>
        <v>1.3540694769374368</v>
      </c>
      <c r="S20" s="62">
        <f>IF(SUMIFS(Calc_Rates!I$17:I$47,Calc_Rates!$C$17:$C$47,OP_Rates!$M20,Calc_Rates!$F$17:$F$47,OP_Rates!$O20)=0,"-",SUMIFS(Calc_Rates!I$17:I$47,Calc_Rates!$C$17:$C$47,OP_Rates!$M20,Calc_Rates!$F$17:$F$47,OP_Rates!$O20))</f>
        <v>1.2510359641578928</v>
      </c>
      <c r="T20" s="62">
        <f>IF(SUMIFS(Calc_Rates!J$17:J$47,Calc_Rates!$C$17:$C$47,OP_Rates!$M20,Calc_Rates!$F$17:$F$47,OP_Rates!$O20)=0,"-",SUMIFS(Calc_Rates!J$17:J$47,Calc_Rates!$C$17:$C$47,OP_Rates!$M20,Calc_Rates!$F$17:$F$47,OP_Rates!$O20))</f>
        <v>1.4078938330363178</v>
      </c>
      <c r="U20" s="62">
        <f>IF(SUMIFS(Calc_Rates!K$17:K$47,Calc_Rates!$C$17:$C$47,OP_Rates!$M20,Calc_Rates!$F$17:$F$47,OP_Rates!$O20)=0,"-",SUMIFS(Calc_Rates!K$17:K$47,Calc_Rates!$C$17:$C$47,OP_Rates!$M20,Calc_Rates!$F$17:$F$47,OP_Rates!$O20))</f>
        <v>1.1664495841272329</v>
      </c>
    </row>
    <row r="21" spans="3:21" outlineLevel="2" x14ac:dyDescent="0.25">
      <c r="C21" s="23" t="s">
        <v>221</v>
      </c>
      <c r="D21" s="23" t="s">
        <v>282</v>
      </c>
      <c r="E21" s="23" t="s">
        <v>92</v>
      </c>
      <c r="F21" s="59" t="s">
        <v>9</v>
      </c>
      <c r="G21" s="62">
        <f>IF(SUMIFS(Calc_Rates!G$61:G$139,Calc_Rates!$C$61:$C$139,OP_Rates!$C21&amp;" charge",Calc_Rates!$F$61:$F$139,OP_Rates!$E21)=0,"-",SUMIFS(Calc_Rates!G$61:G$139,Calc_Rates!$C$61:$C$139,OP_Rates!$C21&amp;" charge",Calc_Rates!$F$61:$F$139,OP_Rates!$E21))</f>
        <v>0.2687416233207971</v>
      </c>
      <c r="H21" s="62" t="str">
        <f>IF(SUMIFS(Calc_Rates!H$61:H$139,Calc_Rates!$C$61:$C$139,OP_Rates!$C21&amp;" charge",Calc_Rates!$F$61:$F$139,OP_Rates!$E21)=0,"-",SUMIFS(Calc_Rates!H$61:H$139,Calc_Rates!$C$61:$C$139,OP_Rates!$C21&amp;" charge",Calc_Rates!$F$61:$F$139,OP_Rates!$E21))</f>
        <v>-</v>
      </c>
      <c r="I21" s="62" t="str">
        <f>IF(SUMIFS(Calc_Rates!I$61:I$139,Calc_Rates!$C$61:$C$139,OP_Rates!$C21&amp;" charge",Calc_Rates!$F$61:$F$139,OP_Rates!$E21)=0,"-",SUMIFS(Calc_Rates!I$61:I$139,Calc_Rates!$C$61:$C$139,OP_Rates!$C21&amp;" charge",Calc_Rates!$F$61:$F$139,OP_Rates!$E21))</f>
        <v>-</v>
      </c>
      <c r="J21" s="62" t="str">
        <f>IF(SUMIFS(Calc_Rates!J$61:J$139,Calc_Rates!$C$61:$C$139,OP_Rates!$C21&amp;" charge",Calc_Rates!$F$61:$F$139,OP_Rates!$E21)=0,"-",SUMIFS(Calc_Rates!J$61:J$139,Calc_Rates!$C$61:$C$139,OP_Rates!$C21&amp;" charge",Calc_Rates!$F$61:$F$139,OP_Rates!$E21))</f>
        <v>-</v>
      </c>
      <c r="K21" s="62" t="str">
        <f>IF(SUMIFS(Calc_Rates!K$61:K$139,Calc_Rates!$C$61:$C$139,OP_Rates!$C21&amp;" charge",Calc_Rates!$F$61:$F$139,OP_Rates!$E21)=0,"-",SUMIFS(Calc_Rates!K$61:K$139,Calc_Rates!$C$61:$C$139,OP_Rates!$C21&amp;" charge",Calc_Rates!$F$61:$F$139,OP_Rates!$E21))</f>
        <v>-</v>
      </c>
      <c r="M21" s="23" t="s">
        <v>221</v>
      </c>
      <c r="N21" s="23" t="s">
        <v>282</v>
      </c>
      <c r="O21" s="23" t="s">
        <v>93</v>
      </c>
      <c r="P21" s="59" t="s">
        <v>9</v>
      </c>
      <c r="Q21" s="62">
        <f>IF(SUMIFS(Calc_Rates!G$61:G$139,Calc_Rates!$C$61:$C$139,OP_Rates!$M21&amp;" charge",Calc_Rates!$F$61:$F$139,OP_Rates!$O21)=0,"-",SUMIFS(Calc_Rates!G$61:G$139,Calc_Rates!$C$61:$C$139,OP_Rates!$M21&amp;" charge",Calc_Rates!$F$61:$F$139,OP_Rates!$O21))</f>
        <v>0.30145828858858781</v>
      </c>
      <c r="R21" s="62" t="str">
        <f>IF(SUMIFS(Calc_Rates!H$61:H$139,Calc_Rates!$C$61:$C$139,OP_Rates!$M21&amp;" charge",Calc_Rates!$F$61:$F$139,OP_Rates!$O21)=0,"-",SUMIFS(Calc_Rates!H$61:H$139,Calc_Rates!$C$61:$C$139,OP_Rates!$M21&amp;" charge",Calc_Rates!$F$61:$F$139,OP_Rates!$O21))</f>
        <v>-</v>
      </c>
      <c r="S21" s="62" t="str">
        <f>IF(SUMIFS(Calc_Rates!I$61:I$139,Calc_Rates!$C$61:$C$139,OP_Rates!$M21&amp;" charge",Calc_Rates!$F$61:$F$139,OP_Rates!$O21)=0,"-",SUMIFS(Calc_Rates!I$61:I$139,Calc_Rates!$C$61:$C$139,OP_Rates!$M21&amp;" charge",Calc_Rates!$F$61:$F$139,OP_Rates!$O21))</f>
        <v>-</v>
      </c>
      <c r="T21" s="62" t="str">
        <f>IF(SUMIFS(Calc_Rates!J$61:J$139,Calc_Rates!$C$61:$C$139,OP_Rates!$M21&amp;" charge",Calc_Rates!$F$61:$F$139,OP_Rates!$O21)=0,"-",SUMIFS(Calc_Rates!J$61:J$139,Calc_Rates!$C$61:$C$139,OP_Rates!$M21&amp;" charge",Calc_Rates!$F$61:$F$139,OP_Rates!$O21))</f>
        <v>-</v>
      </c>
      <c r="U21" s="62" t="str">
        <f>IF(SUMIFS(Calc_Rates!K$61:K$139,Calc_Rates!$C$61:$C$139,OP_Rates!$M21&amp;" charge",Calc_Rates!$F$61:$F$139,OP_Rates!$O21)=0,"-",SUMIFS(Calc_Rates!K$61:K$139,Calc_Rates!$C$61:$C$139,OP_Rates!$M21&amp;" charge",Calc_Rates!$F$61:$F$139,OP_Rates!$O21))</f>
        <v>-</v>
      </c>
    </row>
    <row r="22" spans="3:21" outlineLevel="2" x14ac:dyDescent="0.25">
      <c r="C22" s="23" t="s">
        <v>228</v>
      </c>
      <c r="D22" s="23" t="s">
        <v>282</v>
      </c>
      <c r="E22" s="23" t="s">
        <v>92</v>
      </c>
      <c r="F22" s="59" t="s">
        <v>9</v>
      </c>
      <c r="G22" s="62">
        <f>IF(SUMIFS(Calc_Rates!G$61:G$139,Calc_Rates!$C$61:$C$139,OP_Rates!$C22&amp;" charge",Calc_Rates!$F$61:$F$139,OP_Rates!$E22)=0,"-",SUMIFS(Calc_Rates!G$61:G$139,Calc_Rates!$C$61:$C$139,OP_Rates!$C22&amp;" charge",Calc_Rates!$F$61:$F$139,OP_Rates!$E22))</f>
        <v>0.2849306440807971</v>
      </c>
      <c r="H22" s="62" t="str">
        <f>IF(SUMIFS(Calc_Rates!H$61:H$139,Calc_Rates!$C$61:$C$139,OP_Rates!$C22&amp;" charge",Calc_Rates!$F$61:$F$139,OP_Rates!$E22)=0,"-",SUMIFS(Calc_Rates!H$61:H$139,Calc_Rates!$C$61:$C$139,OP_Rates!$C22&amp;" charge",Calc_Rates!$F$61:$F$139,OP_Rates!$E22))</f>
        <v>-</v>
      </c>
      <c r="I22" s="62" t="str">
        <f>IF(SUMIFS(Calc_Rates!I$61:I$139,Calc_Rates!$C$61:$C$139,OP_Rates!$C22&amp;" charge",Calc_Rates!$F$61:$F$139,OP_Rates!$E22)=0,"-",SUMIFS(Calc_Rates!I$61:I$139,Calc_Rates!$C$61:$C$139,OP_Rates!$C22&amp;" charge",Calc_Rates!$F$61:$F$139,OP_Rates!$E22))</f>
        <v>-</v>
      </c>
      <c r="J22" s="62" t="str">
        <f>IF(SUMIFS(Calc_Rates!J$61:J$139,Calc_Rates!$C$61:$C$139,OP_Rates!$C22&amp;" charge",Calc_Rates!$F$61:$F$139,OP_Rates!$E22)=0,"-",SUMIFS(Calc_Rates!J$61:J$139,Calc_Rates!$C$61:$C$139,OP_Rates!$C22&amp;" charge",Calc_Rates!$F$61:$F$139,OP_Rates!$E22))</f>
        <v>-</v>
      </c>
      <c r="K22" s="62" t="str">
        <f>IF(SUMIFS(Calc_Rates!K$61:K$139,Calc_Rates!$C$61:$C$139,OP_Rates!$C22&amp;" charge",Calc_Rates!$F$61:$F$139,OP_Rates!$E22)=0,"-",SUMIFS(Calc_Rates!K$61:K$139,Calc_Rates!$C$61:$C$139,OP_Rates!$C22&amp;" charge",Calc_Rates!$F$61:$F$139,OP_Rates!$E22))</f>
        <v>-</v>
      </c>
      <c r="M22" s="23" t="s">
        <v>228</v>
      </c>
      <c r="N22" s="23" t="s">
        <v>282</v>
      </c>
      <c r="O22" s="23" t="s">
        <v>93</v>
      </c>
      <c r="P22" s="59" t="s">
        <v>9</v>
      </c>
      <c r="Q22" s="62">
        <f>IF(SUMIFS(Calc_Rates!G$61:G$139,Calc_Rates!$C$61:$C$139,OP_Rates!$M22&amp;" charge",Calc_Rates!$F$61:$F$139,OP_Rates!$O22)=0,"-",SUMIFS(Calc_Rates!G$61:G$139,Calc_Rates!$C$61:$C$139,OP_Rates!$M22&amp;" charge",Calc_Rates!$F$61:$F$139,OP_Rates!$O22))</f>
        <v>0.33327993822858776</v>
      </c>
      <c r="R22" s="62" t="str">
        <f>IF(SUMIFS(Calc_Rates!H$61:H$139,Calc_Rates!$C$61:$C$139,OP_Rates!$M22&amp;" charge",Calc_Rates!$F$61:$F$139,OP_Rates!$O22)=0,"-",SUMIFS(Calc_Rates!H$61:H$139,Calc_Rates!$C$61:$C$139,OP_Rates!$M22&amp;" charge",Calc_Rates!$F$61:$F$139,OP_Rates!$O22))</f>
        <v>-</v>
      </c>
      <c r="S22" s="62" t="str">
        <f>IF(SUMIFS(Calc_Rates!I$61:I$139,Calc_Rates!$C$61:$C$139,OP_Rates!$M22&amp;" charge",Calc_Rates!$F$61:$F$139,OP_Rates!$O22)=0,"-",SUMIFS(Calc_Rates!I$61:I$139,Calc_Rates!$C$61:$C$139,OP_Rates!$M22&amp;" charge",Calc_Rates!$F$61:$F$139,OP_Rates!$O22))</f>
        <v>-</v>
      </c>
      <c r="T22" s="62" t="str">
        <f>IF(SUMIFS(Calc_Rates!J$61:J$139,Calc_Rates!$C$61:$C$139,OP_Rates!$M22&amp;" charge",Calc_Rates!$F$61:$F$139,OP_Rates!$O22)=0,"-",SUMIFS(Calc_Rates!J$61:J$139,Calc_Rates!$C$61:$C$139,OP_Rates!$M22&amp;" charge",Calc_Rates!$F$61:$F$139,OP_Rates!$O22))</f>
        <v>-</v>
      </c>
      <c r="U22" s="62" t="str">
        <f>IF(SUMIFS(Calc_Rates!K$61:K$139,Calc_Rates!$C$61:$C$139,OP_Rates!$M22&amp;" charge",Calc_Rates!$F$61:$F$139,OP_Rates!$O22)=0,"-",SUMIFS(Calc_Rates!K$61:K$139,Calc_Rates!$C$61:$C$139,OP_Rates!$M22&amp;" charge",Calc_Rates!$F$61:$F$139,OP_Rates!$O22))</f>
        <v>-</v>
      </c>
    </row>
    <row r="23" spans="3:21" outlineLevel="2" x14ac:dyDescent="0.25">
      <c r="C23" s="23" t="s">
        <v>549</v>
      </c>
      <c r="D23" s="23" t="s">
        <v>282</v>
      </c>
      <c r="E23" s="23" t="s">
        <v>92</v>
      </c>
      <c r="F23" s="59" t="s">
        <v>9</v>
      </c>
      <c r="G23" s="62" t="str">
        <f>IF(SUMIFS(Calc_Rates!G$61:G$139,Calc_Rates!$C$61:$C$139,OP_Rates!$C23&amp;" charge",Calc_Rates!$F$61:$F$139,OP_Rates!$E23)=0,"-",SUMIFS(Calc_Rates!G$61:G$139,Calc_Rates!$C$61:$C$139,OP_Rates!$C23&amp;" charge",Calc_Rates!$F$61:$F$139,OP_Rates!$E23))</f>
        <v>-</v>
      </c>
      <c r="H23" s="62">
        <f>IF(SUMIFS(Calc_Rates!H$61:H$139,Calc_Rates!$C$61:$C$139,OP_Rates!$C23&amp;" charge",Calc_Rates!$F$61:$F$139,OP_Rates!$E23)=0,"-",SUMIFS(Calc_Rates!H$61:H$139,Calc_Rates!$C$61:$C$139,OP_Rates!$C23&amp;" charge",Calc_Rates!$F$61:$F$139,OP_Rates!$E23))</f>
        <v>0.21761984329706524</v>
      </c>
      <c r="I23" s="62">
        <f>IF(SUMIFS(Calc_Rates!I$61:I$139,Calc_Rates!$C$61:$C$139,OP_Rates!$C23&amp;" charge",Calc_Rates!$F$61:$F$139,OP_Rates!$E23)=0,"-",SUMIFS(Calc_Rates!I$61:I$139,Calc_Rates!$C$61:$C$139,OP_Rates!$C23&amp;" charge",Calc_Rates!$F$61:$F$139,OP_Rates!$E23))</f>
        <v>0.23258189346808827</v>
      </c>
      <c r="J23" s="62">
        <f>IF(SUMIFS(Calc_Rates!J$61:J$139,Calc_Rates!$C$61:$C$139,OP_Rates!$C23&amp;" charge",Calc_Rates!$F$61:$F$139,OP_Rates!$E23)=0,"-",SUMIFS(Calc_Rates!J$61:J$139,Calc_Rates!$C$61:$C$139,OP_Rates!$C23&amp;" charge",Calc_Rates!$F$61:$F$139,OP_Rates!$E23))</f>
        <v>0.22714083192997706</v>
      </c>
      <c r="K23" s="62">
        <f>IF(SUMIFS(Calc_Rates!K$61:K$139,Calc_Rates!$C$61:$C$139,OP_Rates!$C23&amp;" charge",Calc_Rates!$F$61:$F$139,OP_Rates!$E23)=0,"-",SUMIFS(Calc_Rates!K$61:K$139,Calc_Rates!$C$61:$C$139,OP_Rates!$C23&amp;" charge",Calc_Rates!$F$61:$F$139,OP_Rates!$E23))</f>
        <v>0.22459131998160495</v>
      </c>
      <c r="M23" s="23" t="s">
        <v>549</v>
      </c>
      <c r="N23" s="23" t="s">
        <v>282</v>
      </c>
      <c r="O23" s="23" t="s">
        <v>93</v>
      </c>
      <c r="P23" s="59" t="s">
        <v>9</v>
      </c>
      <c r="Q23" s="62" t="str">
        <f>IF(SUMIFS(Calc_Rates!G$61:G$139,Calc_Rates!$C$61:$C$139,OP_Rates!$M23&amp;" charge",Calc_Rates!$F$61:$F$139,OP_Rates!$O23)=0,"-",SUMIFS(Calc_Rates!G$61:G$139,Calc_Rates!$C$61:$C$139,OP_Rates!$M23&amp;" charge",Calc_Rates!$F$61:$F$139,OP_Rates!$O23))</f>
        <v>-</v>
      </c>
      <c r="R23" s="62">
        <f>IF(SUMIFS(Calc_Rates!H$61:H$139,Calc_Rates!$C$61:$C$139,OP_Rates!$M23&amp;" charge",Calc_Rates!$F$61:$F$139,OP_Rates!$O23)=0,"-",SUMIFS(Calc_Rates!H$61:H$139,Calc_Rates!$C$61:$C$139,OP_Rates!$M23&amp;" charge",Calc_Rates!$F$61:$F$139,OP_Rates!$O23))</f>
        <v>0.21463416104908462</v>
      </c>
      <c r="S23" s="62">
        <f>IF(SUMIFS(Calc_Rates!I$61:I$139,Calc_Rates!$C$61:$C$139,OP_Rates!$M23&amp;" charge",Calc_Rates!$F$61:$F$139,OP_Rates!$O23)=0,"-",SUMIFS(Calc_Rates!I$61:I$139,Calc_Rates!$C$61:$C$139,OP_Rates!$M23&amp;" charge",Calc_Rates!$F$61:$F$139,OP_Rates!$O23))</f>
        <v>0.24518395750675159</v>
      </c>
      <c r="T23" s="62">
        <f>IF(SUMIFS(Calc_Rates!J$61:J$139,Calc_Rates!$C$61:$C$139,OP_Rates!$M23&amp;" charge",Calc_Rates!$F$61:$F$139,OP_Rates!$O23)=0,"-",SUMIFS(Calc_Rates!J$61:J$139,Calc_Rates!$C$61:$C$139,OP_Rates!$M23&amp;" charge",Calc_Rates!$F$61:$F$139,OP_Rates!$O23))</f>
        <v>0.2261896995599271</v>
      </c>
      <c r="U23" s="62">
        <f>IF(SUMIFS(Calc_Rates!K$61:K$139,Calc_Rates!$C$61:$C$139,OP_Rates!$M23&amp;" charge",Calc_Rates!$F$61:$F$139,OP_Rates!$O23)=0,"-",SUMIFS(Calc_Rates!K$61:K$139,Calc_Rates!$C$61:$C$139,OP_Rates!$M23&amp;" charge",Calc_Rates!$F$61:$F$139,OP_Rates!$O23))</f>
        <v>0.22144260113562564</v>
      </c>
    </row>
    <row r="24" spans="3:21" outlineLevel="2" x14ac:dyDescent="0.25">
      <c r="C24" s="23" t="s">
        <v>551</v>
      </c>
      <c r="D24" s="23" t="s">
        <v>109</v>
      </c>
      <c r="E24" s="23" t="s">
        <v>92</v>
      </c>
      <c r="F24" s="59" t="s">
        <v>9</v>
      </c>
      <c r="G24" s="62">
        <f>IF(SUMIFS(Calc_Rates!G$17:G$47,Calc_Rates!$C$17:$C$47,OP_Rates!$C24,Calc_Rates!$F$17:$F$47,OP_Rates!$E24)=0,"-",SUMIFS(Calc_Rates!G$17:G$47,Calc_Rates!$C$17:$C$47,OP_Rates!$C24,Calc_Rates!$F$17:$F$47,OP_Rates!$E24))</f>
        <v>1.230976975710445</v>
      </c>
      <c r="H24" s="62">
        <f>IF(SUMIFS(Calc_Rates!H$17:H$47,Calc_Rates!$C$17:$C$47,OP_Rates!$C24,Calc_Rates!$F$17:$F$47,OP_Rates!$E24)=0,"-",SUMIFS(Calc_Rates!H$17:H$47,Calc_Rates!$C$17:$C$47,OP_Rates!$C24,Calc_Rates!$F$17:$F$47,OP_Rates!$E24))</f>
        <v>1.1303462849374368</v>
      </c>
      <c r="I24" s="62">
        <f>IF(SUMIFS(Calc_Rates!I$17:I$47,Calc_Rates!$C$17:$C$47,OP_Rates!$C24,Calc_Rates!$F$17:$F$47,OP_Rates!$E24)=0,"-",SUMIFS(Calc_Rates!I$17:I$47,Calc_Rates!$C$17:$C$47,OP_Rates!$C24,Calc_Rates!$F$17:$F$47,OP_Rates!$E24))</f>
        <v>1.083995364705838</v>
      </c>
      <c r="J24" s="62">
        <f>IF(SUMIFS(Calc_Rates!J$17:J$47,Calc_Rates!$C$17:$C$47,OP_Rates!$C24,Calc_Rates!$F$17:$F$47,OP_Rates!$E24)=0,"-",SUMIFS(Calc_Rates!J$17:J$47,Calc_Rates!$C$17:$C$47,OP_Rates!$C24,Calc_Rates!$F$17:$F$47,OP_Rates!$E24))</f>
        <v>1.2800520090363177</v>
      </c>
      <c r="K24" s="62">
        <f>IF(SUMIFS(Calc_Rates!K$17:K$47,Calc_Rates!$C$17:$C$47,OP_Rates!$C24,Calc_Rates!$F$17:$F$47,OP_Rates!$E24)=0,"-",SUMIFS(Calc_Rates!K$17:K$47,Calc_Rates!$C$17:$C$47,OP_Rates!$C24,Calc_Rates!$F$17:$F$47,OP_Rates!$E24))</f>
        <v>1.0386077601272328</v>
      </c>
      <c r="M24" s="23" t="s">
        <v>551</v>
      </c>
      <c r="N24" s="23" t="s">
        <v>109</v>
      </c>
      <c r="O24" s="23" t="s">
        <v>93</v>
      </c>
      <c r="P24" s="59" t="s">
        <v>9</v>
      </c>
      <c r="Q24" s="62">
        <f>IF(SUMIFS(Calc_Rates!G$17:G$47,Calc_Rates!$C$17:$C$47,OP_Rates!$M24,Calc_Rates!$F$17:$F$47,OP_Rates!$O24)=0,"-",SUMIFS(Calc_Rates!G$17:G$47,Calc_Rates!$C$17:$C$47,OP_Rates!$M24,Calc_Rates!$F$17:$F$47,OP_Rates!$O24))</f>
        <v>1.230976975710445</v>
      </c>
      <c r="R24" s="62">
        <f>IF(SUMIFS(Calc_Rates!H$17:H$47,Calc_Rates!$C$17:$C$47,OP_Rates!$M24,Calc_Rates!$F$17:$F$47,OP_Rates!$O24)=0,"-",SUMIFS(Calc_Rates!H$17:H$47,Calc_Rates!$C$17:$C$47,OP_Rates!$M24,Calc_Rates!$F$17:$F$47,OP_Rates!$O24))</f>
        <v>1.3540694769374368</v>
      </c>
      <c r="S24" s="62">
        <f>IF(SUMIFS(Calc_Rates!I$17:I$47,Calc_Rates!$C$17:$C$47,OP_Rates!$M24,Calc_Rates!$F$17:$F$47,OP_Rates!$O24)=0,"-",SUMIFS(Calc_Rates!I$17:I$47,Calc_Rates!$C$17:$C$47,OP_Rates!$M24,Calc_Rates!$F$17:$F$47,OP_Rates!$O24))</f>
        <v>1.5950814368154269</v>
      </c>
      <c r="T24" s="62">
        <f>IF(SUMIFS(Calc_Rates!J$17:J$47,Calc_Rates!$C$17:$C$47,OP_Rates!$M24,Calc_Rates!$F$17:$F$47,OP_Rates!$O24)=0,"-",SUMIFS(Calc_Rates!J$17:J$47,Calc_Rates!$C$17:$C$47,OP_Rates!$M24,Calc_Rates!$F$17:$F$47,OP_Rates!$O24))</f>
        <v>1.4078938330363178</v>
      </c>
      <c r="U24" s="62">
        <f>IF(SUMIFS(Calc_Rates!K$17:K$47,Calc_Rates!$C$17:$C$47,OP_Rates!$M24,Calc_Rates!$F$17:$F$47,OP_Rates!$O24)=0,"-",SUMIFS(Calc_Rates!K$17:K$47,Calc_Rates!$C$17:$C$47,OP_Rates!$M24,Calc_Rates!$F$17:$F$47,OP_Rates!$O24))</f>
        <v>1.1664495841272329</v>
      </c>
    </row>
    <row r="25" spans="3:21" outlineLevel="2" x14ac:dyDescent="0.25">
      <c r="C25" s="23" t="s">
        <v>230</v>
      </c>
      <c r="D25" s="23" t="s">
        <v>282</v>
      </c>
      <c r="E25" s="23" t="s">
        <v>92</v>
      </c>
      <c r="F25" s="59" t="s">
        <v>9</v>
      </c>
      <c r="G25" s="62">
        <f>IF(SUMIFS(Calc_Rates!G$61:G$139,Calc_Rates!$C$61:$C$139,OP_Rates!$C25&amp;" charge",Calc_Rates!$F$61:$F$139,OP_Rates!$E25)=0,"-",SUMIFS(Calc_Rates!G$61:G$139,Calc_Rates!$C$61:$C$139,OP_Rates!$C25&amp;" charge",Calc_Rates!$F$61:$F$139,OP_Rates!$E25))</f>
        <v>0.37842081008079714</v>
      </c>
      <c r="H25" s="62">
        <f>IF(SUMIFS(Calc_Rates!H$61:H$139,Calc_Rates!$C$61:$C$139,OP_Rates!$C25&amp;" charge",Calc_Rates!$F$61:$F$139,OP_Rates!$E25)=0,"-",SUMIFS(Calc_Rates!H$61:H$139,Calc_Rates!$C$61:$C$139,OP_Rates!$C25&amp;" charge",Calc_Rates!$F$61:$F$139,OP_Rates!$E25))</f>
        <v>0.30965195929706524</v>
      </c>
      <c r="I25" s="62">
        <f>IF(SUMIFS(Calc_Rates!I$61:I$139,Calc_Rates!$C$61:$C$139,OP_Rates!$C25&amp;" charge",Calc_Rates!$F$61:$F$139,OP_Rates!$E25)=0,"-",SUMIFS(Calc_Rates!I$61:I$139,Calc_Rates!$C$61:$C$139,OP_Rates!$C25&amp;" charge",Calc_Rates!$F$61:$F$139,OP_Rates!$E25))</f>
        <v>0.28882763026808828</v>
      </c>
      <c r="J25" s="62">
        <f>IF(SUMIFS(Calc_Rates!J$61:J$139,Calc_Rates!$C$61:$C$139,OP_Rates!$C25&amp;" charge",Calc_Rates!$F$61:$F$139,OP_Rates!$E25)=0,"-",SUMIFS(Calc_Rates!J$61:J$139,Calc_Rates!$C$61:$C$139,OP_Rates!$C25&amp;" charge",Calc_Rates!$F$61:$F$139,OP_Rates!$E25))</f>
        <v>0.31718999992997704</v>
      </c>
      <c r="K25" s="62">
        <f>IF(SUMIFS(Calc_Rates!K$61:K$139,Calc_Rates!$C$61:$C$139,OP_Rates!$C25&amp;" charge",Calc_Rates!$F$61:$F$139,OP_Rates!$E25)=0,"-",SUMIFS(Calc_Rates!K$61:K$139,Calc_Rates!$C$61:$C$139,OP_Rates!$C25&amp;" charge",Calc_Rates!$F$61:$F$139,OP_Rates!$E25))</f>
        <v>0.31557363998160493</v>
      </c>
      <c r="M25" s="23" t="s">
        <v>230</v>
      </c>
      <c r="N25" s="23" t="s">
        <v>282</v>
      </c>
      <c r="O25" s="23" t="s">
        <v>93</v>
      </c>
      <c r="P25" s="59" t="s">
        <v>9</v>
      </c>
      <c r="Q25" s="62">
        <f>IF(SUMIFS(Calc_Rates!G$61:G$139,Calc_Rates!$C$61:$C$139,OP_Rates!$M25&amp;" charge",Calc_Rates!$F$61:$F$139,OP_Rates!$O25)=0,"-",SUMIFS(Calc_Rates!G$61:G$139,Calc_Rates!$C$61:$C$139,OP_Rates!$M25&amp;" charge",Calc_Rates!$F$61:$F$139,OP_Rates!$O25))</f>
        <v>0.32443832302858772</v>
      </c>
      <c r="R25" s="62">
        <f>IF(SUMIFS(Calc_Rates!H$61:H$139,Calc_Rates!$C$61:$C$139,OP_Rates!$M25&amp;" charge",Calc_Rates!$F$61:$F$139,OP_Rates!$O25)=0,"-",SUMIFS(Calc_Rates!H$61:H$139,Calc_Rates!$C$61:$C$139,OP_Rates!$M25&amp;" charge",Calc_Rates!$F$61:$F$139,OP_Rates!$O25))</f>
        <v>0.27073992504908456</v>
      </c>
      <c r="S25" s="62">
        <f>IF(SUMIFS(Calc_Rates!I$61:I$139,Calc_Rates!$C$61:$C$139,OP_Rates!$M25&amp;" charge",Calc_Rates!$F$61:$F$139,OP_Rates!$O25)=0,"-",SUMIFS(Calc_Rates!I$61:I$139,Calc_Rates!$C$61:$C$139,OP_Rates!$M25&amp;" charge",Calc_Rates!$F$61:$F$139,OP_Rates!$O25))</f>
        <v>0.28435301270675156</v>
      </c>
      <c r="T25" s="62">
        <f>IF(SUMIFS(Calc_Rates!J$61:J$139,Calc_Rates!$C$61:$C$139,OP_Rates!$M25&amp;" charge",Calc_Rates!$F$61:$F$139,OP_Rates!$O25)=0,"-",SUMIFS(Calc_Rates!J$61:J$139,Calc_Rates!$C$61:$C$139,OP_Rates!$M25&amp;" charge",Calc_Rates!$F$61:$F$139,OP_Rates!$O25))</f>
        <v>0.28987732355992712</v>
      </c>
      <c r="U25" s="62">
        <f>IF(SUMIFS(Calc_Rates!K$61:K$139,Calc_Rates!$C$61:$C$139,OP_Rates!$M25&amp;" charge",Calc_Rates!$F$61:$F$139,OP_Rates!$O25)=0,"-",SUMIFS(Calc_Rates!K$61:K$139,Calc_Rates!$C$61:$C$139,OP_Rates!$M25&amp;" charge",Calc_Rates!$F$61:$F$139,OP_Rates!$O25))</f>
        <v>0.28209748113562561</v>
      </c>
    </row>
    <row r="26" spans="3:21" outlineLevel="2" x14ac:dyDescent="0.25">
      <c r="C26" s="23" t="s">
        <v>609</v>
      </c>
      <c r="D26" s="23" t="s">
        <v>282</v>
      </c>
      <c r="E26" s="23" t="s">
        <v>92</v>
      </c>
      <c r="F26" s="59" t="s">
        <v>9</v>
      </c>
      <c r="G26" s="62">
        <f>IF(SUMIFS(Calc_Rates!G$61:G$139,Calc_Rates!$C$61:$C$139,OP_Rates!$C26&amp;" charge",Calc_Rates!$F$61:$F$139,OP_Rates!$E26)=0,"-",SUMIFS(Calc_Rates!G$61:G$139,Calc_Rates!$C$61:$C$139,OP_Rates!$C26&amp;" charge",Calc_Rates!$F$61:$F$139,OP_Rates!$E26))</f>
        <v>0.18582640236079712</v>
      </c>
      <c r="H26" s="62">
        <f>IF(SUMIFS(Calc_Rates!H$61:H$139,Calc_Rates!$C$61:$C$139,OP_Rates!$C26&amp;" charge",Calc_Rates!$F$61:$F$139,OP_Rates!$E26)=0,"-",SUMIFS(Calc_Rates!H$61:H$139,Calc_Rates!$C$61:$C$139,OP_Rates!$C26&amp;" charge",Calc_Rates!$F$61:$F$139,OP_Rates!$E26))</f>
        <v>0.17014573529706523</v>
      </c>
      <c r="I26" s="62">
        <f>IF(SUMIFS(Calc_Rates!I$61:I$139,Calc_Rates!$C$61:$C$139,OP_Rates!$C26&amp;" charge",Calc_Rates!$F$61:$F$139,OP_Rates!$E26)=0,"-",SUMIFS(Calc_Rates!I$61:I$139,Calc_Rates!$C$61:$C$139,OP_Rates!$C26&amp;" charge",Calc_Rates!$F$61:$F$139,OP_Rates!$E26))</f>
        <v>0.17682606146808827</v>
      </c>
      <c r="J26" s="62">
        <f>IF(SUMIFS(Calc_Rates!J$61:J$139,Calc_Rates!$C$61:$C$139,OP_Rates!$C26&amp;" charge",Calc_Rates!$F$61:$F$139,OP_Rates!$E26)=0,"-",SUMIFS(Calc_Rates!J$61:J$139,Calc_Rates!$C$61:$C$139,OP_Rates!$C26&amp;" charge",Calc_Rates!$F$61:$F$139,OP_Rates!$E26))</f>
        <v>0.17826699592997702</v>
      </c>
      <c r="K26" s="62">
        <f>IF(SUMIFS(Calc_Rates!K$61:K$139,Calc_Rates!$C$61:$C$139,OP_Rates!$C26&amp;" charge",Calc_Rates!$F$61:$F$139,OP_Rates!$E26)=0,"-",SUMIFS(Calc_Rates!K$61:K$139,Calc_Rates!$C$61:$C$139,OP_Rates!$C26&amp;" charge",Calc_Rates!$F$61:$F$139,OP_Rates!$E26))</f>
        <v>0.17746714398160496</v>
      </c>
      <c r="M26" s="23" t="s">
        <v>609</v>
      </c>
      <c r="N26" s="23" t="s">
        <v>282</v>
      </c>
      <c r="O26" s="23" t="s">
        <v>93</v>
      </c>
      <c r="P26" s="59" t="s">
        <v>9</v>
      </c>
      <c r="Q26" s="62">
        <f>IF(SUMIFS(Calc_Rates!G$61:G$139,Calc_Rates!$C$61:$C$139,OP_Rates!$M26&amp;" charge",Calc_Rates!$F$61:$F$139,OP_Rates!$O26)=0,"-",SUMIFS(Calc_Rates!G$61:G$139,Calc_Rates!$C$61:$C$139,OP_Rates!$M26&amp;" charge",Calc_Rates!$F$61:$F$139,OP_Rates!$O26))</f>
        <v>0.16996550738858773</v>
      </c>
      <c r="R26" s="62">
        <f>IF(SUMIFS(Calc_Rates!H$61:H$139,Calc_Rates!$C$61:$C$139,OP_Rates!$M26&amp;" charge",Calc_Rates!$F$61:$F$139,OP_Rates!$O26)=0,"-",SUMIFS(Calc_Rates!H$61:H$139,Calc_Rates!$C$61:$C$139,OP_Rates!$M26&amp;" charge",Calc_Rates!$F$61:$F$139,OP_Rates!$O26))</f>
        <v>0.15257955304908455</v>
      </c>
      <c r="S26" s="62">
        <f>IF(SUMIFS(Calc_Rates!I$61:I$139,Calc_Rates!$C$61:$C$139,OP_Rates!$M26&amp;" charge",Calc_Rates!$F$61:$F$139,OP_Rates!$O26)=0,"-",SUMIFS(Calc_Rates!I$61:I$139,Calc_Rates!$C$61:$C$139,OP_Rates!$M26&amp;" charge",Calc_Rates!$F$61:$F$139,OP_Rates!$O26))</f>
        <v>0.1527902451067516</v>
      </c>
      <c r="T26" s="62">
        <f>IF(SUMIFS(Calc_Rates!J$61:J$139,Calc_Rates!$C$61:$C$139,OP_Rates!$M26&amp;" charge",Calc_Rates!$F$61:$F$139,OP_Rates!$O26)=0,"-",SUMIFS(Calc_Rates!J$61:J$139,Calc_Rates!$C$61:$C$139,OP_Rates!$M26&amp;" charge",Calc_Rates!$F$61:$F$139,OP_Rates!$O26))</f>
        <v>0.15608665555992707</v>
      </c>
      <c r="U26" s="62">
        <f>IF(SUMIFS(Calc_Rates!K$61:K$139,Calc_Rates!$C$61:$C$139,OP_Rates!$M26&amp;" charge",Calc_Rates!$F$61:$F$139,OP_Rates!$O26)=0,"-",SUMIFS(Calc_Rates!K$61:K$139,Calc_Rates!$C$61:$C$139,OP_Rates!$M26&amp;" charge",Calc_Rates!$F$61:$F$139,OP_Rates!$O26))</f>
        <v>0.1551888091356256</v>
      </c>
    </row>
    <row r="27" spans="3:21" outlineLevel="2" x14ac:dyDescent="0.25">
      <c r="C27" s="23" t="s">
        <v>287</v>
      </c>
      <c r="D27" s="23" t="s">
        <v>282</v>
      </c>
      <c r="E27" s="23" t="s">
        <v>92</v>
      </c>
      <c r="F27" s="59" t="s">
        <v>9</v>
      </c>
      <c r="G27" s="62">
        <f>IF(SUMIFS(Calc_Rates!G$61:G$139,Calc_Rates!$C$61:$C$139,OP_Rates!$C27&amp;" charge",Calc_Rates!$F$61:$F$139,OP_Rates!$E27)=0,"-",SUMIFS(Calc_Rates!G$61:G$139,Calc_Rates!$C$61:$C$139,OP_Rates!$C27&amp;" charge",Calc_Rates!$F$61:$F$139,OP_Rates!$E27))</f>
        <v>0.18489791612079712</v>
      </c>
      <c r="H27" s="62">
        <f>IF(SUMIFS(Calc_Rates!H$61:H$139,Calc_Rates!$C$61:$C$139,OP_Rates!$C27&amp;" charge",Calc_Rates!$F$61:$F$139,OP_Rates!$E27)=0,"-",SUMIFS(Calc_Rates!H$61:H$139,Calc_Rates!$C$61:$C$139,OP_Rates!$C27&amp;" charge",Calc_Rates!$F$61:$F$139,OP_Rates!$E27))</f>
        <v>0.15253249129706525</v>
      </c>
      <c r="I27" s="62">
        <f>IF(SUMIFS(Calc_Rates!I$61:I$139,Calc_Rates!$C$61:$C$139,OP_Rates!$C27&amp;" charge",Calc_Rates!$F$61:$F$139,OP_Rates!$E27)=0,"-",SUMIFS(Calc_Rates!I$61:I$139,Calc_Rates!$C$61:$C$139,OP_Rates!$C27&amp;" charge",Calc_Rates!$F$61:$F$139,OP_Rates!$E27))</f>
        <v>0.1734317210680883</v>
      </c>
      <c r="J27" s="62">
        <f>IF(SUMIFS(Calc_Rates!J$61:J$139,Calc_Rates!$C$61:$C$139,OP_Rates!$C27&amp;" charge",Calc_Rates!$F$61:$F$139,OP_Rates!$E27)=0,"-",SUMIFS(Calc_Rates!J$61:J$139,Calc_Rates!$C$61:$C$139,OP_Rates!$C27&amp;" charge",Calc_Rates!$F$61:$F$139,OP_Rates!$E27))</f>
        <v>0.15995388792997706</v>
      </c>
      <c r="K27" s="62">
        <f>IF(SUMIFS(Calc_Rates!K$61:K$139,Calc_Rates!$C$61:$C$139,OP_Rates!$C27&amp;" charge",Calc_Rates!$F$61:$F$139,OP_Rates!$E27)=0,"-",SUMIFS(Calc_Rates!K$61:K$139,Calc_Rates!$C$61:$C$139,OP_Rates!$C27&amp;" charge",Calc_Rates!$F$61:$F$139,OP_Rates!$E27))</f>
        <v>0.15670451198160493</v>
      </c>
      <c r="M27" s="23"/>
      <c r="N27" s="23"/>
      <c r="O27" s="23"/>
      <c r="P27" s="59" t="s">
        <v>9</v>
      </c>
      <c r="Q27" s="62"/>
      <c r="R27" s="62"/>
      <c r="S27" s="62"/>
      <c r="T27" s="62"/>
      <c r="U27" s="62"/>
    </row>
    <row r="28" spans="3:21" outlineLevel="1" x14ac:dyDescent="0.25"/>
    <row r="29" spans="3:21" ht="15.75" outlineLevel="1" x14ac:dyDescent="0.25">
      <c r="C29" s="29" t="s">
        <v>668</v>
      </c>
      <c r="M29" s="29" t="s">
        <v>671</v>
      </c>
    </row>
    <row r="30" spans="3:21" ht="15.75" outlineLevel="2" x14ac:dyDescent="0.25">
      <c r="C30" s="43" t="s">
        <v>331</v>
      </c>
      <c r="D30" s="43" t="s">
        <v>103</v>
      </c>
      <c r="E30" s="43" t="s">
        <v>91</v>
      </c>
      <c r="F30" s="43" t="s">
        <v>45</v>
      </c>
      <c r="G30" s="60" t="s">
        <v>268</v>
      </c>
      <c r="H30" s="60" t="s">
        <v>269</v>
      </c>
      <c r="I30" s="60" t="s">
        <v>270</v>
      </c>
      <c r="J30" s="60" t="s">
        <v>271</v>
      </c>
      <c r="K30" s="85" t="s">
        <v>272</v>
      </c>
      <c r="M30" s="43" t="s">
        <v>331</v>
      </c>
      <c r="N30" s="43" t="s">
        <v>103</v>
      </c>
      <c r="O30" s="43" t="s">
        <v>91</v>
      </c>
      <c r="P30" s="43" t="s">
        <v>45</v>
      </c>
      <c r="Q30" s="60" t="s">
        <v>268</v>
      </c>
      <c r="R30" s="60" t="s">
        <v>269</v>
      </c>
      <c r="S30" s="60" t="s">
        <v>270</v>
      </c>
      <c r="T30" s="60" t="s">
        <v>271</v>
      </c>
      <c r="U30" s="85" t="s">
        <v>272</v>
      </c>
    </row>
    <row r="31" spans="3:21" outlineLevel="2" x14ac:dyDescent="0.25">
      <c r="C31" s="59" t="s">
        <v>556</v>
      </c>
      <c r="D31" s="59" t="s">
        <v>109</v>
      </c>
      <c r="E31" s="59" t="s">
        <v>92</v>
      </c>
      <c r="F31" s="23" t="s">
        <v>121</v>
      </c>
      <c r="G31" s="238" t="str" cm="1">
        <f t="array" ref="G31">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name]]),0),MATCH(OP_RatesTU_RES_1[[#Headers],[Ausnet]],Calc_TUR_Net_1[[#Headers],[Ausnet]:[United Energy]],0)),
INDEX(Calc_TUR_NetCL_1[[Ausnet]:[United Energy]],MATCH(OP_RatesTU_RES_1[[#This Row],[Customer type]:[Customer type]],Calc_TUR_NetCL_1[[Customer type]:[Customer type]],0),MATCH(OP_RatesTU_RES_1[[#Headers],[Ausnet]],Calc_TUR_NetCL_1[[#Headers],[Ausnet]:[United Energy]],0))),
IF(OP_RatesTU_RES_1[[#This Row],[Cost element]:[Cost element]]="Environmental",
SUMIFS(INDEX(Calc_TUR_Env_1[[Ausnet]:[United Energy]],0,MATCH(OP_RatesTU_RES_1[[#Headers],[Ausnet]],Calc_TUR_Env_1[[#Headers],[Ausnet]:[United Energy]],0)),
Calc_TUR_Env_1[[Customer type]:[Customer type]],OP_RatesTU_RES_1[[#This Row],[Customer type]:[Customer type]],Calc_TUR_Env_1[[Rate type]:[Rate type]],OP_RatesTU_RES_1[[#This Row],[Rate name]:[Rate name]]),
"-")),"-")</f>
        <v>-</v>
      </c>
      <c r="H31" s="238" t="str" cm="1">
        <f t="array" ref="H31">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name]]),0),MATCH(OP_RatesTU_RES_1[[#Headers],[Citipower]],Calc_TUR_Net_1[[#Headers],[Ausnet]:[United Energy]],0)),
INDEX(Calc_TUR_NetCL_1[[Ausnet]:[United Energy]],MATCH(OP_RatesTU_RES_1[[#This Row],[Customer type]:[Customer type]],Calc_TUR_NetCL_1[[Customer type]:[Customer type]],0),MATCH(OP_RatesTU_RES_1[[#Headers],[Citipower]],Calc_TUR_NetCL_1[[#Headers],[Ausnet]:[United Energy]],0))),
IF(OP_RatesTU_RES_1[[#This Row],[Cost element]:[Cost element]]="Environmental",
SUMIFS(INDEX(Calc_TUR_Env_1[[Ausnet]:[United Energy]],0,MATCH(OP_RatesTU_RES_1[[#Headers],[Citipower]],Calc_TUR_Env_1[[#Headers],[Ausnet]:[United Energy]],0)),
Calc_TUR_Env_1[[Customer type]:[Customer type]],OP_RatesTU_RES_1[[#This Row],[Customer type]:[Customer type]],Calc_TUR_Env_1[[Rate type]:[Rate type]],OP_RatesTU_RES_1[[#This Row],[Rate name]:[Rate name]]),
"-")),"-")</f>
        <v>-</v>
      </c>
      <c r="I31" s="238" t="str" cm="1">
        <f t="array" ref="I31">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name]]),0),MATCH(OP_RatesTU_RES_1[[#Headers],[Jemena]],Calc_TUR_Net_1[[#Headers],[Ausnet]:[United Energy]],0)),
INDEX(Calc_TUR_NetCL_1[[Ausnet]:[United Energy]],MATCH(OP_RatesTU_RES_1[[#This Row],[Customer type]:[Customer type]],Calc_TUR_NetCL_1[[Customer type]:[Customer type]],0),MATCH(OP_RatesTU_RES_1[[#Headers],[Jemena]],Calc_TUR_NetCL_1[[#Headers],[Ausnet]:[United Energy]],0))),
IF(OP_RatesTU_RES_1[[#This Row],[Cost element]:[Cost element]]="Environmental",
SUMIFS(INDEX(Calc_TUR_Env_1[[Ausnet]:[United Energy]],0,MATCH(OP_RatesTU_RES_1[[#Headers],[Jemena]],Calc_TUR_Env_1[[#Headers],[Ausnet]:[United Energy]],0)),
Calc_TUR_Env_1[[Customer type]:[Customer type]],OP_RatesTU_RES_1[[#This Row],[Customer type]:[Customer type]],Calc_TUR_Env_1[[Rate type]:[Rate type]],OP_RatesTU_RES_1[[#This Row],[Rate name]:[Rate name]]),
"-")),"-")</f>
        <v>-</v>
      </c>
      <c r="J31" s="238" t="str" cm="1">
        <f t="array" ref="J31">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name]]),0),MATCH(OP_RatesTU_RES_1[[#Headers],[Powercor]],Calc_TUR_Net_1[[#Headers],[Ausnet]:[United Energy]],0)),
INDEX(Calc_TUR_NetCL_1[[Ausnet]:[United Energy]],MATCH(OP_RatesTU_RES_1[[#This Row],[Customer type]:[Customer type]],Calc_TUR_NetCL_1[[Customer type]:[Customer type]],0),MATCH(OP_RatesTU_RES_1[[#Headers],[Powercor]],Calc_TUR_NetCL_1[[#Headers],[Ausnet]:[United Energy]],0))),
IF(OP_RatesTU_RES_1[[#This Row],[Cost element]:[Cost element]]="Environmental",
SUMIFS(INDEX(Calc_TUR_Env_1[[Ausnet]:[United Energy]],0,MATCH(OP_RatesTU_RES_1[[#Headers],[Powercor]],Calc_TUR_Env_1[[#Headers],[Ausnet]:[United Energy]],0)),
Calc_TUR_Env_1[[Customer type]:[Customer type]],OP_RatesTU_RES_1[[#This Row],[Customer type]:[Customer type]],Calc_TUR_Env_1[[Rate type]:[Rate type]],OP_RatesTU_RES_1[[#This Row],[Rate name]:[Rate name]]),
"-")),"-")</f>
        <v>-</v>
      </c>
      <c r="K31" s="238" t="str" cm="1">
        <f t="array" ref="K31">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name]]),0),MATCH(OP_RatesTU_RES_1[[#Headers],[United Energy]],Calc_TUR_Net_1[[#Headers],[Ausnet]:[United Energy]],0)),
INDEX(Calc_TUR_NetCL_1[[Ausnet]:[United Energy]],MATCH(OP_RatesTU_RES_1[[#This Row],[Customer type]:[Customer type]],Calc_TUR_NetCL_1[[Customer type]:[Customer type]],0),MATCH(OP_RatesTU_RES_1[[#Headers],[United Energy]],Calc_TUR_NetCL_1[[#Headers],[Ausnet]:[United Energy]],0))),
IF(OP_RatesTU_RES_1[[#This Row],[Cost element]:[Cost element]]="Environmental",
SUMIFS(INDEX(Calc_TUR_Env_1[[Ausnet]:[United Energy]],0,MATCH(OP_RatesTU_RES_1[[#Headers],[United Energy]],Calc_TUR_Env_1[[#Headers],[Ausnet]:[United Energy]],0)),
Calc_TUR_Env_1[[Customer type]:[Customer type]],OP_RatesTU_RES_1[[#This Row],[Customer type]:[Customer type]],Calc_TUR_Env_1[[Rate type]:[Rate type]],OP_RatesTU_RES_1[[#This Row],[Rate name]:[Rate name]]),
"-")),"-")</f>
        <v>-</v>
      </c>
      <c r="M31" s="59" t="s">
        <v>556</v>
      </c>
      <c r="N31" s="59" t="s">
        <v>109</v>
      </c>
      <c r="O31" s="59" t="s">
        <v>93</v>
      </c>
      <c r="P31" s="23" t="s">
        <v>121</v>
      </c>
      <c r="Q31" s="238" t="str" cm="1">
        <f t="array" ref="Q31">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name]]),0),MATCH(OP_RatesTU_SME_1[[#Headers],[Ausnet]],Calc_TUR_Net_1[[#Headers],[Ausnet]:[United Energy]],0)),
IF(OP_RatesTU_SME_1[[#This Row],[Cost element]:[Cost element]]="Environmental",
SUMIFS(INDEX(Calc_TUR_Env_1[[Ausnet]:[United Energy]],0,MATCH(OP_RatesTU_SME_1[[#Headers],[Ausnet]],Calc_TUR_Env_1[[#Headers],[Ausnet]:[United Energy]],0)),
Calc_TUR_Env_1[[Customer type]:[Customer type]],OP_RatesTU_SME_1[[#This Row],[Customer type]:[Customer type]],Calc_TUR_Env_1[[Rate type]:[Rate type]],OP_RatesTU_SME_1[[#This Row],[Rate name]:[Rate name]]),
"-")),"-")</f>
        <v>-</v>
      </c>
      <c r="R31" s="238" t="str" cm="1">
        <f t="array" ref="R31">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name]]),0),MATCH(OP_RatesTU_SME_1[[#Headers],[Citipower]],Calc_TUR_Net_1[[#Headers],[Ausnet]:[United Energy]],0)),
IF(OP_RatesTU_SME_1[[#This Row],[Cost element]:[Cost element]]="Environmental",
SUMIFS(INDEX(Calc_TUR_Env_1[[Ausnet]:[United Energy]],0,MATCH(OP_RatesTU_SME_1[[#Headers],[Citipower]],Calc_TUR_Env_1[[#Headers],[Ausnet]:[United Energy]],0)),
Calc_TUR_Env_1[[Customer type]:[Customer type]],OP_RatesTU_SME_1[[#This Row],[Customer type]:[Customer type]],Calc_TUR_Env_1[[Rate type]:[Rate type]],OP_RatesTU_SME_1[[#This Row],[Rate name]:[Rate name]]),
"-")),"-")</f>
        <v>-</v>
      </c>
      <c r="S31" s="238" t="str" cm="1">
        <f t="array" ref="S31">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name]]),0),MATCH(OP_RatesTU_SME_1[[#Headers],[Jemena]],Calc_TUR_Net_1[[#Headers],[Ausnet]:[United Energy]],0)),
IF(OP_RatesTU_SME_1[[#This Row],[Cost element]:[Cost element]]="Environmental",
SUMIFS(INDEX(Calc_TUR_Env_1[[Ausnet]:[United Energy]],0,MATCH(OP_RatesTU_SME_1[[#Headers],[Jemena]],Calc_TUR_Env_1[[#Headers],[Ausnet]:[United Energy]],0)),
Calc_TUR_Env_1[[Customer type]:[Customer type]],OP_RatesTU_SME_1[[#This Row],[Customer type]:[Customer type]],Calc_TUR_Env_1[[Rate type]:[Rate type]],OP_RatesTU_SME_1[[#This Row],[Rate name]:[Rate name]]),
"-")),"-")</f>
        <v>-</v>
      </c>
      <c r="T31" s="238" t="str" cm="1">
        <f t="array" ref="T31">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name]]),0),MATCH(OP_RatesTU_SME_1[[#Headers],[Powercor]],Calc_TUR_Net_1[[#Headers],[Ausnet]:[United Energy]],0)),
IF(OP_RatesTU_SME_1[[#This Row],[Cost element]:[Cost element]]="Environmental",
SUMIFS(INDEX(Calc_TUR_Env_1[[Ausnet]:[United Energy]],0,MATCH(OP_RatesTU_SME_1[[#Headers],[Powercor]],Calc_TUR_Env_1[[#Headers],[Ausnet]:[United Energy]],0)),
Calc_TUR_Env_1[[Customer type]:[Customer type]],OP_RatesTU_SME_1[[#This Row],[Customer type]:[Customer type]],Calc_TUR_Env_1[[Rate type]:[Rate type]],OP_RatesTU_SME_1[[#This Row],[Rate name]:[Rate name]]),
"-")),"-")</f>
        <v>-</v>
      </c>
      <c r="U31" s="238" t="str" cm="1">
        <f t="array" ref="U31">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name]]),0),MATCH(OP_RatesTU_SME_1[[#Headers],[United Energy]],Calc_TUR_Net_1[[#Headers],[Ausnet]:[United Energy]],0)),
IF(OP_RatesTU_SME_1[[#This Row],[Cost element]:[Cost element]]="Environmental",
SUMIFS(INDEX(Calc_TUR_Env_1[[Ausnet]:[United Energy]],0,MATCH(OP_RatesTU_SME_1[[#Headers],[United Energy]],Calc_TUR_Env_1[[#Headers],[Ausnet]:[United Energy]],0)),
Calc_TUR_Env_1[[Customer type]:[Customer type]],OP_RatesTU_SME_1[[#This Row],[Customer type]:[Customer type]],Calc_TUR_Env_1[[Rate type]:[Rate type]],OP_RatesTU_SME_1[[#This Row],[Rate name]:[Rate name]]),
"-")),"-")</f>
        <v>-</v>
      </c>
    </row>
    <row r="32" spans="3:21" outlineLevel="2" x14ac:dyDescent="0.25">
      <c r="C32" s="59" t="s">
        <v>557</v>
      </c>
      <c r="D32" s="59" t="s">
        <v>109</v>
      </c>
      <c r="E32" s="59" t="s">
        <v>92</v>
      </c>
      <c r="F32" s="23" t="s">
        <v>121</v>
      </c>
      <c r="G32" s="238" t="str" cm="1">
        <f t="array" ref="G32">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name]]),0),MATCH(OP_RatesTU_RES_1[[#Headers],[Ausnet]],Calc_TUR_Net_1[[#Headers],[Ausnet]:[United Energy]],0)),
INDEX(Calc_TUR_NetCL_1[[Ausnet]:[United Energy]],MATCH(OP_RatesTU_RES_1[[#This Row],[Customer type]:[Customer type]],Calc_TUR_NetCL_1[[Customer type]:[Customer type]],0),MATCH(OP_RatesTU_RES_1[[#Headers],[Ausnet]],Calc_TUR_NetCL_1[[#Headers],[Ausnet]:[United Energy]],0))),
IF(OP_RatesTU_RES_1[[#This Row],[Cost element]:[Cost element]]="Environmental",
SUMIFS(INDEX(Calc_TUR_Env_1[[Ausnet]:[United Energy]],0,MATCH(OP_RatesTU_RES_1[[#Headers],[Ausnet]],Calc_TUR_Env_1[[#Headers],[Ausnet]:[United Energy]],0)),
Calc_TUR_Env_1[[Customer type]:[Customer type]],OP_RatesTU_RES_1[[#This Row],[Customer type]:[Customer type]],Calc_TUR_Env_1[[Rate type]:[Rate type]],OP_RatesTU_RES_1[[#This Row],[Rate name]:[Rate name]]),
"-")),"-")</f>
        <v>-</v>
      </c>
      <c r="H32" s="238" t="str" cm="1">
        <f t="array" ref="H32">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name]]),0),MATCH(OP_RatesTU_RES_1[[#Headers],[Citipower]],Calc_TUR_Net_1[[#Headers],[Ausnet]:[United Energy]],0)),
INDEX(Calc_TUR_NetCL_1[[Ausnet]:[United Energy]],MATCH(OP_RatesTU_RES_1[[#This Row],[Customer type]:[Customer type]],Calc_TUR_NetCL_1[[Customer type]:[Customer type]],0),MATCH(OP_RatesTU_RES_1[[#Headers],[Citipower]],Calc_TUR_NetCL_1[[#Headers],[Ausnet]:[United Energy]],0))),
IF(OP_RatesTU_RES_1[[#This Row],[Cost element]:[Cost element]]="Environmental",
SUMIFS(INDEX(Calc_TUR_Env_1[[Ausnet]:[United Energy]],0,MATCH(OP_RatesTU_RES_1[[#Headers],[Citipower]],Calc_TUR_Env_1[[#Headers],[Ausnet]:[United Energy]],0)),
Calc_TUR_Env_1[[Customer type]:[Customer type]],OP_RatesTU_RES_1[[#This Row],[Customer type]:[Customer type]],Calc_TUR_Env_1[[Rate type]:[Rate type]],OP_RatesTU_RES_1[[#This Row],[Rate name]:[Rate name]]),
"-")),"-")</f>
        <v>-</v>
      </c>
      <c r="I32" s="238" t="str" cm="1">
        <f t="array" ref="I32">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name]]),0),MATCH(OP_RatesTU_RES_1[[#Headers],[Jemena]],Calc_TUR_Net_1[[#Headers],[Ausnet]:[United Energy]],0)),
INDEX(Calc_TUR_NetCL_1[[Ausnet]:[United Energy]],MATCH(OP_RatesTU_RES_1[[#This Row],[Customer type]:[Customer type]],Calc_TUR_NetCL_1[[Customer type]:[Customer type]],0),MATCH(OP_RatesTU_RES_1[[#Headers],[Jemena]],Calc_TUR_NetCL_1[[#Headers],[Ausnet]:[United Energy]],0))),
IF(OP_RatesTU_RES_1[[#This Row],[Cost element]:[Cost element]]="Environmental",
SUMIFS(INDEX(Calc_TUR_Env_1[[Ausnet]:[United Energy]],0,MATCH(OP_RatesTU_RES_1[[#Headers],[Jemena]],Calc_TUR_Env_1[[#Headers],[Ausnet]:[United Energy]],0)),
Calc_TUR_Env_1[[Customer type]:[Customer type]],OP_RatesTU_RES_1[[#This Row],[Customer type]:[Customer type]],Calc_TUR_Env_1[[Rate type]:[Rate type]],OP_RatesTU_RES_1[[#This Row],[Rate name]:[Rate name]]),
"-")),"-")</f>
        <v>-</v>
      </c>
      <c r="J32" s="238" t="str" cm="1">
        <f t="array" ref="J32">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name]]),0),MATCH(OP_RatesTU_RES_1[[#Headers],[Powercor]],Calc_TUR_Net_1[[#Headers],[Ausnet]:[United Energy]],0)),
INDEX(Calc_TUR_NetCL_1[[Ausnet]:[United Energy]],MATCH(OP_RatesTU_RES_1[[#This Row],[Customer type]:[Customer type]],Calc_TUR_NetCL_1[[Customer type]:[Customer type]],0),MATCH(OP_RatesTU_RES_1[[#Headers],[Powercor]],Calc_TUR_NetCL_1[[#Headers],[Ausnet]:[United Energy]],0))),
IF(OP_RatesTU_RES_1[[#This Row],[Cost element]:[Cost element]]="Environmental",
SUMIFS(INDEX(Calc_TUR_Env_1[[Ausnet]:[United Energy]],0,MATCH(OP_RatesTU_RES_1[[#Headers],[Powercor]],Calc_TUR_Env_1[[#Headers],[Ausnet]:[United Energy]],0)),
Calc_TUR_Env_1[[Customer type]:[Customer type]],OP_RatesTU_RES_1[[#This Row],[Customer type]:[Customer type]],Calc_TUR_Env_1[[Rate type]:[Rate type]],OP_RatesTU_RES_1[[#This Row],[Rate name]:[Rate name]]),
"-")),"-")</f>
        <v>-</v>
      </c>
      <c r="K32" s="238" t="str" cm="1">
        <f t="array" ref="K32">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name]]),0),MATCH(OP_RatesTU_RES_1[[#Headers],[United Energy]],Calc_TUR_Net_1[[#Headers],[Ausnet]:[United Energy]],0)),
INDEX(Calc_TUR_NetCL_1[[Ausnet]:[United Energy]],MATCH(OP_RatesTU_RES_1[[#This Row],[Customer type]:[Customer type]],Calc_TUR_NetCL_1[[Customer type]:[Customer type]],0),MATCH(OP_RatesTU_RES_1[[#Headers],[United Energy]],Calc_TUR_NetCL_1[[#Headers],[Ausnet]:[United Energy]],0))),
IF(OP_RatesTU_RES_1[[#This Row],[Cost element]:[Cost element]]="Environmental",
SUMIFS(INDEX(Calc_TUR_Env_1[[Ausnet]:[United Energy]],0,MATCH(OP_RatesTU_RES_1[[#Headers],[United Energy]],Calc_TUR_Env_1[[#Headers],[Ausnet]:[United Energy]],0)),
Calc_TUR_Env_1[[Customer type]:[Customer type]],OP_RatesTU_RES_1[[#This Row],[Customer type]:[Customer type]],Calc_TUR_Env_1[[Rate type]:[Rate type]],OP_RatesTU_RES_1[[#This Row],[Rate name]:[Rate name]]),
"-")),"-")</f>
        <v>-</v>
      </c>
      <c r="M32" s="59" t="s">
        <v>557</v>
      </c>
      <c r="N32" s="59" t="s">
        <v>109</v>
      </c>
      <c r="O32" s="59" t="s">
        <v>93</v>
      </c>
      <c r="P32" s="23" t="s">
        <v>121</v>
      </c>
      <c r="Q32" s="238" t="str" cm="1">
        <f t="array" ref="Q32">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name]]),0),MATCH(OP_RatesTU_SME_1[[#Headers],[Ausnet]],Calc_TUR_Net_1[[#Headers],[Ausnet]:[United Energy]],0)),
IF(OP_RatesTU_SME_1[[#This Row],[Cost element]:[Cost element]]="Environmental",
SUMIFS(INDEX(Calc_TUR_Env_1[[Ausnet]:[United Energy]],0,MATCH(OP_RatesTU_SME_1[[#Headers],[Ausnet]],Calc_TUR_Env_1[[#Headers],[Ausnet]:[United Energy]],0)),
Calc_TUR_Env_1[[Customer type]:[Customer type]],OP_RatesTU_SME_1[[#This Row],[Customer type]:[Customer type]],Calc_TUR_Env_1[[Rate type]:[Rate type]],OP_RatesTU_SME_1[[#This Row],[Rate name]:[Rate name]]),
"-")),"-")</f>
        <v>-</v>
      </c>
      <c r="R32" s="238" t="str" cm="1">
        <f t="array" ref="R32">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name]]),0),MATCH(OP_RatesTU_SME_1[[#Headers],[Citipower]],Calc_TUR_Net_1[[#Headers],[Ausnet]:[United Energy]],0)),
IF(OP_RatesTU_SME_1[[#This Row],[Cost element]:[Cost element]]="Environmental",
SUMIFS(INDEX(Calc_TUR_Env_1[[Ausnet]:[United Energy]],0,MATCH(OP_RatesTU_SME_1[[#Headers],[Citipower]],Calc_TUR_Env_1[[#Headers],[Ausnet]:[United Energy]],0)),
Calc_TUR_Env_1[[Customer type]:[Customer type]],OP_RatesTU_SME_1[[#This Row],[Customer type]:[Customer type]],Calc_TUR_Env_1[[Rate type]:[Rate type]],OP_RatesTU_SME_1[[#This Row],[Rate name]:[Rate name]]),
"-")),"-")</f>
        <v>-</v>
      </c>
      <c r="S32" s="238" t="str" cm="1">
        <f t="array" ref="S32">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name]]),0),MATCH(OP_RatesTU_SME_1[[#Headers],[Jemena]],Calc_TUR_Net_1[[#Headers],[Ausnet]:[United Energy]],0)),
IF(OP_RatesTU_SME_1[[#This Row],[Cost element]:[Cost element]]="Environmental",
SUMIFS(INDEX(Calc_TUR_Env_1[[Ausnet]:[United Energy]],0,MATCH(OP_RatesTU_SME_1[[#Headers],[Jemena]],Calc_TUR_Env_1[[#Headers],[Ausnet]:[United Energy]],0)),
Calc_TUR_Env_1[[Customer type]:[Customer type]],OP_RatesTU_SME_1[[#This Row],[Customer type]:[Customer type]],Calc_TUR_Env_1[[Rate type]:[Rate type]],OP_RatesTU_SME_1[[#This Row],[Rate name]:[Rate name]]),
"-")),"-")</f>
        <v>-</v>
      </c>
      <c r="T32" s="238" t="str" cm="1">
        <f t="array" ref="T32">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name]]),0),MATCH(OP_RatesTU_SME_1[[#Headers],[Powercor]],Calc_TUR_Net_1[[#Headers],[Ausnet]:[United Energy]],0)),
IF(OP_RatesTU_SME_1[[#This Row],[Cost element]:[Cost element]]="Environmental",
SUMIFS(INDEX(Calc_TUR_Env_1[[Ausnet]:[United Energy]],0,MATCH(OP_RatesTU_SME_1[[#Headers],[Powercor]],Calc_TUR_Env_1[[#Headers],[Ausnet]:[United Energy]],0)),
Calc_TUR_Env_1[[Customer type]:[Customer type]],OP_RatesTU_SME_1[[#This Row],[Customer type]:[Customer type]],Calc_TUR_Env_1[[Rate type]:[Rate type]],OP_RatesTU_SME_1[[#This Row],[Rate name]:[Rate name]]),
"-")),"-")</f>
        <v>-</v>
      </c>
      <c r="U32" s="238" t="str" cm="1">
        <f t="array" ref="U32">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name]]),0),MATCH(OP_RatesTU_SME_1[[#Headers],[United Energy]],Calc_TUR_Net_1[[#Headers],[Ausnet]:[United Energy]],0)),
IF(OP_RatesTU_SME_1[[#This Row],[Cost element]:[Cost element]]="Environmental",
SUMIFS(INDEX(Calc_TUR_Env_1[[Ausnet]:[United Energy]],0,MATCH(OP_RatesTU_SME_1[[#Headers],[United Energy]],Calc_TUR_Env_1[[#Headers],[Ausnet]:[United Energy]],0)),
Calc_TUR_Env_1[[Customer type]:[Customer type]],OP_RatesTU_SME_1[[#This Row],[Customer type]:[Customer type]],Calc_TUR_Env_1[[Rate type]:[Rate type]],OP_RatesTU_SME_1[[#This Row],[Rate name]:[Rate name]]),
"-")),"-")</f>
        <v>-</v>
      </c>
    </row>
    <row r="33" spans="3:21" outlineLevel="2" x14ac:dyDescent="0.25">
      <c r="C33" s="59" t="s">
        <v>287</v>
      </c>
      <c r="D33" s="59" t="s">
        <v>282</v>
      </c>
      <c r="E33" s="59" t="s">
        <v>92</v>
      </c>
      <c r="F33" s="23" t="s">
        <v>121</v>
      </c>
      <c r="G33" s="238" t="str" cm="1">
        <f t="array" ref="G33">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name]]),0),MATCH(OP_RatesTU_RES_1[[#Headers],[Ausnet]],Calc_TUR_Net_1[[#Headers],[Ausnet]:[United Energy]],0)),
INDEX(Calc_TUR_NetCL_1[[Ausnet]:[United Energy]],MATCH(OP_RatesTU_RES_1[[#This Row],[Customer type]:[Customer type]],Calc_TUR_NetCL_1[[Customer type]:[Customer type]],0),MATCH(OP_RatesTU_RES_1[[#Headers],[Ausnet]],Calc_TUR_NetCL_1[[#Headers],[Ausnet]:[United Energy]],0))),
IF(OP_RatesTU_RES_1[[#This Row],[Cost element]:[Cost element]]="Environmental",
SUMIFS(INDEX(Calc_TUR_Env_1[[Ausnet]:[United Energy]],0,MATCH(OP_RatesTU_RES_1[[#Headers],[Ausnet]],Calc_TUR_Env_1[[#Headers],[Ausnet]:[United Energy]],0)),
Calc_TUR_Env_1[[Customer type]:[Customer type]],OP_RatesTU_RES_1[[#This Row],[Customer type]:[Customer type]],Calc_TUR_Env_1[[Rate type]:[Rate type]],OP_RatesTU_RES_1[[#This Row],[Rate name]:[Rate name]]),
"-")),"-")</f>
        <v>-</v>
      </c>
      <c r="H33" s="238" t="str" cm="1">
        <f t="array" ref="H33">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name]]),0),MATCH(OP_RatesTU_RES_1[[#Headers],[Citipower]],Calc_TUR_Net_1[[#Headers],[Ausnet]:[United Energy]],0)),
INDEX(Calc_TUR_NetCL_1[[Ausnet]:[United Energy]],MATCH(OP_RatesTU_RES_1[[#This Row],[Customer type]:[Customer type]],Calc_TUR_NetCL_1[[Customer type]:[Customer type]],0),MATCH(OP_RatesTU_RES_1[[#Headers],[Citipower]],Calc_TUR_NetCL_1[[#Headers],[Ausnet]:[United Energy]],0))),
IF(OP_RatesTU_RES_1[[#This Row],[Cost element]:[Cost element]]="Environmental",
SUMIFS(INDEX(Calc_TUR_Env_1[[Ausnet]:[United Energy]],0,MATCH(OP_RatesTU_RES_1[[#Headers],[Citipower]],Calc_TUR_Env_1[[#Headers],[Ausnet]:[United Energy]],0)),
Calc_TUR_Env_1[[Customer type]:[Customer type]],OP_RatesTU_RES_1[[#This Row],[Customer type]:[Customer type]],Calc_TUR_Env_1[[Rate type]:[Rate type]],OP_RatesTU_RES_1[[#This Row],[Rate name]:[Rate name]]),
"-")),"-")</f>
        <v>-</v>
      </c>
      <c r="I33" s="238" t="str" cm="1">
        <f t="array" ref="I33">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name]]),0),MATCH(OP_RatesTU_RES_1[[#Headers],[Jemena]],Calc_TUR_Net_1[[#Headers],[Ausnet]:[United Energy]],0)),
INDEX(Calc_TUR_NetCL_1[[Ausnet]:[United Energy]],MATCH(OP_RatesTU_RES_1[[#This Row],[Customer type]:[Customer type]],Calc_TUR_NetCL_1[[Customer type]:[Customer type]],0),MATCH(OP_RatesTU_RES_1[[#Headers],[Jemena]],Calc_TUR_NetCL_1[[#Headers],[Ausnet]:[United Energy]],0))),
IF(OP_RatesTU_RES_1[[#This Row],[Cost element]:[Cost element]]="Environmental",
SUMIFS(INDEX(Calc_TUR_Env_1[[Ausnet]:[United Energy]],0,MATCH(OP_RatesTU_RES_1[[#Headers],[Jemena]],Calc_TUR_Env_1[[#Headers],[Ausnet]:[United Energy]],0)),
Calc_TUR_Env_1[[Customer type]:[Customer type]],OP_RatesTU_RES_1[[#This Row],[Customer type]:[Customer type]],Calc_TUR_Env_1[[Rate type]:[Rate type]],OP_RatesTU_RES_1[[#This Row],[Rate name]:[Rate name]]),
"-")),"-")</f>
        <v>-</v>
      </c>
      <c r="J33" s="238" t="str" cm="1">
        <f t="array" ref="J33">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name]]),0),MATCH(OP_RatesTU_RES_1[[#Headers],[Powercor]],Calc_TUR_Net_1[[#Headers],[Ausnet]:[United Energy]],0)),
INDEX(Calc_TUR_NetCL_1[[Ausnet]:[United Energy]],MATCH(OP_RatesTU_RES_1[[#This Row],[Customer type]:[Customer type]],Calc_TUR_NetCL_1[[Customer type]:[Customer type]],0),MATCH(OP_RatesTU_RES_1[[#Headers],[Powercor]],Calc_TUR_NetCL_1[[#Headers],[Ausnet]:[United Energy]],0))),
IF(OP_RatesTU_RES_1[[#This Row],[Cost element]:[Cost element]]="Environmental",
SUMIFS(INDEX(Calc_TUR_Env_1[[Ausnet]:[United Energy]],0,MATCH(OP_RatesTU_RES_1[[#Headers],[Powercor]],Calc_TUR_Env_1[[#Headers],[Ausnet]:[United Energy]],0)),
Calc_TUR_Env_1[[Customer type]:[Customer type]],OP_RatesTU_RES_1[[#This Row],[Customer type]:[Customer type]],Calc_TUR_Env_1[[Rate type]:[Rate type]],OP_RatesTU_RES_1[[#This Row],[Rate name]:[Rate name]]),
"-")),"-")</f>
        <v>-</v>
      </c>
      <c r="K33" s="238" t="str" cm="1">
        <f t="array" ref="K33">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name]]),0),MATCH(OP_RatesTU_RES_1[[#Headers],[United Energy]],Calc_TUR_Net_1[[#Headers],[Ausnet]:[United Energy]],0)),
INDEX(Calc_TUR_NetCL_1[[Ausnet]:[United Energy]],MATCH(OP_RatesTU_RES_1[[#This Row],[Customer type]:[Customer type]],Calc_TUR_NetCL_1[[Customer type]:[Customer type]],0),MATCH(OP_RatesTU_RES_1[[#Headers],[United Energy]],Calc_TUR_NetCL_1[[#Headers],[Ausnet]:[United Energy]],0))),
IF(OP_RatesTU_RES_1[[#This Row],[Cost element]:[Cost element]]="Environmental",
SUMIFS(INDEX(Calc_TUR_Env_1[[Ausnet]:[United Energy]],0,MATCH(OP_RatesTU_RES_1[[#Headers],[United Energy]],Calc_TUR_Env_1[[#Headers],[Ausnet]:[United Energy]],0)),
Calc_TUR_Env_1[[Customer type]:[Customer type]],OP_RatesTU_RES_1[[#This Row],[Customer type]:[Customer type]],Calc_TUR_Env_1[[Rate type]:[Rate type]],OP_RatesTU_RES_1[[#This Row],[Rate name]:[Rate name]]),
"-")),"-")</f>
        <v>-</v>
      </c>
      <c r="M33" s="59"/>
      <c r="N33" s="59"/>
      <c r="O33" s="59"/>
      <c r="P33" s="23"/>
      <c r="Q33" s="238" t="str" cm="1">
        <f t="array" ref="Q33">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name]]),0),MATCH(OP_RatesTU_SME_1[[#Headers],[Ausnet]],Calc_TUR_Net_1[[#Headers],[Ausnet]:[United Energy]],0)),
IF(OP_RatesTU_SME_1[[#This Row],[Cost element]:[Cost element]]="Environmental",
SUMIFS(INDEX(Calc_TUR_Env_1[[Ausnet]:[United Energy]],0,MATCH(OP_RatesTU_SME_1[[#Headers],[Ausnet]],Calc_TUR_Env_1[[#Headers],[Ausnet]:[United Energy]],0)),
Calc_TUR_Env_1[[Customer type]:[Customer type]],OP_RatesTU_SME_1[[#This Row],[Customer type]:[Customer type]],Calc_TUR_Env_1[[Rate type]:[Rate type]],OP_RatesTU_SME_1[[#This Row],[Rate name]:[Rate name]]),
"-")),"-")</f>
        <v>-</v>
      </c>
      <c r="R33" s="238" t="str" cm="1">
        <f t="array" ref="R33">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name]]),0),MATCH(OP_RatesTU_SME_1[[#Headers],[Citipower]],Calc_TUR_Net_1[[#Headers],[Ausnet]:[United Energy]],0)),
IF(OP_RatesTU_SME_1[[#This Row],[Cost element]:[Cost element]]="Environmental",
SUMIFS(INDEX(Calc_TUR_Env_1[[Ausnet]:[United Energy]],0,MATCH(OP_RatesTU_SME_1[[#Headers],[Citipower]],Calc_TUR_Env_1[[#Headers],[Ausnet]:[United Energy]],0)),
Calc_TUR_Env_1[[Customer type]:[Customer type]],OP_RatesTU_SME_1[[#This Row],[Customer type]:[Customer type]],Calc_TUR_Env_1[[Rate type]:[Rate type]],OP_RatesTU_SME_1[[#This Row],[Rate name]:[Rate name]]),
"-")),"-")</f>
        <v>-</v>
      </c>
      <c r="S33" s="238" t="str" cm="1">
        <f t="array" ref="S33">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name]]),0),MATCH(OP_RatesTU_SME_1[[#Headers],[Jemena]],Calc_TUR_Net_1[[#Headers],[Ausnet]:[United Energy]],0)),
IF(OP_RatesTU_SME_1[[#This Row],[Cost element]:[Cost element]]="Environmental",
SUMIFS(INDEX(Calc_TUR_Env_1[[Ausnet]:[United Energy]],0,MATCH(OP_RatesTU_SME_1[[#Headers],[Jemena]],Calc_TUR_Env_1[[#Headers],[Ausnet]:[United Energy]],0)),
Calc_TUR_Env_1[[Customer type]:[Customer type]],OP_RatesTU_SME_1[[#This Row],[Customer type]:[Customer type]],Calc_TUR_Env_1[[Rate type]:[Rate type]],OP_RatesTU_SME_1[[#This Row],[Rate name]:[Rate name]]),
"-")),"-")</f>
        <v>-</v>
      </c>
      <c r="T33" s="238" t="str" cm="1">
        <f t="array" ref="T33">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name]]),0),MATCH(OP_RatesTU_SME_1[[#Headers],[Powercor]],Calc_TUR_Net_1[[#Headers],[Ausnet]:[United Energy]],0)),
IF(OP_RatesTU_SME_1[[#This Row],[Cost element]:[Cost element]]="Environmental",
SUMIFS(INDEX(Calc_TUR_Env_1[[Ausnet]:[United Energy]],0,MATCH(OP_RatesTU_SME_1[[#Headers],[Powercor]],Calc_TUR_Env_1[[#Headers],[Ausnet]:[United Energy]],0)),
Calc_TUR_Env_1[[Customer type]:[Customer type]],OP_RatesTU_SME_1[[#This Row],[Customer type]:[Customer type]],Calc_TUR_Env_1[[Rate type]:[Rate type]],OP_RatesTU_SME_1[[#This Row],[Rate name]:[Rate name]]),
"-")),"-")</f>
        <v>-</v>
      </c>
      <c r="U33" s="238" t="str" cm="1">
        <f t="array" ref="U33">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name]]),0),MATCH(OP_RatesTU_SME_1[[#Headers],[United Energy]],Calc_TUR_Net_1[[#Headers],[Ausnet]:[United Energy]],0)),
IF(OP_RatesTU_SME_1[[#This Row],[Cost element]:[Cost element]]="Environmental",
SUMIFS(INDEX(Calc_TUR_Env_1[[Ausnet]:[United Energy]],0,MATCH(OP_RatesTU_SME_1[[#Headers],[United Energy]],Calc_TUR_Env_1[[#Headers],[Ausnet]:[United Energy]],0)),
Calc_TUR_Env_1[[Customer type]:[Customer type]],OP_RatesTU_SME_1[[#This Row],[Customer type]:[Customer type]],Calc_TUR_Env_1[[Rate type]:[Rate type]],OP_RatesTU_SME_1[[#This Row],[Rate name]:[Rate name]]),
"-")),"-")</f>
        <v>-</v>
      </c>
    </row>
    <row r="34" spans="3:21" outlineLevel="2" x14ac:dyDescent="0.25">
      <c r="C34" s="59" t="s">
        <v>221</v>
      </c>
      <c r="D34" s="59" t="s">
        <v>282</v>
      </c>
      <c r="E34" s="59" t="s">
        <v>92</v>
      </c>
      <c r="F34" s="23" t="s">
        <v>151</v>
      </c>
      <c r="G34" s="238" cm="1">
        <f t="array" ref="G34">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name]]),0),MATCH(OP_RatesTU_RES_1[[#Headers],[Ausnet]],Calc_TUR_Net_1[[#Headers],[Ausnet]:[United Energy]],0)),
INDEX(Calc_TUR_NetCL_1[[Ausnet]:[United Energy]],MATCH(OP_RatesTU_RES_1[[#This Row],[Customer type]:[Customer type]],Calc_TUR_NetCL_1[[Customer type]:[Customer type]],0),MATCH(OP_RatesTU_RES_1[[#Headers],[Ausnet]],Calc_TUR_NetCL_1[[#Headers],[Ausnet]:[United Energy]],0))),
IF(OP_RatesTU_RES_1[[#This Row],[Cost element]:[Cost element]]="Environmental",
SUMIFS(INDEX(Calc_TUR_Env_1[[Ausnet]:[United Energy]],0,MATCH(OP_RatesTU_RES_1[[#Headers],[Ausnet]],Calc_TUR_Env_1[[#Headers],[Ausnet]:[United Energy]],0)),
Calc_TUR_Env_1[[Customer type]:[Customer type]],OP_RatesTU_RES_1[[#This Row],[Customer type]:[Customer type]],Calc_TUR_Env_1[[Rate type]:[Rate type]],OP_RatesTU_RES_1[[#This Row],[Rate name]:[Rate name]]),
"-")),"-")</f>
        <v>4.3609479704997934E-4</v>
      </c>
      <c r="H34" s="238" cm="1">
        <f t="array" ref="H34">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name]]),0),MATCH(OP_RatesTU_RES_1[[#Headers],[Citipower]],Calc_TUR_Net_1[[#Headers],[Ausnet]:[United Energy]],0)),
INDEX(Calc_TUR_NetCL_1[[Ausnet]:[United Energy]],MATCH(OP_RatesTU_RES_1[[#This Row],[Customer type]:[Customer type]],Calc_TUR_NetCL_1[[Customer type]:[Customer type]],0),MATCH(OP_RatesTU_RES_1[[#Headers],[Citipower]],Calc_TUR_NetCL_1[[#Headers],[Ausnet]:[United Energy]],0))),
IF(OP_RatesTU_RES_1[[#This Row],[Cost element]:[Cost element]]="Environmental",
SUMIFS(INDEX(Calc_TUR_Env_1[[Ausnet]:[United Energy]],0,MATCH(OP_RatesTU_RES_1[[#Headers],[Citipower]],Calc_TUR_Env_1[[#Headers],[Ausnet]:[United Energy]],0)),
Calc_TUR_Env_1[[Customer type]:[Customer type]],OP_RatesTU_RES_1[[#This Row],[Customer type]:[Customer type]],Calc_TUR_Env_1[[Rate type]:[Rate type]],OP_RatesTU_RES_1[[#This Row],[Rate name]:[Rate name]]),
"-")),"-")</f>
        <v>0</v>
      </c>
      <c r="I34" s="238" cm="1">
        <f t="array" ref="I34">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name]]),0),MATCH(OP_RatesTU_RES_1[[#Headers],[Jemena]],Calc_TUR_Net_1[[#Headers],[Ausnet]:[United Energy]],0)),
INDEX(Calc_TUR_NetCL_1[[Ausnet]:[United Energy]],MATCH(OP_RatesTU_RES_1[[#This Row],[Customer type]:[Customer type]],Calc_TUR_NetCL_1[[Customer type]:[Customer type]],0),MATCH(OP_RatesTU_RES_1[[#Headers],[Jemena]],Calc_TUR_NetCL_1[[#Headers],[Ausnet]:[United Energy]],0))),
IF(OP_RatesTU_RES_1[[#This Row],[Cost element]:[Cost element]]="Environmental",
SUMIFS(INDEX(Calc_TUR_Env_1[[Ausnet]:[United Energy]],0,MATCH(OP_RatesTU_RES_1[[#Headers],[Jemena]],Calc_TUR_Env_1[[#Headers],[Ausnet]:[United Energy]],0)),
Calc_TUR_Env_1[[Customer type]:[Customer type]],OP_RatesTU_RES_1[[#This Row],[Customer type]:[Customer type]],Calc_TUR_Env_1[[Rate type]:[Rate type]],OP_RatesTU_RES_1[[#This Row],[Rate name]:[Rate name]]),
"-")),"-")</f>
        <v>0</v>
      </c>
      <c r="J34" s="238" cm="1">
        <f t="array" ref="J34">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name]]),0),MATCH(OP_RatesTU_RES_1[[#Headers],[Powercor]],Calc_TUR_Net_1[[#Headers],[Ausnet]:[United Energy]],0)),
INDEX(Calc_TUR_NetCL_1[[Ausnet]:[United Energy]],MATCH(OP_RatesTU_RES_1[[#This Row],[Customer type]:[Customer type]],Calc_TUR_NetCL_1[[Customer type]:[Customer type]],0),MATCH(OP_RatesTU_RES_1[[#Headers],[Powercor]],Calc_TUR_NetCL_1[[#Headers],[Ausnet]:[United Energy]],0))),
IF(OP_RatesTU_RES_1[[#This Row],[Cost element]:[Cost element]]="Environmental",
SUMIFS(INDEX(Calc_TUR_Env_1[[Ausnet]:[United Energy]],0,MATCH(OP_RatesTU_RES_1[[#Headers],[Powercor]],Calc_TUR_Env_1[[#Headers],[Ausnet]:[United Energy]],0)),
Calc_TUR_Env_1[[Customer type]:[Customer type]],OP_RatesTU_RES_1[[#This Row],[Customer type]:[Customer type]],Calc_TUR_Env_1[[Rate type]:[Rate type]],OP_RatesTU_RES_1[[#This Row],[Rate name]:[Rate name]]),
"-")),"-")</f>
        <v>0</v>
      </c>
      <c r="K34" s="238" cm="1">
        <f t="array" ref="K34">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name]]),0),MATCH(OP_RatesTU_RES_1[[#Headers],[United Energy]],Calc_TUR_Net_1[[#Headers],[Ausnet]:[United Energy]],0)),
INDEX(Calc_TUR_NetCL_1[[Ausnet]:[United Energy]],MATCH(OP_RatesTU_RES_1[[#This Row],[Customer type]:[Customer type]],Calc_TUR_NetCL_1[[Customer type]:[Customer type]],0),MATCH(OP_RatesTU_RES_1[[#Headers],[United Energy]],Calc_TUR_NetCL_1[[#Headers],[Ausnet]:[United Energy]],0))),
IF(OP_RatesTU_RES_1[[#This Row],[Cost element]:[Cost element]]="Environmental",
SUMIFS(INDEX(Calc_TUR_Env_1[[Ausnet]:[United Energy]],0,MATCH(OP_RatesTU_RES_1[[#Headers],[United Energy]],Calc_TUR_Env_1[[#Headers],[Ausnet]:[United Energy]],0)),
Calc_TUR_Env_1[[Customer type]:[Customer type]],OP_RatesTU_RES_1[[#This Row],[Customer type]:[Customer type]],Calc_TUR_Env_1[[Rate type]:[Rate type]],OP_RatesTU_RES_1[[#This Row],[Rate name]:[Rate name]]),
"-")),"-")</f>
        <v>0</v>
      </c>
      <c r="M34" s="59" t="s">
        <v>221</v>
      </c>
      <c r="N34" s="59" t="s">
        <v>282</v>
      </c>
      <c r="O34" s="59" t="s">
        <v>93</v>
      </c>
      <c r="P34" s="23" t="s">
        <v>151</v>
      </c>
      <c r="Q34" s="238" cm="1">
        <f t="array" ref="Q34">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name]]),0),MATCH(OP_RatesTU_SME_1[[#Headers],[Ausnet]],Calc_TUR_Net_1[[#Headers],[Ausnet]:[United Energy]],0)),
IF(OP_RatesTU_SME_1[[#This Row],[Cost element]:[Cost element]]="Environmental",
SUMIFS(INDEX(Calc_TUR_Env_1[[Ausnet]:[United Energy]],0,MATCH(OP_RatesTU_SME_1[[#Headers],[Ausnet]],Calc_TUR_Env_1[[#Headers],[Ausnet]:[United Energy]],0)),
Calc_TUR_Env_1[[Customer type]:[Customer type]],OP_RatesTU_SME_1[[#This Row],[Customer type]:[Customer type]],Calc_TUR_Env_1[[Rate type]:[Rate type]],OP_RatesTU_SME_1[[#This Row],[Rate name]:[Rate name]]),
"-")),"-")</f>
        <v>4.3609479704997934E-4</v>
      </c>
      <c r="R34" s="238" cm="1">
        <f t="array" ref="R34">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name]]),0),MATCH(OP_RatesTU_SME_1[[#Headers],[Citipower]],Calc_TUR_Net_1[[#Headers],[Ausnet]:[United Energy]],0)),
IF(OP_RatesTU_SME_1[[#This Row],[Cost element]:[Cost element]]="Environmental",
SUMIFS(INDEX(Calc_TUR_Env_1[[Ausnet]:[United Energy]],0,MATCH(OP_RatesTU_SME_1[[#Headers],[Citipower]],Calc_TUR_Env_1[[#Headers],[Ausnet]:[United Energy]],0)),
Calc_TUR_Env_1[[Customer type]:[Customer type]],OP_RatesTU_SME_1[[#This Row],[Customer type]:[Customer type]],Calc_TUR_Env_1[[Rate type]:[Rate type]],OP_RatesTU_SME_1[[#This Row],[Rate name]:[Rate name]]),
"-")),"-")</f>
        <v>0</v>
      </c>
      <c r="S34" s="238" cm="1">
        <f t="array" ref="S34">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name]]),0),MATCH(OP_RatesTU_SME_1[[#Headers],[Jemena]],Calc_TUR_Net_1[[#Headers],[Ausnet]:[United Energy]],0)),
IF(OP_RatesTU_SME_1[[#This Row],[Cost element]:[Cost element]]="Environmental",
SUMIFS(INDEX(Calc_TUR_Env_1[[Ausnet]:[United Energy]],0,MATCH(OP_RatesTU_SME_1[[#Headers],[Jemena]],Calc_TUR_Env_1[[#Headers],[Ausnet]:[United Energy]],0)),
Calc_TUR_Env_1[[Customer type]:[Customer type]],OP_RatesTU_SME_1[[#This Row],[Customer type]:[Customer type]],Calc_TUR_Env_1[[Rate type]:[Rate type]],OP_RatesTU_SME_1[[#This Row],[Rate name]:[Rate name]]),
"-")),"-")</f>
        <v>0</v>
      </c>
      <c r="T34" s="238" cm="1">
        <f t="array" ref="T34">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name]]),0),MATCH(OP_RatesTU_SME_1[[#Headers],[Powercor]],Calc_TUR_Net_1[[#Headers],[Ausnet]:[United Energy]],0)),
IF(OP_RatesTU_SME_1[[#This Row],[Cost element]:[Cost element]]="Environmental",
SUMIFS(INDEX(Calc_TUR_Env_1[[Ausnet]:[United Energy]],0,MATCH(OP_RatesTU_SME_1[[#Headers],[Powercor]],Calc_TUR_Env_1[[#Headers],[Ausnet]:[United Energy]],0)),
Calc_TUR_Env_1[[Customer type]:[Customer type]],OP_RatesTU_SME_1[[#This Row],[Customer type]:[Customer type]],Calc_TUR_Env_1[[Rate type]:[Rate type]],OP_RatesTU_SME_1[[#This Row],[Rate name]:[Rate name]]),
"-")),"-")</f>
        <v>0</v>
      </c>
      <c r="U34" s="238" cm="1">
        <f t="array" ref="U34">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name]]),0),MATCH(OP_RatesTU_SME_1[[#Headers],[United Energy]],Calc_TUR_Net_1[[#Headers],[Ausnet]:[United Energy]],0)),
IF(OP_RatesTU_SME_1[[#This Row],[Cost element]:[Cost element]]="Environmental",
SUMIFS(INDEX(Calc_TUR_Env_1[[Ausnet]:[United Energy]],0,MATCH(OP_RatesTU_SME_1[[#Headers],[United Energy]],Calc_TUR_Env_1[[#Headers],[Ausnet]:[United Energy]],0)),
Calc_TUR_Env_1[[Customer type]:[Customer type]],OP_RatesTU_SME_1[[#This Row],[Customer type]:[Customer type]],Calc_TUR_Env_1[[Rate type]:[Rate type]],OP_RatesTU_SME_1[[#This Row],[Rate name]:[Rate name]]),
"-")),"-")</f>
        <v>0</v>
      </c>
    </row>
    <row r="35" spans="3:21" outlineLevel="2" x14ac:dyDescent="0.25">
      <c r="C35" s="59" t="s">
        <v>228</v>
      </c>
      <c r="D35" s="59" t="s">
        <v>282</v>
      </c>
      <c r="E35" s="59" t="s">
        <v>92</v>
      </c>
      <c r="F35" s="23" t="s">
        <v>151</v>
      </c>
      <c r="G35" s="238" cm="1">
        <f t="array" ref="G35">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name]]),0),MATCH(OP_RatesTU_RES_1[[#Headers],[Ausnet]],Calc_TUR_Net_1[[#Headers],[Ausnet]:[United Energy]],0)),
INDEX(Calc_TUR_NetCL_1[[Ausnet]:[United Energy]],MATCH(OP_RatesTU_RES_1[[#This Row],[Customer type]:[Customer type]],Calc_TUR_NetCL_1[[Customer type]:[Customer type]],0),MATCH(OP_RatesTU_RES_1[[#Headers],[Ausnet]],Calc_TUR_NetCL_1[[#Headers],[Ausnet]:[United Energy]],0))),
IF(OP_RatesTU_RES_1[[#This Row],[Cost element]:[Cost element]]="Environmental",
SUMIFS(INDEX(Calc_TUR_Env_1[[Ausnet]:[United Energy]],0,MATCH(OP_RatesTU_RES_1[[#Headers],[Ausnet]],Calc_TUR_Env_1[[#Headers],[Ausnet]:[United Energy]],0)),
Calc_TUR_Env_1[[Customer type]:[Customer type]],OP_RatesTU_RES_1[[#This Row],[Customer type]:[Customer type]],Calc_TUR_Env_1[[Rate type]:[Rate type]],OP_RatesTU_RES_1[[#This Row],[Rate name]:[Rate name]]),
"-")),"-")</f>
        <v>4.3609479704997934E-4</v>
      </c>
      <c r="H35" s="238" cm="1">
        <f t="array" ref="H35">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name]]),0),MATCH(OP_RatesTU_RES_1[[#Headers],[Citipower]],Calc_TUR_Net_1[[#Headers],[Ausnet]:[United Energy]],0)),
INDEX(Calc_TUR_NetCL_1[[Ausnet]:[United Energy]],MATCH(OP_RatesTU_RES_1[[#This Row],[Customer type]:[Customer type]],Calc_TUR_NetCL_1[[Customer type]:[Customer type]],0),MATCH(OP_RatesTU_RES_1[[#Headers],[Citipower]],Calc_TUR_NetCL_1[[#Headers],[Ausnet]:[United Energy]],0))),
IF(OP_RatesTU_RES_1[[#This Row],[Cost element]:[Cost element]]="Environmental",
SUMIFS(INDEX(Calc_TUR_Env_1[[Ausnet]:[United Energy]],0,MATCH(OP_RatesTU_RES_1[[#Headers],[Citipower]],Calc_TUR_Env_1[[#Headers],[Ausnet]:[United Energy]],0)),
Calc_TUR_Env_1[[Customer type]:[Customer type]],OP_RatesTU_RES_1[[#This Row],[Customer type]:[Customer type]],Calc_TUR_Env_1[[Rate type]:[Rate type]],OP_RatesTU_RES_1[[#This Row],[Rate name]:[Rate name]]),
"-")),"-")</f>
        <v>0</v>
      </c>
      <c r="I35" s="238" cm="1">
        <f t="array" ref="I35">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name]]),0),MATCH(OP_RatesTU_RES_1[[#Headers],[Jemena]],Calc_TUR_Net_1[[#Headers],[Ausnet]:[United Energy]],0)),
INDEX(Calc_TUR_NetCL_1[[Ausnet]:[United Energy]],MATCH(OP_RatesTU_RES_1[[#This Row],[Customer type]:[Customer type]],Calc_TUR_NetCL_1[[Customer type]:[Customer type]],0),MATCH(OP_RatesTU_RES_1[[#Headers],[Jemena]],Calc_TUR_NetCL_1[[#Headers],[Ausnet]:[United Energy]],0))),
IF(OP_RatesTU_RES_1[[#This Row],[Cost element]:[Cost element]]="Environmental",
SUMIFS(INDEX(Calc_TUR_Env_1[[Ausnet]:[United Energy]],0,MATCH(OP_RatesTU_RES_1[[#Headers],[Jemena]],Calc_TUR_Env_1[[#Headers],[Ausnet]:[United Energy]],0)),
Calc_TUR_Env_1[[Customer type]:[Customer type]],OP_RatesTU_RES_1[[#This Row],[Customer type]:[Customer type]],Calc_TUR_Env_1[[Rate type]:[Rate type]],OP_RatesTU_RES_1[[#This Row],[Rate name]:[Rate name]]),
"-")),"-")</f>
        <v>0</v>
      </c>
      <c r="J35" s="238" cm="1">
        <f t="array" ref="J35">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name]]),0),MATCH(OP_RatesTU_RES_1[[#Headers],[Powercor]],Calc_TUR_Net_1[[#Headers],[Ausnet]:[United Energy]],0)),
INDEX(Calc_TUR_NetCL_1[[Ausnet]:[United Energy]],MATCH(OP_RatesTU_RES_1[[#This Row],[Customer type]:[Customer type]],Calc_TUR_NetCL_1[[Customer type]:[Customer type]],0),MATCH(OP_RatesTU_RES_1[[#Headers],[Powercor]],Calc_TUR_NetCL_1[[#Headers],[Ausnet]:[United Energy]],0))),
IF(OP_RatesTU_RES_1[[#This Row],[Cost element]:[Cost element]]="Environmental",
SUMIFS(INDEX(Calc_TUR_Env_1[[Ausnet]:[United Energy]],0,MATCH(OP_RatesTU_RES_1[[#Headers],[Powercor]],Calc_TUR_Env_1[[#Headers],[Ausnet]:[United Energy]],0)),
Calc_TUR_Env_1[[Customer type]:[Customer type]],OP_RatesTU_RES_1[[#This Row],[Customer type]:[Customer type]],Calc_TUR_Env_1[[Rate type]:[Rate type]],OP_RatesTU_RES_1[[#This Row],[Rate name]:[Rate name]]),
"-")),"-")</f>
        <v>0</v>
      </c>
      <c r="K35" s="238" cm="1">
        <f t="array" ref="K35">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name]]),0),MATCH(OP_RatesTU_RES_1[[#Headers],[United Energy]],Calc_TUR_Net_1[[#Headers],[Ausnet]:[United Energy]],0)),
INDEX(Calc_TUR_NetCL_1[[Ausnet]:[United Energy]],MATCH(OP_RatesTU_RES_1[[#This Row],[Customer type]:[Customer type]],Calc_TUR_NetCL_1[[Customer type]:[Customer type]],0),MATCH(OP_RatesTU_RES_1[[#Headers],[United Energy]],Calc_TUR_NetCL_1[[#Headers],[Ausnet]:[United Energy]],0))),
IF(OP_RatesTU_RES_1[[#This Row],[Cost element]:[Cost element]]="Environmental",
SUMIFS(INDEX(Calc_TUR_Env_1[[Ausnet]:[United Energy]],0,MATCH(OP_RatesTU_RES_1[[#Headers],[United Energy]],Calc_TUR_Env_1[[#Headers],[Ausnet]:[United Energy]],0)),
Calc_TUR_Env_1[[Customer type]:[Customer type]],OP_RatesTU_RES_1[[#This Row],[Customer type]:[Customer type]],Calc_TUR_Env_1[[Rate type]:[Rate type]],OP_RatesTU_RES_1[[#This Row],[Rate name]:[Rate name]]),
"-")),"-")</f>
        <v>0</v>
      </c>
      <c r="M35" s="59" t="s">
        <v>228</v>
      </c>
      <c r="N35" s="59" t="s">
        <v>282</v>
      </c>
      <c r="O35" s="59" t="s">
        <v>93</v>
      </c>
      <c r="P35" s="23" t="s">
        <v>151</v>
      </c>
      <c r="Q35" s="238" cm="1">
        <f t="array" ref="Q35">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name]]),0),MATCH(OP_RatesTU_SME_1[[#Headers],[Ausnet]],Calc_TUR_Net_1[[#Headers],[Ausnet]:[United Energy]],0)),
IF(OP_RatesTU_SME_1[[#This Row],[Cost element]:[Cost element]]="Environmental",
SUMIFS(INDEX(Calc_TUR_Env_1[[Ausnet]:[United Energy]],0,MATCH(OP_RatesTU_SME_1[[#Headers],[Ausnet]],Calc_TUR_Env_1[[#Headers],[Ausnet]:[United Energy]],0)),
Calc_TUR_Env_1[[Customer type]:[Customer type]],OP_RatesTU_SME_1[[#This Row],[Customer type]:[Customer type]],Calc_TUR_Env_1[[Rate type]:[Rate type]],OP_RatesTU_SME_1[[#This Row],[Rate name]:[Rate name]]),
"-")),"-")</f>
        <v>4.3609479704997934E-4</v>
      </c>
      <c r="R35" s="238" cm="1">
        <f t="array" ref="R35">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name]]),0),MATCH(OP_RatesTU_SME_1[[#Headers],[Citipower]],Calc_TUR_Net_1[[#Headers],[Ausnet]:[United Energy]],0)),
IF(OP_RatesTU_SME_1[[#This Row],[Cost element]:[Cost element]]="Environmental",
SUMIFS(INDEX(Calc_TUR_Env_1[[Ausnet]:[United Energy]],0,MATCH(OP_RatesTU_SME_1[[#Headers],[Citipower]],Calc_TUR_Env_1[[#Headers],[Ausnet]:[United Energy]],0)),
Calc_TUR_Env_1[[Customer type]:[Customer type]],OP_RatesTU_SME_1[[#This Row],[Customer type]:[Customer type]],Calc_TUR_Env_1[[Rate type]:[Rate type]],OP_RatesTU_SME_1[[#This Row],[Rate name]:[Rate name]]),
"-")),"-")</f>
        <v>0</v>
      </c>
      <c r="S35" s="238" cm="1">
        <f t="array" ref="S35">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name]]),0),MATCH(OP_RatesTU_SME_1[[#Headers],[Jemena]],Calc_TUR_Net_1[[#Headers],[Ausnet]:[United Energy]],0)),
IF(OP_RatesTU_SME_1[[#This Row],[Cost element]:[Cost element]]="Environmental",
SUMIFS(INDEX(Calc_TUR_Env_1[[Ausnet]:[United Energy]],0,MATCH(OP_RatesTU_SME_1[[#Headers],[Jemena]],Calc_TUR_Env_1[[#Headers],[Ausnet]:[United Energy]],0)),
Calc_TUR_Env_1[[Customer type]:[Customer type]],OP_RatesTU_SME_1[[#This Row],[Customer type]:[Customer type]],Calc_TUR_Env_1[[Rate type]:[Rate type]],OP_RatesTU_SME_1[[#This Row],[Rate name]:[Rate name]]),
"-")),"-")</f>
        <v>0</v>
      </c>
      <c r="T35" s="238" cm="1">
        <f t="array" ref="T35">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name]]),0),MATCH(OP_RatesTU_SME_1[[#Headers],[Powercor]],Calc_TUR_Net_1[[#Headers],[Ausnet]:[United Energy]],0)),
IF(OP_RatesTU_SME_1[[#This Row],[Cost element]:[Cost element]]="Environmental",
SUMIFS(INDEX(Calc_TUR_Env_1[[Ausnet]:[United Energy]],0,MATCH(OP_RatesTU_SME_1[[#Headers],[Powercor]],Calc_TUR_Env_1[[#Headers],[Ausnet]:[United Energy]],0)),
Calc_TUR_Env_1[[Customer type]:[Customer type]],OP_RatesTU_SME_1[[#This Row],[Customer type]:[Customer type]],Calc_TUR_Env_1[[Rate type]:[Rate type]],OP_RatesTU_SME_1[[#This Row],[Rate name]:[Rate name]]),
"-")),"-")</f>
        <v>0</v>
      </c>
      <c r="U35" s="238" cm="1">
        <f t="array" ref="U35">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name]]),0),MATCH(OP_RatesTU_SME_1[[#Headers],[United Energy]],Calc_TUR_Net_1[[#Headers],[Ausnet]:[United Energy]],0)),
IF(OP_RatesTU_SME_1[[#This Row],[Cost element]:[Cost element]]="Environmental",
SUMIFS(INDEX(Calc_TUR_Env_1[[Ausnet]:[United Energy]],0,MATCH(OP_RatesTU_SME_1[[#Headers],[United Energy]],Calc_TUR_Env_1[[#Headers],[Ausnet]:[United Energy]],0)),
Calc_TUR_Env_1[[Customer type]:[Customer type]],OP_RatesTU_SME_1[[#This Row],[Customer type]:[Customer type]],Calc_TUR_Env_1[[Rate type]:[Rate type]],OP_RatesTU_SME_1[[#This Row],[Rate name]:[Rate name]]),
"-")),"-")</f>
        <v>0</v>
      </c>
    </row>
    <row r="36" spans="3:21" outlineLevel="2" x14ac:dyDescent="0.25">
      <c r="C36" s="59" t="s">
        <v>549</v>
      </c>
      <c r="D36" s="59" t="s">
        <v>282</v>
      </c>
      <c r="E36" s="59" t="s">
        <v>92</v>
      </c>
      <c r="F36" s="23" t="s">
        <v>151</v>
      </c>
      <c r="G36" s="238" cm="1">
        <f t="array" ref="G36">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name]]),0),MATCH(OP_RatesTU_RES_1[[#Headers],[Ausnet]],Calc_TUR_Net_1[[#Headers],[Ausnet]:[United Energy]],0)),
INDEX(Calc_TUR_NetCL_1[[Ausnet]:[United Energy]],MATCH(OP_RatesTU_RES_1[[#This Row],[Customer type]:[Customer type]],Calc_TUR_NetCL_1[[Customer type]:[Customer type]],0),MATCH(OP_RatesTU_RES_1[[#Headers],[Ausnet]],Calc_TUR_NetCL_1[[#Headers],[Ausnet]:[United Energy]],0))),
IF(OP_RatesTU_RES_1[[#This Row],[Cost element]:[Cost element]]="Environmental",
SUMIFS(INDEX(Calc_TUR_Env_1[[Ausnet]:[United Energy]],0,MATCH(OP_RatesTU_RES_1[[#Headers],[Ausnet]],Calc_TUR_Env_1[[#Headers],[Ausnet]:[United Energy]],0)),
Calc_TUR_Env_1[[Customer type]:[Customer type]],OP_RatesTU_RES_1[[#This Row],[Customer type]:[Customer type]],Calc_TUR_Env_1[[Rate type]:[Rate type]],OP_RatesTU_RES_1[[#This Row],[Rate name]:[Rate name]]),
"-")),"-")</f>
        <v>0</v>
      </c>
      <c r="H36" s="238" cm="1">
        <f t="array" ref="H36">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name]]),0),MATCH(OP_RatesTU_RES_1[[#Headers],[Citipower]],Calc_TUR_Net_1[[#Headers],[Ausnet]:[United Energy]],0)),
INDEX(Calc_TUR_NetCL_1[[Ausnet]:[United Energy]],MATCH(OP_RatesTU_RES_1[[#This Row],[Customer type]:[Customer type]],Calc_TUR_NetCL_1[[Customer type]:[Customer type]],0),MATCH(OP_RatesTU_RES_1[[#Headers],[Citipower]],Calc_TUR_NetCL_1[[#Headers],[Ausnet]:[United Energy]],0))),
IF(OP_RatesTU_RES_1[[#This Row],[Cost element]:[Cost element]]="Environmental",
SUMIFS(INDEX(Calc_TUR_Env_1[[Ausnet]:[United Energy]],0,MATCH(OP_RatesTU_RES_1[[#Headers],[Citipower]],Calc_TUR_Env_1[[#Headers],[Ausnet]:[United Energy]],0)),
Calc_TUR_Env_1[[Customer type]:[Customer type]],OP_RatesTU_RES_1[[#This Row],[Customer type]:[Customer type]],Calc_TUR_Env_1[[Rate type]:[Rate type]],OP_RatesTU_RES_1[[#This Row],[Rate name]:[Rate name]]),
"-")),"-")</f>
        <v>4.2329571152283947E-4</v>
      </c>
      <c r="I36" s="238" cm="1">
        <f t="array" ref="I36">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name]]),0),MATCH(OP_RatesTU_RES_1[[#Headers],[Jemena]],Calc_TUR_Net_1[[#Headers],[Ausnet]:[United Energy]],0)),
INDEX(Calc_TUR_NetCL_1[[Ausnet]:[United Energy]],MATCH(OP_RatesTU_RES_1[[#This Row],[Customer type]:[Customer type]],Calc_TUR_NetCL_1[[Customer type]:[Customer type]],0),MATCH(OP_RatesTU_RES_1[[#Headers],[Jemena]],Calc_TUR_NetCL_1[[#Headers],[Ausnet]:[United Energy]],0))),
IF(OP_RatesTU_RES_1[[#This Row],[Cost element]:[Cost element]]="Environmental",
SUMIFS(INDEX(Calc_TUR_Env_1[[Ausnet]:[United Energy]],0,MATCH(OP_RatesTU_RES_1[[#Headers],[Jemena]],Calc_TUR_Env_1[[#Headers],[Ausnet]:[United Energy]],0)),
Calc_TUR_Env_1[[Customer type]:[Customer type]],OP_RatesTU_RES_1[[#This Row],[Customer type]:[Customer type]],Calc_TUR_Env_1[[Rate type]:[Rate type]],OP_RatesTU_RES_1[[#This Row],[Rate name]:[Rate name]]),
"-")),"-")</f>
        <v>4.2108355321215024E-4</v>
      </c>
      <c r="J36" s="238" cm="1">
        <f t="array" ref="J36">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name]]),0),MATCH(OP_RatesTU_RES_1[[#Headers],[Powercor]],Calc_TUR_Net_1[[#Headers],[Ausnet]:[United Energy]],0)),
INDEX(Calc_TUR_NetCL_1[[Ausnet]:[United Energy]],MATCH(OP_RatesTU_RES_1[[#This Row],[Customer type]:[Customer type]],Calc_TUR_NetCL_1[[Customer type]:[Customer type]],0),MATCH(OP_RatesTU_RES_1[[#Headers],[Powercor]],Calc_TUR_NetCL_1[[#Headers],[Ausnet]:[United Energy]],0))),
IF(OP_RatesTU_RES_1[[#This Row],[Cost element]:[Cost element]]="Environmental",
SUMIFS(INDEX(Calc_TUR_Env_1[[Ausnet]:[United Energy]],0,MATCH(OP_RatesTU_RES_1[[#Headers],[Powercor]],Calc_TUR_Env_1[[#Headers],[Ausnet]:[United Energy]],0)),
Calc_TUR_Env_1[[Customer type]:[Customer type]],OP_RatesTU_RES_1[[#This Row],[Customer type]:[Customer type]],Calc_TUR_Env_1[[Rate type]:[Rate type]],OP_RatesTU_RES_1[[#This Row],[Rate name]:[Rate name]]),
"-")),"-")</f>
        <v>4.3289302051611621E-4</v>
      </c>
      <c r="K36" s="238" cm="1">
        <f t="array" ref="K36">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name]]),0),MATCH(OP_RatesTU_RES_1[[#Headers],[United Energy]],Calc_TUR_Net_1[[#Headers],[Ausnet]:[United Energy]],0)),
INDEX(Calc_TUR_NetCL_1[[Ausnet]:[United Energy]],MATCH(OP_RatesTU_RES_1[[#This Row],[Customer type]:[Customer type]],Calc_TUR_NetCL_1[[Customer type]:[Customer type]],0),MATCH(OP_RatesTU_RES_1[[#Headers],[United Energy]],Calc_TUR_NetCL_1[[#Headers],[Ausnet]:[United Energy]],0))),
IF(OP_RatesTU_RES_1[[#This Row],[Cost element]:[Cost element]]="Environmental",
SUMIFS(INDEX(Calc_TUR_Env_1[[Ausnet]:[United Energy]],0,MATCH(OP_RatesTU_RES_1[[#Headers],[United Energy]],Calc_TUR_Env_1[[#Headers],[Ausnet]:[United Energy]],0)),
Calc_TUR_Env_1[[Customer type]:[Customer type]],OP_RatesTU_RES_1[[#This Row],[Customer type]:[Customer type]],Calc_TUR_Env_1[[Rate type]:[Rate type]],OP_RatesTU_RES_1[[#This Row],[Rate name]:[Rate name]]),
"-")),"-")</f>
        <v>4.2336209237385492E-4</v>
      </c>
      <c r="M36" s="59" t="s">
        <v>549</v>
      </c>
      <c r="N36" s="59" t="s">
        <v>282</v>
      </c>
      <c r="O36" s="59" t="s">
        <v>93</v>
      </c>
      <c r="P36" s="23" t="s">
        <v>151</v>
      </c>
      <c r="Q36" s="238" cm="1">
        <f t="array" ref="Q36">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name]]),0),MATCH(OP_RatesTU_SME_1[[#Headers],[Ausnet]],Calc_TUR_Net_1[[#Headers],[Ausnet]:[United Energy]],0)),
IF(OP_RatesTU_SME_1[[#This Row],[Cost element]:[Cost element]]="Environmental",
SUMIFS(INDEX(Calc_TUR_Env_1[[Ausnet]:[United Energy]],0,MATCH(OP_RatesTU_SME_1[[#Headers],[Ausnet]],Calc_TUR_Env_1[[#Headers],[Ausnet]:[United Energy]],0)),
Calc_TUR_Env_1[[Customer type]:[Customer type]],OP_RatesTU_SME_1[[#This Row],[Customer type]:[Customer type]],Calc_TUR_Env_1[[Rate type]:[Rate type]],OP_RatesTU_SME_1[[#This Row],[Rate name]:[Rate name]]),
"-")),"-")</f>
        <v>0</v>
      </c>
      <c r="R36" s="238" cm="1">
        <f t="array" ref="R36">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name]]),0),MATCH(OP_RatesTU_SME_1[[#Headers],[Citipower]],Calc_TUR_Net_1[[#Headers],[Ausnet]:[United Energy]],0)),
IF(OP_RatesTU_SME_1[[#This Row],[Cost element]:[Cost element]]="Environmental",
SUMIFS(INDEX(Calc_TUR_Env_1[[Ausnet]:[United Energy]],0,MATCH(OP_RatesTU_SME_1[[#Headers],[Citipower]],Calc_TUR_Env_1[[#Headers],[Ausnet]:[United Energy]],0)),
Calc_TUR_Env_1[[Customer type]:[Customer type]],OP_RatesTU_SME_1[[#This Row],[Customer type]:[Customer type]],Calc_TUR_Env_1[[Rate type]:[Rate type]],OP_RatesTU_SME_1[[#This Row],[Rate name]:[Rate name]]),
"-")),"-")</f>
        <v>4.2329571152283947E-4</v>
      </c>
      <c r="S36" s="238" cm="1">
        <f t="array" ref="S36">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name]]),0),MATCH(OP_RatesTU_SME_1[[#Headers],[Jemena]],Calc_TUR_Net_1[[#Headers],[Ausnet]:[United Energy]],0)),
IF(OP_RatesTU_SME_1[[#This Row],[Cost element]:[Cost element]]="Environmental",
SUMIFS(INDEX(Calc_TUR_Env_1[[Ausnet]:[United Energy]],0,MATCH(OP_RatesTU_SME_1[[#Headers],[Jemena]],Calc_TUR_Env_1[[#Headers],[Ausnet]:[United Energy]],0)),
Calc_TUR_Env_1[[Customer type]:[Customer type]],OP_RatesTU_SME_1[[#This Row],[Customer type]:[Customer type]],Calc_TUR_Env_1[[Rate type]:[Rate type]],OP_RatesTU_SME_1[[#This Row],[Rate name]:[Rate name]]),
"-")),"-")</f>
        <v>4.2108355321215024E-4</v>
      </c>
      <c r="T36" s="238" cm="1">
        <f t="array" ref="T36">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name]]),0),MATCH(OP_RatesTU_SME_1[[#Headers],[Powercor]],Calc_TUR_Net_1[[#Headers],[Ausnet]:[United Energy]],0)),
IF(OP_RatesTU_SME_1[[#This Row],[Cost element]:[Cost element]]="Environmental",
SUMIFS(INDEX(Calc_TUR_Env_1[[Ausnet]:[United Energy]],0,MATCH(OP_RatesTU_SME_1[[#Headers],[Powercor]],Calc_TUR_Env_1[[#Headers],[Ausnet]:[United Energy]],0)),
Calc_TUR_Env_1[[Customer type]:[Customer type]],OP_RatesTU_SME_1[[#This Row],[Customer type]:[Customer type]],Calc_TUR_Env_1[[Rate type]:[Rate type]],OP_RatesTU_SME_1[[#This Row],[Rate name]:[Rate name]]),
"-")),"-")</f>
        <v>4.3289302051611621E-4</v>
      </c>
      <c r="U36" s="238" cm="1">
        <f t="array" ref="U36">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name]]),0),MATCH(OP_RatesTU_SME_1[[#Headers],[United Energy]],Calc_TUR_Net_1[[#Headers],[Ausnet]:[United Energy]],0)),
IF(OP_RatesTU_SME_1[[#This Row],[Cost element]:[Cost element]]="Environmental",
SUMIFS(INDEX(Calc_TUR_Env_1[[Ausnet]:[United Energy]],0,MATCH(OP_RatesTU_SME_1[[#Headers],[United Energy]],Calc_TUR_Env_1[[#Headers],[Ausnet]:[United Energy]],0)),
Calc_TUR_Env_1[[Customer type]:[Customer type]],OP_RatesTU_SME_1[[#This Row],[Customer type]:[Customer type]],Calc_TUR_Env_1[[Rate type]:[Rate type]],OP_RatesTU_SME_1[[#This Row],[Rate name]:[Rate name]]),
"-")),"-")</f>
        <v>4.2336209237385492E-4</v>
      </c>
    </row>
    <row r="37" spans="3:21" outlineLevel="2" x14ac:dyDescent="0.25">
      <c r="C37" s="59" t="s">
        <v>230</v>
      </c>
      <c r="D37" s="59" t="s">
        <v>282</v>
      </c>
      <c r="E37" s="59" t="s">
        <v>92</v>
      </c>
      <c r="F37" s="23" t="s">
        <v>151</v>
      </c>
      <c r="G37" s="238" cm="1">
        <f t="array" ref="G37">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name]]),0),MATCH(OP_RatesTU_RES_1[[#Headers],[Ausnet]],Calc_TUR_Net_1[[#Headers],[Ausnet]:[United Energy]],0)),
INDEX(Calc_TUR_NetCL_1[[Ausnet]:[United Energy]],MATCH(OP_RatesTU_RES_1[[#This Row],[Customer type]:[Customer type]],Calc_TUR_NetCL_1[[Customer type]:[Customer type]],0),MATCH(OP_RatesTU_RES_1[[#Headers],[Ausnet]],Calc_TUR_NetCL_1[[#Headers],[Ausnet]:[United Energy]],0))),
IF(OP_RatesTU_RES_1[[#This Row],[Cost element]:[Cost element]]="Environmental",
SUMIFS(INDEX(Calc_TUR_Env_1[[Ausnet]:[United Energy]],0,MATCH(OP_RatesTU_RES_1[[#Headers],[Ausnet]],Calc_TUR_Env_1[[#Headers],[Ausnet]:[United Energy]],0)),
Calc_TUR_Env_1[[Customer type]:[Customer type]],OP_RatesTU_RES_1[[#This Row],[Customer type]:[Customer type]],Calc_TUR_Env_1[[Rate type]:[Rate type]],OP_RatesTU_RES_1[[#This Row],[Rate name]:[Rate name]]),
"-")),"-")</f>
        <v>4.3609479704997934E-4</v>
      </c>
      <c r="H37" s="238" cm="1">
        <f t="array" ref="H37">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name]]),0),MATCH(OP_RatesTU_RES_1[[#Headers],[Citipower]],Calc_TUR_Net_1[[#Headers],[Ausnet]:[United Energy]],0)),
INDEX(Calc_TUR_NetCL_1[[Ausnet]:[United Energy]],MATCH(OP_RatesTU_RES_1[[#This Row],[Customer type]:[Customer type]],Calc_TUR_NetCL_1[[Customer type]:[Customer type]],0),MATCH(OP_RatesTU_RES_1[[#Headers],[Citipower]],Calc_TUR_NetCL_1[[#Headers],[Ausnet]:[United Energy]],0))),
IF(OP_RatesTU_RES_1[[#This Row],[Cost element]:[Cost element]]="Environmental",
SUMIFS(INDEX(Calc_TUR_Env_1[[Ausnet]:[United Energy]],0,MATCH(OP_RatesTU_RES_1[[#Headers],[Citipower]],Calc_TUR_Env_1[[#Headers],[Ausnet]:[United Energy]],0)),
Calc_TUR_Env_1[[Customer type]:[Customer type]],OP_RatesTU_RES_1[[#This Row],[Customer type]:[Customer type]],Calc_TUR_Env_1[[Rate type]:[Rate type]],OP_RatesTU_RES_1[[#This Row],[Rate name]:[Rate name]]),
"-")),"-")</f>
        <v>4.2329571152283947E-4</v>
      </c>
      <c r="I37" s="238" cm="1">
        <f t="array" ref="I37">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name]]),0),MATCH(OP_RatesTU_RES_1[[#Headers],[Jemena]],Calc_TUR_Net_1[[#Headers],[Ausnet]:[United Energy]],0)),
INDEX(Calc_TUR_NetCL_1[[Ausnet]:[United Energy]],MATCH(OP_RatesTU_RES_1[[#This Row],[Customer type]:[Customer type]],Calc_TUR_NetCL_1[[Customer type]:[Customer type]],0),MATCH(OP_RatesTU_RES_1[[#Headers],[Jemena]],Calc_TUR_NetCL_1[[#Headers],[Ausnet]:[United Energy]],0))),
IF(OP_RatesTU_RES_1[[#This Row],[Cost element]:[Cost element]]="Environmental",
SUMIFS(INDEX(Calc_TUR_Env_1[[Ausnet]:[United Energy]],0,MATCH(OP_RatesTU_RES_1[[#Headers],[Jemena]],Calc_TUR_Env_1[[#Headers],[Ausnet]:[United Energy]],0)),
Calc_TUR_Env_1[[Customer type]:[Customer type]],OP_RatesTU_RES_1[[#This Row],[Customer type]:[Customer type]],Calc_TUR_Env_1[[Rate type]:[Rate type]],OP_RatesTU_RES_1[[#This Row],[Rate name]:[Rate name]]),
"-")),"-")</f>
        <v>4.2108355321215024E-4</v>
      </c>
      <c r="J37" s="238" cm="1">
        <f t="array" ref="J37">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name]]),0),MATCH(OP_RatesTU_RES_1[[#Headers],[Powercor]],Calc_TUR_Net_1[[#Headers],[Ausnet]:[United Energy]],0)),
INDEX(Calc_TUR_NetCL_1[[Ausnet]:[United Energy]],MATCH(OP_RatesTU_RES_1[[#This Row],[Customer type]:[Customer type]],Calc_TUR_NetCL_1[[Customer type]:[Customer type]],0),MATCH(OP_RatesTU_RES_1[[#Headers],[Powercor]],Calc_TUR_NetCL_1[[#Headers],[Ausnet]:[United Energy]],0))),
IF(OP_RatesTU_RES_1[[#This Row],[Cost element]:[Cost element]]="Environmental",
SUMIFS(INDEX(Calc_TUR_Env_1[[Ausnet]:[United Energy]],0,MATCH(OP_RatesTU_RES_1[[#Headers],[Powercor]],Calc_TUR_Env_1[[#Headers],[Ausnet]:[United Energy]],0)),
Calc_TUR_Env_1[[Customer type]:[Customer type]],OP_RatesTU_RES_1[[#This Row],[Customer type]:[Customer type]],Calc_TUR_Env_1[[Rate type]:[Rate type]],OP_RatesTU_RES_1[[#This Row],[Rate name]:[Rate name]]),
"-")),"-")</f>
        <v>4.3289302051611621E-4</v>
      </c>
      <c r="K37" s="238" cm="1">
        <f t="array" ref="K37">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name]]),0),MATCH(OP_RatesTU_RES_1[[#Headers],[United Energy]],Calc_TUR_Net_1[[#Headers],[Ausnet]:[United Energy]],0)),
INDEX(Calc_TUR_NetCL_1[[Ausnet]:[United Energy]],MATCH(OP_RatesTU_RES_1[[#This Row],[Customer type]:[Customer type]],Calc_TUR_NetCL_1[[Customer type]:[Customer type]],0),MATCH(OP_RatesTU_RES_1[[#Headers],[United Energy]],Calc_TUR_NetCL_1[[#Headers],[Ausnet]:[United Energy]],0))),
IF(OP_RatesTU_RES_1[[#This Row],[Cost element]:[Cost element]]="Environmental",
SUMIFS(INDEX(Calc_TUR_Env_1[[Ausnet]:[United Energy]],0,MATCH(OP_RatesTU_RES_1[[#Headers],[United Energy]],Calc_TUR_Env_1[[#Headers],[Ausnet]:[United Energy]],0)),
Calc_TUR_Env_1[[Customer type]:[Customer type]],OP_RatesTU_RES_1[[#This Row],[Customer type]:[Customer type]],Calc_TUR_Env_1[[Rate type]:[Rate type]],OP_RatesTU_RES_1[[#This Row],[Rate name]:[Rate name]]),
"-")),"-")</f>
        <v>4.2336209237385492E-4</v>
      </c>
      <c r="M37" s="59" t="s">
        <v>230</v>
      </c>
      <c r="N37" s="59" t="s">
        <v>282</v>
      </c>
      <c r="O37" s="59" t="s">
        <v>93</v>
      </c>
      <c r="P37" s="23" t="s">
        <v>151</v>
      </c>
      <c r="Q37" s="238" cm="1">
        <f t="array" ref="Q37">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name]]),0),MATCH(OP_RatesTU_SME_1[[#Headers],[Ausnet]],Calc_TUR_Net_1[[#Headers],[Ausnet]:[United Energy]],0)),
IF(OP_RatesTU_SME_1[[#This Row],[Cost element]:[Cost element]]="Environmental",
SUMIFS(INDEX(Calc_TUR_Env_1[[Ausnet]:[United Energy]],0,MATCH(OP_RatesTU_SME_1[[#Headers],[Ausnet]],Calc_TUR_Env_1[[#Headers],[Ausnet]:[United Energy]],0)),
Calc_TUR_Env_1[[Customer type]:[Customer type]],OP_RatesTU_SME_1[[#This Row],[Customer type]:[Customer type]],Calc_TUR_Env_1[[Rate type]:[Rate type]],OP_RatesTU_SME_1[[#This Row],[Rate name]:[Rate name]]),
"-")),"-")</f>
        <v>4.3609479704997934E-4</v>
      </c>
      <c r="R37" s="238" cm="1">
        <f t="array" ref="R37">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name]]),0),MATCH(OP_RatesTU_SME_1[[#Headers],[Citipower]],Calc_TUR_Net_1[[#Headers],[Ausnet]:[United Energy]],0)),
IF(OP_RatesTU_SME_1[[#This Row],[Cost element]:[Cost element]]="Environmental",
SUMIFS(INDEX(Calc_TUR_Env_1[[Ausnet]:[United Energy]],0,MATCH(OP_RatesTU_SME_1[[#Headers],[Citipower]],Calc_TUR_Env_1[[#Headers],[Ausnet]:[United Energy]],0)),
Calc_TUR_Env_1[[Customer type]:[Customer type]],OP_RatesTU_SME_1[[#This Row],[Customer type]:[Customer type]],Calc_TUR_Env_1[[Rate type]:[Rate type]],OP_RatesTU_SME_1[[#This Row],[Rate name]:[Rate name]]),
"-")),"-")</f>
        <v>4.2329571152283947E-4</v>
      </c>
      <c r="S37" s="238" cm="1">
        <f t="array" ref="S37">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name]]),0),MATCH(OP_RatesTU_SME_1[[#Headers],[Jemena]],Calc_TUR_Net_1[[#Headers],[Ausnet]:[United Energy]],0)),
IF(OP_RatesTU_SME_1[[#This Row],[Cost element]:[Cost element]]="Environmental",
SUMIFS(INDEX(Calc_TUR_Env_1[[Ausnet]:[United Energy]],0,MATCH(OP_RatesTU_SME_1[[#Headers],[Jemena]],Calc_TUR_Env_1[[#Headers],[Ausnet]:[United Energy]],0)),
Calc_TUR_Env_1[[Customer type]:[Customer type]],OP_RatesTU_SME_1[[#This Row],[Customer type]:[Customer type]],Calc_TUR_Env_1[[Rate type]:[Rate type]],OP_RatesTU_SME_1[[#This Row],[Rate name]:[Rate name]]),
"-")),"-")</f>
        <v>4.2108355321215024E-4</v>
      </c>
      <c r="T37" s="238" cm="1">
        <f t="array" ref="T37">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name]]),0),MATCH(OP_RatesTU_SME_1[[#Headers],[Powercor]],Calc_TUR_Net_1[[#Headers],[Ausnet]:[United Energy]],0)),
IF(OP_RatesTU_SME_1[[#This Row],[Cost element]:[Cost element]]="Environmental",
SUMIFS(INDEX(Calc_TUR_Env_1[[Ausnet]:[United Energy]],0,MATCH(OP_RatesTU_SME_1[[#Headers],[Powercor]],Calc_TUR_Env_1[[#Headers],[Ausnet]:[United Energy]],0)),
Calc_TUR_Env_1[[Customer type]:[Customer type]],OP_RatesTU_SME_1[[#This Row],[Customer type]:[Customer type]],Calc_TUR_Env_1[[Rate type]:[Rate type]],OP_RatesTU_SME_1[[#This Row],[Rate name]:[Rate name]]),
"-")),"-")</f>
        <v>4.3289302051611621E-4</v>
      </c>
      <c r="U37" s="238" cm="1">
        <f t="array" ref="U37">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name]]),0),MATCH(OP_RatesTU_SME_1[[#Headers],[United Energy]],Calc_TUR_Net_1[[#Headers],[Ausnet]:[United Energy]],0)),
IF(OP_RatesTU_SME_1[[#This Row],[Cost element]:[Cost element]]="Environmental",
SUMIFS(INDEX(Calc_TUR_Env_1[[Ausnet]:[United Energy]],0,MATCH(OP_RatesTU_SME_1[[#Headers],[United Energy]],Calc_TUR_Env_1[[#Headers],[Ausnet]:[United Energy]],0)),
Calc_TUR_Env_1[[Customer type]:[Customer type]],OP_RatesTU_SME_1[[#This Row],[Customer type]:[Customer type]],Calc_TUR_Env_1[[Rate type]:[Rate type]],OP_RatesTU_SME_1[[#This Row],[Rate name]:[Rate name]]),
"-")),"-")</f>
        <v>4.2336209237385492E-4</v>
      </c>
    </row>
    <row r="38" spans="3:21" outlineLevel="2" x14ac:dyDescent="0.25">
      <c r="C38" s="59" t="s">
        <v>609</v>
      </c>
      <c r="D38" s="59" t="s">
        <v>282</v>
      </c>
      <c r="E38" s="59" t="s">
        <v>92</v>
      </c>
      <c r="F38" s="23" t="s">
        <v>151</v>
      </c>
      <c r="G38" s="238" cm="1">
        <f t="array" ref="G38">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name]]),0),MATCH(OP_RatesTU_RES_1[[#Headers],[Ausnet]],Calc_TUR_Net_1[[#Headers],[Ausnet]:[United Energy]],0)),
INDEX(Calc_TUR_NetCL_1[[Ausnet]:[United Energy]],MATCH(OP_RatesTU_RES_1[[#This Row],[Customer type]:[Customer type]],Calc_TUR_NetCL_1[[Customer type]:[Customer type]],0),MATCH(OP_RatesTU_RES_1[[#Headers],[Ausnet]],Calc_TUR_NetCL_1[[#Headers],[Ausnet]:[United Energy]],0))),
IF(OP_RatesTU_RES_1[[#This Row],[Cost element]:[Cost element]]="Environmental",
SUMIFS(INDEX(Calc_TUR_Env_1[[Ausnet]:[United Energy]],0,MATCH(OP_RatesTU_RES_1[[#Headers],[Ausnet]],Calc_TUR_Env_1[[#Headers],[Ausnet]:[United Energy]],0)),
Calc_TUR_Env_1[[Customer type]:[Customer type]],OP_RatesTU_RES_1[[#This Row],[Customer type]:[Customer type]],Calc_TUR_Env_1[[Rate type]:[Rate type]],OP_RatesTU_RES_1[[#This Row],[Rate name]:[Rate name]]),
"-")),"-")</f>
        <v>4.3609479704997934E-4</v>
      </c>
      <c r="H38" s="238" cm="1">
        <f t="array" ref="H38">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name]]),0),MATCH(OP_RatesTU_RES_1[[#Headers],[Citipower]],Calc_TUR_Net_1[[#Headers],[Ausnet]:[United Energy]],0)),
INDEX(Calc_TUR_NetCL_1[[Ausnet]:[United Energy]],MATCH(OP_RatesTU_RES_1[[#This Row],[Customer type]:[Customer type]],Calc_TUR_NetCL_1[[Customer type]:[Customer type]],0),MATCH(OP_RatesTU_RES_1[[#Headers],[Citipower]],Calc_TUR_NetCL_1[[#Headers],[Ausnet]:[United Energy]],0))),
IF(OP_RatesTU_RES_1[[#This Row],[Cost element]:[Cost element]]="Environmental",
SUMIFS(INDEX(Calc_TUR_Env_1[[Ausnet]:[United Energy]],0,MATCH(OP_RatesTU_RES_1[[#Headers],[Citipower]],Calc_TUR_Env_1[[#Headers],[Ausnet]:[United Energy]],0)),
Calc_TUR_Env_1[[Customer type]:[Customer type]],OP_RatesTU_RES_1[[#This Row],[Customer type]:[Customer type]],Calc_TUR_Env_1[[Rate type]:[Rate type]],OP_RatesTU_RES_1[[#This Row],[Rate name]:[Rate name]]),
"-")),"-")</f>
        <v>4.2329571152283947E-4</v>
      </c>
      <c r="I38" s="238" cm="1">
        <f t="array" ref="I38">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name]]),0),MATCH(OP_RatesTU_RES_1[[#Headers],[Jemena]],Calc_TUR_Net_1[[#Headers],[Ausnet]:[United Energy]],0)),
INDEX(Calc_TUR_NetCL_1[[Ausnet]:[United Energy]],MATCH(OP_RatesTU_RES_1[[#This Row],[Customer type]:[Customer type]],Calc_TUR_NetCL_1[[Customer type]:[Customer type]],0),MATCH(OP_RatesTU_RES_1[[#Headers],[Jemena]],Calc_TUR_NetCL_1[[#Headers],[Ausnet]:[United Energy]],0))),
IF(OP_RatesTU_RES_1[[#This Row],[Cost element]:[Cost element]]="Environmental",
SUMIFS(INDEX(Calc_TUR_Env_1[[Ausnet]:[United Energy]],0,MATCH(OP_RatesTU_RES_1[[#Headers],[Jemena]],Calc_TUR_Env_1[[#Headers],[Ausnet]:[United Energy]],0)),
Calc_TUR_Env_1[[Customer type]:[Customer type]],OP_RatesTU_RES_1[[#This Row],[Customer type]:[Customer type]],Calc_TUR_Env_1[[Rate type]:[Rate type]],OP_RatesTU_RES_1[[#This Row],[Rate name]:[Rate name]]),
"-")),"-")</f>
        <v>4.2108355321215024E-4</v>
      </c>
      <c r="J38" s="238" cm="1">
        <f t="array" ref="J38">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name]]),0),MATCH(OP_RatesTU_RES_1[[#Headers],[Powercor]],Calc_TUR_Net_1[[#Headers],[Ausnet]:[United Energy]],0)),
INDEX(Calc_TUR_NetCL_1[[Ausnet]:[United Energy]],MATCH(OP_RatesTU_RES_1[[#This Row],[Customer type]:[Customer type]],Calc_TUR_NetCL_1[[Customer type]:[Customer type]],0),MATCH(OP_RatesTU_RES_1[[#Headers],[Powercor]],Calc_TUR_NetCL_1[[#Headers],[Ausnet]:[United Energy]],0))),
IF(OP_RatesTU_RES_1[[#This Row],[Cost element]:[Cost element]]="Environmental",
SUMIFS(INDEX(Calc_TUR_Env_1[[Ausnet]:[United Energy]],0,MATCH(OP_RatesTU_RES_1[[#Headers],[Powercor]],Calc_TUR_Env_1[[#Headers],[Ausnet]:[United Energy]],0)),
Calc_TUR_Env_1[[Customer type]:[Customer type]],OP_RatesTU_RES_1[[#This Row],[Customer type]:[Customer type]],Calc_TUR_Env_1[[Rate type]:[Rate type]],OP_RatesTU_RES_1[[#This Row],[Rate name]:[Rate name]]),
"-")),"-")</f>
        <v>4.3289302051611621E-4</v>
      </c>
      <c r="K38" s="238" cm="1">
        <f t="array" ref="K38">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name]]),0),MATCH(OP_RatesTU_RES_1[[#Headers],[United Energy]],Calc_TUR_Net_1[[#Headers],[Ausnet]:[United Energy]],0)),
INDEX(Calc_TUR_NetCL_1[[Ausnet]:[United Energy]],MATCH(OP_RatesTU_RES_1[[#This Row],[Customer type]:[Customer type]],Calc_TUR_NetCL_1[[Customer type]:[Customer type]],0),MATCH(OP_RatesTU_RES_1[[#Headers],[United Energy]],Calc_TUR_NetCL_1[[#Headers],[Ausnet]:[United Energy]],0))),
IF(OP_RatesTU_RES_1[[#This Row],[Cost element]:[Cost element]]="Environmental",
SUMIFS(INDEX(Calc_TUR_Env_1[[Ausnet]:[United Energy]],0,MATCH(OP_RatesTU_RES_1[[#Headers],[United Energy]],Calc_TUR_Env_1[[#Headers],[Ausnet]:[United Energy]],0)),
Calc_TUR_Env_1[[Customer type]:[Customer type]],OP_RatesTU_RES_1[[#This Row],[Customer type]:[Customer type]],Calc_TUR_Env_1[[Rate type]:[Rate type]],OP_RatesTU_RES_1[[#This Row],[Rate name]:[Rate name]]),
"-")),"-")</f>
        <v>4.2336209237385492E-4</v>
      </c>
      <c r="M38" s="59" t="s">
        <v>609</v>
      </c>
      <c r="N38" s="59" t="s">
        <v>282</v>
      </c>
      <c r="O38" s="59" t="s">
        <v>93</v>
      </c>
      <c r="P38" s="23" t="s">
        <v>151</v>
      </c>
      <c r="Q38" s="238" cm="1">
        <f t="array" ref="Q38">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name]]),0),MATCH(OP_RatesTU_SME_1[[#Headers],[Ausnet]],Calc_TUR_Net_1[[#Headers],[Ausnet]:[United Energy]],0)),
IF(OP_RatesTU_SME_1[[#This Row],[Cost element]:[Cost element]]="Environmental",
SUMIFS(INDEX(Calc_TUR_Env_1[[Ausnet]:[United Energy]],0,MATCH(OP_RatesTU_SME_1[[#Headers],[Ausnet]],Calc_TUR_Env_1[[#Headers],[Ausnet]:[United Energy]],0)),
Calc_TUR_Env_1[[Customer type]:[Customer type]],OP_RatesTU_SME_1[[#This Row],[Customer type]:[Customer type]],Calc_TUR_Env_1[[Rate type]:[Rate type]],OP_RatesTU_SME_1[[#This Row],[Rate name]:[Rate name]]),
"-")),"-")</f>
        <v>4.3609479704997934E-4</v>
      </c>
      <c r="R38" s="238" cm="1">
        <f t="array" ref="R38">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name]]),0),MATCH(OP_RatesTU_SME_1[[#Headers],[Citipower]],Calc_TUR_Net_1[[#Headers],[Ausnet]:[United Energy]],0)),
IF(OP_RatesTU_SME_1[[#This Row],[Cost element]:[Cost element]]="Environmental",
SUMIFS(INDEX(Calc_TUR_Env_1[[Ausnet]:[United Energy]],0,MATCH(OP_RatesTU_SME_1[[#Headers],[Citipower]],Calc_TUR_Env_1[[#Headers],[Ausnet]:[United Energy]],0)),
Calc_TUR_Env_1[[Customer type]:[Customer type]],OP_RatesTU_SME_1[[#This Row],[Customer type]:[Customer type]],Calc_TUR_Env_1[[Rate type]:[Rate type]],OP_RatesTU_SME_1[[#This Row],[Rate name]:[Rate name]]),
"-")),"-")</f>
        <v>4.2329571152283947E-4</v>
      </c>
      <c r="S38" s="238" cm="1">
        <f t="array" ref="S38">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name]]),0),MATCH(OP_RatesTU_SME_1[[#Headers],[Jemena]],Calc_TUR_Net_1[[#Headers],[Ausnet]:[United Energy]],0)),
IF(OP_RatesTU_SME_1[[#This Row],[Cost element]:[Cost element]]="Environmental",
SUMIFS(INDEX(Calc_TUR_Env_1[[Ausnet]:[United Energy]],0,MATCH(OP_RatesTU_SME_1[[#Headers],[Jemena]],Calc_TUR_Env_1[[#Headers],[Ausnet]:[United Energy]],0)),
Calc_TUR_Env_1[[Customer type]:[Customer type]],OP_RatesTU_SME_1[[#This Row],[Customer type]:[Customer type]],Calc_TUR_Env_1[[Rate type]:[Rate type]],OP_RatesTU_SME_1[[#This Row],[Rate name]:[Rate name]]),
"-")),"-")</f>
        <v>4.2108355321215024E-4</v>
      </c>
      <c r="T38" s="238" cm="1">
        <f t="array" ref="T38">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name]]),0),MATCH(OP_RatesTU_SME_1[[#Headers],[Powercor]],Calc_TUR_Net_1[[#Headers],[Ausnet]:[United Energy]],0)),
IF(OP_RatesTU_SME_1[[#This Row],[Cost element]:[Cost element]]="Environmental",
SUMIFS(INDEX(Calc_TUR_Env_1[[Ausnet]:[United Energy]],0,MATCH(OP_RatesTU_SME_1[[#Headers],[Powercor]],Calc_TUR_Env_1[[#Headers],[Ausnet]:[United Energy]],0)),
Calc_TUR_Env_1[[Customer type]:[Customer type]],OP_RatesTU_SME_1[[#This Row],[Customer type]:[Customer type]],Calc_TUR_Env_1[[Rate type]:[Rate type]],OP_RatesTU_SME_1[[#This Row],[Rate name]:[Rate name]]),
"-")),"-")</f>
        <v>4.3289302051611621E-4</v>
      </c>
      <c r="U38" s="238" cm="1">
        <f t="array" ref="U38">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name]]),0),MATCH(OP_RatesTU_SME_1[[#Headers],[United Energy]],Calc_TUR_Net_1[[#Headers],[Ausnet]:[United Energy]],0)),
IF(OP_RatesTU_SME_1[[#This Row],[Cost element]:[Cost element]]="Environmental",
SUMIFS(INDEX(Calc_TUR_Env_1[[Ausnet]:[United Energy]],0,MATCH(OP_RatesTU_SME_1[[#Headers],[United Energy]],Calc_TUR_Env_1[[#Headers],[Ausnet]:[United Energy]],0)),
Calc_TUR_Env_1[[Customer type]:[Customer type]],OP_RatesTU_SME_1[[#This Row],[Customer type]:[Customer type]],Calc_TUR_Env_1[[Rate type]:[Rate type]],OP_RatesTU_SME_1[[#This Row],[Rate name]:[Rate name]]),
"-")),"-")</f>
        <v>4.2336209237385492E-4</v>
      </c>
    </row>
    <row r="39" spans="3:21" outlineLevel="2" x14ac:dyDescent="0.25">
      <c r="C39" s="59" t="s">
        <v>287</v>
      </c>
      <c r="D39" s="59" t="s">
        <v>282</v>
      </c>
      <c r="E39" s="59" t="s">
        <v>92</v>
      </c>
      <c r="F39" s="23" t="s">
        <v>151</v>
      </c>
      <c r="G39" s="238" cm="1">
        <f t="array" ref="G39">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name]]),0),MATCH(OP_RatesTU_RES_1[[#Headers],[Ausnet]],Calc_TUR_Net_1[[#Headers],[Ausnet]:[United Energy]],0)),
INDEX(Calc_TUR_NetCL_1[[Ausnet]:[United Energy]],MATCH(OP_RatesTU_RES_1[[#This Row],[Customer type]:[Customer type]],Calc_TUR_NetCL_1[[Customer type]:[Customer type]],0),MATCH(OP_RatesTU_RES_1[[#Headers],[Ausnet]],Calc_TUR_NetCL_1[[#Headers],[Ausnet]:[United Energy]],0))),
IF(OP_RatesTU_RES_1[[#This Row],[Cost element]:[Cost element]]="Environmental",
SUMIFS(INDEX(Calc_TUR_Env_1[[Ausnet]:[United Energy]],0,MATCH(OP_RatesTU_RES_1[[#Headers],[Ausnet]],Calc_TUR_Env_1[[#Headers],[Ausnet]:[United Energy]],0)),
Calc_TUR_Env_1[[Customer type]:[Customer type]],OP_RatesTU_RES_1[[#This Row],[Customer type]:[Customer type]],Calc_TUR_Env_1[[Rate type]:[Rate type]],OP_RatesTU_RES_1[[#This Row],[Rate name]:[Rate name]]),
"-")),"-")</f>
        <v>4.3609479704997934E-4</v>
      </c>
      <c r="H39" s="238" cm="1">
        <f t="array" ref="H39">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name]]),0),MATCH(OP_RatesTU_RES_1[[#Headers],[Citipower]],Calc_TUR_Net_1[[#Headers],[Ausnet]:[United Energy]],0)),
INDEX(Calc_TUR_NetCL_1[[Ausnet]:[United Energy]],MATCH(OP_RatesTU_RES_1[[#This Row],[Customer type]:[Customer type]],Calc_TUR_NetCL_1[[Customer type]:[Customer type]],0),MATCH(OP_RatesTU_RES_1[[#Headers],[Citipower]],Calc_TUR_NetCL_1[[#Headers],[Ausnet]:[United Energy]],0))),
IF(OP_RatesTU_RES_1[[#This Row],[Cost element]:[Cost element]]="Environmental",
SUMIFS(INDEX(Calc_TUR_Env_1[[Ausnet]:[United Energy]],0,MATCH(OP_RatesTU_RES_1[[#Headers],[Citipower]],Calc_TUR_Env_1[[#Headers],[Ausnet]:[United Energy]],0)),
Calc_TUR_Env_1[[Customer type]:[Customer type]],OP_RatesTU_RES_1[[#This Row],[Customer type]:[Customer type]],Calc_TUR_Env_1[[Rate type]:[Rate type]],OP_RatesTU_RES_1[[#This Row],[Rate name]:[Rate name]]),
"-")),"-")</f>
        <v>4.2329571152283947E-4</v>
      </c>
      <c r="I39" s="238" cm="1">
        <f t="array" ref="I39">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name]]),0),MATCH(OP_RatesTU_RES_1[[#Headers],[Jemena]],Calc_TUR_Net_1[[#Headers],[Ausnet]:[United Energy]],0)),
INDEX(Calc_TUR_NetCL_1[[Ausnet]:[United Energy]],MATCH(OP_RatesTU_RES_1[[#This Row],[Customer type]:[Customer type]],Calc_TUR_NetCL_1[[Customer type]:[Customer type]],0),MATCH(OP_RatesTU_RES_1[[#Headers],[Jemena]],Calc_TUR_NetCL_1[[#Headers],[Ausnet]:[United Energy]],0))),
IF(OP_RatesTU_RES_1[[#This Row],[Cost element]:[Cost element]]="Environmental",
SUMIFS(INDEX(Calc_TUR_Env_1[[Ausnet]:[United Energy]],0,MATCH(OP_RatesTU_RES_1[[#Headers],[Jemena]],Calc_TUR_Env_1[[#Headers],[Ausnet]:[United Energy]],0)),
Calc_TUR_Env_1[[Customer type]:[Customer type]],OP_RatesTU_RES_1[[#This Row],[Customer type]:[Customer type]],Calc_TUR_Env_1[[Rate type]:[Rate type]],OP_RatesTU_RES_1[[#This Row],[Rate name]:[Rate name]]),
"-")),"-")</f>
        <v>4.2108355321215024E-4</v>
      </c>
      <c r="J39" s="238" cm="1">
        <f t="array" ref="J39">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name]]),0),MATCH(OP_RatesTU_RES_1[[#Headers],[Powercor]],Calc_TUR_Net_1[[#Headers],[Ausnet]:[United Energy]],0)),
INDEX(Calc_TUR_NetCL_1[[Ausnet]:[United Energy]],MATCH(OP_RatesTU_RES_1[[#This Row],[Customer type]:[Customer type]],Calc_TUR_NetCL_1[[Customer type]:[Customer type]],0),MATCH(OP_RatesTU_RES_1[[#Headers],[Powercor]],Calc_TUR_NetCL_1[[#Headers],[Ausnet]:[United Energy]],0))),
IF(OP_RatesTU_RES_1[[#This Row],[Cost element]:[Cost element]]="Environmental",
SUMIFS(INDEX(Calc_TUR_Env_1[[Ausnet]:[United Energy]],0,MATCH(OP_RatesTU_RES_1[[#Headers],[Powercor]],Calc_TUR_Env_1[[#Headers],[Ausnet]:[United Energy]],0)),
Calc_TUR_Env_1[[Customer type]:[Customer type]],OP_RatesTU_RES_1[[#This Row],[Customer type]:[Customer type]],Calc_TUR_Env_1[[Rate type]:[Rate type]],OP_RatesTU_RES_1[[#This Row],[Rate name]:[Rate name]]),
"-")),"-")</f>
        <v>4.3289302051611621E-4</v>
      </c>
      <c r="K39" s="238" cm="1">
        <f t="array" ref="K39">IFERROR(
IF(OP_RatesTU_RES_1[[#This Row],[Cost element]:[Cost element]]="Network",
IF(OP_RatesTU_RES_1[[#This Row],[Rate name]:[Rate name]]&lt;&gt;"Controlled load",
INDEX(Calc_TUR_Net_1[[Ausnet]:[United Energy]],MATCH(1,(Calc_TUR_Net_1[[Customer type]:[Customer type]]=OP_RatesTU_RES_1[[#This Row],[Customer type]:[Customer type]])*(Calc_TUR_Net_1[[Rate type]:[Rate type]]=OP_RatesTU_RES_1[[#This Row],[Rate name]:[Rate name]]),0),MATCH(OP_RatesTU_RES_1[[#Headers],[United Energy]],Calc_TUR_Net_1[[#Headers],[Ausnet]:[United Energy]],0)),
INDEX(Calc_TUR_NetCL_1[[Ausnet]:[United Energy]],MATCH(OP_RatesTU_RES_1[[#This Row],[Customer type]:[Customer type]],Calc_TUR_NetCL_1[[Customer type]:[Customer type]],0),MATCH(OP_RatesTU_RES_1[[#Headers],[United Energy]],Calc_TUR_NetCL_1[[#Headers],[Ausnet]:[United Energy]],0))),
IF(OP_RatesTU_RES_1[[#This Row],[Cost element]:[Cost element]]="Environmental",
SUMIFS(INDEX(Calc_TUR_Env_1[[Ausnet]:[United Energy]],0,MATCH(OP_RatesTU_RES_1[[#Headers],[United Energy]],Calc_TUR_Env_1[[#Headers],[Ausnet]:[United Energy]],0)),
Calc_TUR_Env_1[[Customer type]:[Customer type]],OP_RatesTU_RES_1[[#This Row],[Customer type]:[Customer type]],Calc_TUR_Env_1[[Rate type]:[Rate type]],OP_RatesTU_RES_1[[#This Row],[Rate name]:[Rate name]]),
"-")),"-")</f>
        <v>4.2336209237385492E-4</v>
      </c>
      <c r="M39" s="59"/>
      <c r="N39" s="59"/>
      <c r="O39" s="59"/>
      <c r="P39" s="23"/>
      <c r="Q39" s="238" t="str" cm="1">
        <f t="array" ref="Q39">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name]]),0),MATCH(OP_RatesTU_SME_1[[#Headers],[Ausnet]],Calc_TUR_Net_1[[#Headers],[Ausnet]:[United Energy]],0)),
IF(OP_RatesTU_SME_1[[#This Row],[Cost element]:[Cost element]]="Environmental",
SUMIFS(INDEX(Calc_TUR_Env_1[[Ausnet]:[United Energy]],0,MATCH(OP_RatesTU_SME_1[[#Headers],[Ausnet]],Calc_TUR_Env_1[[#Headers],[Ausnet]:[United Energy]],0)),
Calc_TUR_Env_1[[Customer type]:[Customer type]],OP_RatesTU_SME_1[[#This Row],[Customer type]:[Customer type]],Calc_TUR_Env_1[[Rate type]:[Rate type]],OP_RatesTU_SME_1[[#This Row],[Rate name]:[Rate name]]),
"-")),"-")</f>
        <v>-</v>
      </c>
      <c r="R39" s="238" t="str" cm="1">
        <f t="array" ref="R39">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name]]),0),MATCH(OP_RatesTU_SME_1[[#Headers],[Citipower]],Calc_TUR_Net_1[[#Headers],[Ausnet]:[United Energy]],0)),
IF(OP_RatesTU_SME_1[[#This Row],[Cost element]:[Cost element]]="Environmental",
SUMIFS(INDEX(Calc_TUR_Env_1[[Ausnet]:[United Energy]],0,MATCH(OP_RatesTU_SME_1[[#Headers],[Citipower]],Calc_TUR_Env_1[[#Headers],[Ausnet]:[United Energy]],0)),
Calc_TUR_Env_1[[Customer type]:[Customer type]],OP_RatesTU_SME_1[[#This Row],[Customer type]:[Customer type]],Calc_TUR_Env_1[[Rate type]:[Rate type]],OP_RatesTU_SME_1[[#This Row],[Rate name]:[Rate name]]),
"-")),"-")</f>
        <v>-</v>
      </c>
      <c r="S39" s="238" t="str" cm="1">
        <f t="array" ref="S39">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name]]),0),MATCH(OP_RatesTU_SME_1[[#Headers],[Jemena]],Calc_TUR_Net_1[[#Headers],[Ausnet]:[United Energy]],0)),
IF(OP_RatesTU_SME_1[[#This Row],[Cost element]:[Cost element]]="Environmental",
SUMIFS(INDEX(Calc_TUR_Env_1[[Ausnet]:[United Energy]],0,MATCH(OP_RatesTU_SME_1[[#Headers],[Jemena]],Calc_TUR_Env_1[[#Headers],[Ausnet]:[United Energy]],0)),
Calc_TUR_Env_1[[Customer type]:[Customer type]],OP_RatesTU_SME_1[[#This Row],[Customer type]:[Customer type]],Calc_TUR_Env_1[[Rate type]:[Rate type]],OP_RatesTU_SME_1[[#This Row],[Rate name]:[Rate name]]),
"-")),"-")</f>
        <v>-</v>
      </c>
      <c r="T39" s="238" t="str" cm="1">
        <f t="array" ref="T39">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name]]),0),MATCH(OP_RatesTU_SME_1[[#Headers],[Powercor]],Calc_TUR_Net_1[[#Headers],[Ausnet]:[United Energy]],0)),
IF(OP_RatesTU_SME_1[[#This Row],[Cost element]:[Cost element]]="Environmental",
SUMIFS(INDEX(Calc_TUR_Env_1[[Ausnet]:[United Energy]],0,MATCH(OP_RatesTU_SME_1[[#Headers],[Powercor]],Calc_TUR_Env_1[[#Headers],[Ausnet]:[United Energy]],0)),
Calc_TUR_Env_1[[Customer type]:[Customer type]],OP_RatesTU_SME_1[[#This Row],[Customer type]:[Customer type]],Calc_TUR_Env_1[[Rate type]:[Rate type]],OP_RatesTU_SME_1[[#This Row],[Rate name]:[Rate name]]),
"-")),"-")</f>
        <v>-</v>
      </c>
      <c r="U39" s="238" t="str" cm="1">
        <f t="array" ref="U39">IFERROR(
IF(OP_RatesTU_SME_1[[#This Row],[Cost element]:[Cost element]]="Network",
INDEX(Calc_TUR_Net_1[[Ausnet]:[United Energy]],MATCH(1,(Calc_TUR_Net_1[[Customer type]:[Customer type]]=OP_RatesTU_SME_1[[#This Row],[Customer type]:[Customer type]])*(Calc_TUR_Net_1[[Rate type]:[Rate type]]=OP_RatesTU_SME_1[[#This Row],[Rate name]:[Rate name]]),0),MATCH(OP_RatesTU_SME_1[[#Headers],[United Energy]],Calc_TUR_Net_1[[#Headers],[Ausnet]:[United Energy]],0)),
IF(OP_RatesTU_SME_1[[#This Row],[Cost element]:[Cost element]]="Environmental",
SUMIFS(INDEX(Calc_TUR_Env_1[[Ausnet]:[United Energy]],0,MATCH(OP_RatesTU_SME_1[[#Headers],[United Energy]],Calc_TUR_Env_1[[#Headers],[Ausnet]:[United Energy]],0)),
Calc_TUR_Env_1[[Customer type]:[Customer type]],OP_RatesTU_SME_1[[#This Row],[Customer type]:[Customer type]],Calc_TUR_Env_1[[Rate type]:[Rate type]],OP_RatesTU_SME_1[[#This Row],[Rate name]:[Rate name]]),
"-")),"-")</f>
        <v>-</v>
      </c>
    </row>
    <row r="40" spans="3:21" outlineLevel="1" x14ac:dyDescent="0.25"/>
    <row r="41" spans="3:21" ht="15.75" outlineLevel="1" x14ac:dyDescent="0.25">
      <c r="C41" s="81" t="s">
        <v>17</v>
      </c>
    </row>
    <row r="42" spans="3:21" ht="15.75" hidden="1" outlineLevel="2" x14ac:dyDescent="0.25">
      <c r="C42" s="29" t="str">
        <f>C$7&amp;" - checks"</f>
        <v>VDO residential rates - checks</v>
      </c>
      <c r="M42" s="29" t="str">
        <f>M$7&amp;" - checks"</f>
        <v>VDO small business rates - checks</v>
      </c>
    </row>
    <row r="43" spans="3:21" ht="15.75" hidden="1" outlineLevel="2" x14ac:dyDescent="0.25">
      <c r="C43" s="42" t="s">
        <v>331</v>
      </c>
      <c r="D43" s="42" t="s">
        <v>103</v>
      </c>
      <c r="E43" s="42" t="s">
        <v>91</v>
      </c>
      <c r="G43" s="50" t="s">
        <v>268</v>
      </c>
      <c r="H43" s="50" t="s">
        <v>269</v>
      </c>
      <c r="I43" s="50" t="s">
        <v>270</v>
      </c>
      <c r="J43" s="50" t="s">
        <v>271</v>
      </c>
      <c r="K43" s="50" t="s">
        <v>272</v>
      </c>
      <c r="M43" s="42" t="s">
        <v>331</v>
      </c>
      <c r="N43" s="42" t="s">
        <v>103</v>
      </c>
      <c r="O43" s="42" t="s">
        <v>91</v>
      </c>
      <c r="Q43" s="50" t="s">
        <v>268</v>
      </c>
      <c r="R43" s="50" t="s">
        <v>269</v>
      </c>
      <c r="S43" s="50" t="s">
        <v>270</v>
      </c>
      <c r="T43" s="50" t="s">
        <v>271</v>
      </c>
      <c r="U43" s="50" t="s">
        <v>272</v>
      </c>
    </row>
    <row r="44" spans="3:21" ht="15.75" hidden="1" outlineLevel="2" x14ac:dyDescent="0.25">
      <c r="C44" s="59" t="s">
        <v>550</v>
      </c>
      <c r="D44" s="59" t="s">
        <v>109</v>
      </c>
      <c r="E44" s="59" t="s">
        <v>92</v>
      </c>
      <c r="G44" s="93">
        <f>IF(ROUND(G9,4)=ROUND(
SUMIFS(OP_Rates_RES_1[Ausnet],OP_Rates_RES_1[[Rate name]:[Rate name]],$C44)+
SUMIFS(OP_RatesTU_RES_1[Ausnet],OP_RatesTU_RES_1[[Rate name]:[Rate name]],
IF($D44&lt;&gt;"$",$C44,LEFT($C44,LEN($C44)-FIND(" - supply",$C44)-1))),4),
0,1)</f>
        <v>0</v>
      </c>
      <c r="H44" s="93">
        <f>IF(ROUND(H9,4)=ROUND(
SUMIFS(OP_Rates_RES_1[Citipower],OP_Rates_RES_1[[Rate name]:[Rate name]],$C44)+
SUMIFS(OP_RatesTU_RES_1[Citipower],OP_RatesTU_RES_1[[Rate name]:[Rate name]],
IF($D44&lt;&gt;"$",$C44,LEFT($C44,LEN($C44)-FIND(" - supply",$C44)-1))),4),
0,1)</f>
        <v>0</v>
      </c>
      <c r="I44" s="93">
        <f>IF(ROUND(I9,4)=ROUND(
SUMIFS(OP_Rates_RES_1[Jemena],OP_Rates_RES_1[[Rate name]:[Rate name]],$C44)+
SUMIFS(OP_RatesTU_RES_1[Jemena],OP_RatesTU_RES_1[[Rate name]:[Rate name]],
IF($D44&lt;&gt;"$",$C44,LEFT($C44,LEN($C44)-FIND(" - supply",$C44)-1))),4),
0,1)</f>
        <v>0</v>
      </c>
      <c r="J44" s="93">
        <f>IF(ROUND(J9,4)=ROUND(
SUMIFS(OP_Rates_RES_1[Powercor],OP_Rates_RES_1[[Rate name]:[Rate name]],$C44)+
SUMIFS(OP_RatesTU_RES_1[Powercor],OP_RatesTU_RES_1[[Rate name]:[Rate name]],
IF($D44&lt;&gt;"$",$C44,LEFT($C44,LEN($C44)-FIND(" - supply",$C44)-1))),4),
0,1)</f>
        <v>0</v>
      </c>
      <c r="K44" s="93">
        <f>IF(ROUND(K9,4)=ROUND(
SUMIFS(OP_Rates_RES_1[United Energy],OP_Rates_RES_1[[Rate name]:[Rate name]],$C44)+
SUMIFS(OP_RatesTU_RES_1[United Energy],OP_RatesTU_RES_1[[Rate name]:[Rate name]],
IF($D44&lt;&gt;"$",$C44,LEFT($C44,LEN($C44)-FIND(" - supply",$C44)-1))),4),
0,1)</f>
        <v>0</v>
      </c>
      <c r="M44" s="59" t="s">
        <v>550</v>
      </c>
      <c r="N44" s="59" t="s">
        <v>109</v>
      </c>
      <c r="O44" s="59" t="s">
        <v>93</v>
      </c>
      <c r="Q44" s="93">
        <f>IF(ROUND(Q9,4)=ROUND(
SUMIFS(OP_Rates_SME_1[Ausnet],OP_Rates_SME_1[[Rate name]:[Rate name]],$C44)+
SUMIFS(OP_RatesTU_SME_1[Ausnet],OP_RatesTU_SME_1[[Rate name]:[Rate name]],
IF($D44&lt;&gt;"$",$C44,LEFT($C44,LEN($C44)-FIND(" - supply",$C44)-1))),4),
0,1)</f>
        <v>0</v>
      </c>
      <c r="R44" s="93">
        <f>IF(ROUND(R9,4)=ROUND(
SUMIFS(OP_Rates_SME_1[Citipower],OP_Rates_SME_1[[Rate name]:[Rate name]],$C44)+
SUMIFS(OP_RatesTU_SME_1[Citipower],OP_RatesTU_SME_1[[Rate name]:[Rate name]],
IF($D44&lt;&gt;"$",$C44,LEFT($C44,LEN($C44)-FIND(" - supply",$C44)-1))),4),
0,1)</f>
        <v>0</v>
      </c>
      <c r="S44" s="93">
        <f>IF(ROUND(S9,4)=ROUND(
SUMIFS(OP_Rates_SME_1[Jemena],OP_Rates_SME_1[[Rate name]:[Rate name]],$C44)+
SUMIFS(OP_RatesTU_SME_1[Jemena],OP_RatesTU_SME_1[[Rate name]:[Rate name]],
IF($D44&lt;&gt;"$",$C44,LEFT($C44,LEN($C44)-FIND(" - supply",$C44)-1))),4),
0,1)</f>
        <v>0</v>
      </c>
      <c r="T44" s="93">
        <f>IF(ROUND(T9,4)=ROUND(
SUMIFS(OP_Rates_SME_1[Powercor],OP_Rates_SME_1[[Rate name]:[Rate name]],$C44)+
SUMIFS(OP_RatesTU_SME_1[Powercor],OP_RatesTU_SME_1[[Rate name]:[Rate name]],
IF($D44&lt;&gt;"$",$C44,LEFT($C44,LEN($C44)-FIND(" - supply",$C44)-1))),4),
0,1)</f>
        <v>0</v>
      </c>
      <c r="U44" s="93">
        <f>IF(ROUND(U9,4)=ROUND(
SUMIFS(OP_Rates_SME_1[United Energy],OP_Rates_SME_1[[Rate name]:[Rate name]],$C44)+
SUMIFS(OP_RatesTU_SME_1[United Energy],OP_RatesTU_SME_1[[Rate name]:[Rate name]],
IF($D44&lt;&gt;"$",$C44,LEFT($C44,LEN($C44)-FIND(" - supply",$C44)-1))),4),
0,1)</f>
        <v>0</v>
      </c>
    </row>
    <row r="45" spans="3:21" ht="15.75" hidden="1" outlineLevel="2" x14ac:dyDescent="0.25">
      <c r="C45" s="59" t="s">
        <v>221</v>
      </c>
      <c r="D45" s="59" t="s">
        <v>282</v>
      </c>
      <c r="E45" s="59" t="s">
        <v>92</v>
      </c>
      <c r="G45" s="93">
        <f>IF(ROUND(G10,4)=ROUND(
SUMIFS(OP_Rates_RES_1[Ausnet],OP_Rates_RES_1[[Rate name]:[Rate name]],$C45)+
SUMIFS(OP_RatesTU_RES_1[Ausnet],OP_RatesTU_RES_1[[Rate name]:[Rate name]],
IF($D45&lt;&gt;"$",$C45,LEFT($C45,LEN($C45)-FIND(" - supply",$C45)-1))),4),
0,1)</f>
        <v>0</v>
      </c>
      <c r="H45" s="93">
        <f>IF(ROUND(H10,4)=ROUND(
SUMIFS(OP_Rates_RES_1[Citipower],OP_Rates_RES_1[[Rate name]:[Rate name]],$C45)+
SUMIFS(OP_RatesTU_RES_1[Citipower],OP_RatesTU_RES_1[[Rate name]:[Rate name]],
IF($D45&lt;&gt;"$",$C45,LEFT($C45,LEN($C45)-FIND(" - supply",$C45)-1))),4),
0,1)</f>
        <v>0</v>
      </c>
      <c r="I45" s="93">
        <f>IF(ROUND(I10,4)=ROUND(
SUMIFS(OP_Rates_RES_1[Jemena],OP_Rates_RES_1[[Rate name]:[Rate name]],$C45)+
SUMIFS(OP_RatesTU_RES_1[Jemena],OP_RatesTU_RES_1[[Rate name]:[Rate name]],
IF($D45&lt;&gt;"$",$C45,LEFT($C45,LEN($C45)-FIND(" - supply",$C45)-1))),4),
0,1)</f>
        <v>0</v>
      </c>
      <c r="J45" s="93">
        <f>IF(ROUND(J10,4)=ROUND(
SUMIFS(OP_Rates_RES_1[Powercor],OP_Rates_RES_1[[Rate name]:[Rate name]],$C45)+
SUMIFS(OP_RatesTU_RES_1[Powercor],OP_RatesTU_RES_1[[Rate name]:[Rate name]],
IF($D45&lt;&gt;"$",$C45,LEFT($C45,LEN($C45)-FIND(" - supply",$C45)-1))),4),
0,1)</f>
        <v>0</v>
      </c>
      <c r="K45" s="93">
        <f>IF(ROUND(K10,4)=ROUND(
SUMIFS(OP_Rates_RES_1[United Energy],OP_Rates_RES_1[[Rate name]:[Rate name]],$C45)+
SUMIFS(OP_RatesTU_RES_1[United Energy],OP_RatesTU_RES_1[[Rate name]:[Rate name]],
IF($D45&lt;&gt;"$",$C45,LEFT($C45,LEN($C45)-FIND(" - supply",$C45)-1))),4),
0,1)</f>
        <v>0</v>
      </c>
      <c r="M45" s="59" t="s">
        <v>221</v>
      </c>
      <c r="N45" s="59" t="s">
        <v>282</v>
      </c>
      <c r="O45" s="59" t="s">
        <v>93</v>
      </c>
      <c r="Q45" s="93">
        <f>IF(ROUND(Q10,4)=ROUND(
SUMIFS(OP_Rates_SME_1[Ausnet],OP_Rates_SME_1[[Rate name]:[Rate name]],$C45)+
SUMIFS(OP_RatesTU_SME_1[Ausnet],OP_RatesTU_SME_1[[Rate name]:[Rate name]],
IF($D45&lt;&gt;"$",$C45,LEFT($C45,LEN($C45)-FIND(" - supply",$C45)-1))),4),
0,1)</f>
        <v>0</v>
      </c>
      <c r="R45" s="93">
        <f>IF(ROUND(R10,4)=ROUND(
SUMIFS(OP_Rates_SME_1[Citipower],OP_Rates_SME_1[[Rate name]:[Rate name]],$C45)+
SUMIFS(OP_RatesTU_SME_1[Citipower],OP_RatesTU_SME_1[[Rate name]:[Rate name]],
IF($D45&lt;&gt;"$",$C45,LEFT($C45,LEN($C45)-FIND(" - supply",$C45)-1))),4),
0,1)</f>
        <v>0</v>
      </c>
      <c r="S45" s="93">
        <f>IF(ROUND(S10,4)=ROUND(
SUMIFS(OP_Rates_SME_1[Jemena],OP_Rates_SME_1[[Rate name]:[Rate name]],$C45)+
SUMIFS(OP_RatesTU_SME_1[Jemena],OP_RatesTU_SME_1[[Rate name]:[Rate name]],
IF($D45&lt;&gt;"$",$C45,LEFT($C45,LEN($C45)-FIND(" - supply",$C45)-1))),4),
0,1)</f>
        <v>0</v>
      </c>
      <c r="T45" s="93">
        <f>IF(ROUND(T10,4)=ROUND(
SUMIFS(OP_Rates_SME_1[Powercor],OP_Rates_SME_1[[Rate name]:[Rate name]],$C45)+
SUMIFS(OP_RatesTU_SME_1[Powercor],OP_RatesTU_SME_1[[Rate name]:[Rate name]],
IF($D45&lt;&gt;"$",$C45,LEFT($C45,LEN($C45)-FIND(" - supply",$C45)-1))),4),
0,1)</f>
        <v>0</v>
      </c>
      <c r="U45" s="93">
        <f>IF(ROUND(U10,4)=ROUND(
SUMIFS(OP_Rates_SME_1[United Energy],OP_Rates_SME_1[[Rate name]:[Rate name]],$C45)+
SUMIFS(OP_RatesTU_SME_1[United Energy],OP_RatesTU_SME_1[[Rate name]:[Rate name]],
IF($D45&lt;&gt;"$",$C45,LEFT($C45,LEN($C45)-FIND(" - supply",$C45)-1))),4),
0,1)</f>
        <v>0</v>
      </c>
    </row>
    <row r="46" spans="3:21" ht="15.75" hidden="1" outlineLevel="2" x14ac:dyDescent="0.25">
      <c r="C46" s="59" t="s">
        <v>228</v>
      </c>
      <c r="D46" s="59" t="s">
        <v>282</v>
      </c>
      <c r="E46" s="59" t="s">
        <v>92</v>
      </c>
      <c r="G46" s="93">
        <f>IF(ROUND(G11,4)=ROUND(
SUMIFS(OP_Rates_RES_1[Ausnet],OP_Rates_RES_1[[Rate name]:[Rate name]],$C46)+
SUMIFS(OP_RatesTU_RES_1[Ausnet],OP_RatesTU_RES_1[[Rate name]:[Rate name]],
IF($D46&lt;&gt;"$",$C46,LEFT($C46,LEN($C46)-FIND(" - supply",$C46)-1))),4),
0,1)</f>
        <v>0</v>
      </c>
      <c r="H46" s="93">
        <f>IF(ROUND(H11,4)=ROUND(
SUMIFS(OP_Rates_RES_1[Citipower],OP_Rates_RES_1[[Rate name]:[Rate name]],$C46)+
SUMIFS(OP_RatesTU_RES_1[Citipower],OP_RatesTU_RES_1[[Rate name]:[Rate name]],
IF($D46&lt;&gt;"$",$C46,LEFT($C46,LEN($C46)-FIND(" - supply",$C46)-1))),4),
0,1)</f>
        <v>0</v>
      </c>
      <c r="I46" s="93">
        <f>IF(ROUND(I11,4)=ROUND(
SUMIFS(OP_Rates_RES_1[Jemena],OP_Rates_RES_1[[Rate name]:[Rate name]],$C46)+
SUMIFS(OP_RatesTU_RES_1[Jemena],OP_RatesTU_RES_1[[Rate name]:[Rate name]],
IF($D46&lt;&gt;"$",$C46,LEFT($C46,LEN($C46)-FIND(" - supply",$C46)-1))),4),
0,1)</f>
        <v>0</v>
      </c>
      <c r="J46" s="93">
        <f>IF(ROUND(J11,4)=ROUND(
SUMIFS(OP_Rates_RES_1[Powercor],OP_Rates_RES_1[[Rate name]:[Rate name]],$C46)+
SUMIFS(OP_RatesTU_RES_1[Powercor],OP_RatesTU_RES_1[[Rate name]:[Rate name]],
IF($D46&lt;&gt;"$",$C46,LEFT($C46,LEN($C46)-FIND(" - supply",$C46)-1))),4),
0,1)</f>
        <v>0</v>
      </c>
      <c r="K46" s="93">
        <f>IF(ROUND(K11,4)=ROUND(
SUMIFS(OP_Rates_RES_1[United Energy],OP_Rates_RES_1[[Rate name]:[Rate name]],$C46)+
SUMIFS(OP_RatesTU_RES_1[United Energy],OP_RatesTU_RES_1[[Rate name]:[Rate name]],
IF($D46&lt;&gt;"$",$C46,LEFT($C46,LEN($C46)-FIND(" - supply",$C46)-1))),4),
0,1)</f>
        <v>0</v>
      </c>
      <c r="M46" s="59" t="s">
        <v>228</v>
      </c>
      <c r="N46" s="59" t="s">
        <v>282</v>
      </c>
      <c r="O46" s="59" t="s">
        <v>93</v>
      </c>
      <c r="Q46" s="93">
        <f>IF(ROUND(Q11,4)=ROUND(
SUMIFS(OP_Rates_SME_1[Ausnet],OP_Rates_SME_1[[Rate name]:[Rate name]],$C46)+
SUMIFS(OP_RatesTU_SME_1[Ausnet],OP_RatesTU_SME_1[[Rate name]:[Rate name]],
IF($D46&lt;&gt;"$",$C46,LEFT($C46,LEN($C46)-FIND(" - supply",$C46)-1))),4),
0,1)</f>
        <v>0</v>
      </c>
      <c r="R46" s="93">
        <f>IF(ROUND(R11,4)=ROUND(
SUMIFS(OP_Rates_SME_1[Citipower],OP_Rates_SME_1[[Rate name]:[Rate name]],$C46)+
SUMIFS(OP_RatesTU_SME_1[Citipower],OP_RatesTU_SME_1[[Rate name]:[Rate name]],
IF($D46&lt;&gt;"$",$C46,LEFT($C46,LEN($C46)-FIND(" - supply",$C46)-1))),4),
0,1)</f>
        <v>0</v>
      </c>
      <c r="S46" s="93">
        <f>IF(ROUND(S11,4)=ROUND(
SUMIFS(OP_Rates_SME_1[Jemena],OP_Rates_SME_1[[Rate name]:[Rate name]],$C46)+
SUMIFS(OP_RatesTU_SME_1[Jemena],OP_RatesTU_SME_1[[Rate name]:[Rate name]],
IF($D46&lt;&gt;"$",$C46,LEFT($C46,LEN($C46)-FIND(" - supply",$C46)-1))),4),
0,1)</f>
        <v>0</v>
      </c>
      <c r="T46" s="93">
        <f>IF(ROUND(T11,4)=ROUND(
SUMIFS(OP_Rates_SME_1[Powercor],OP_Rates_SME_1[[Rate name]:[Rate name]],$C46)+
SUMIFS(OP_RatesTU_SME_1[Powercor],OP_RatesTU_SME_1[[Rate name]:[Rate name]],
IF($D46&lt;&gt;"$",$C46,LEFT($C46,LEN($C46)-FIND(" - supply",$C46)-1))),4),
0,1)</f>
        <v>0</v>
      </c>
      <c r="U46" s="93">
        <f>IF(ROUND(U11,4)=ROUND(
SUMIFS(OP_Rates_SME_1[United Energy],OP_Rates_SME_1[[Rate name]:[Rate name]],$C46)+
SUMIFS(OP_RatesTU_SME_1[United Energy],OP_RatesTU_SME_1[[Rate name]:[Rate name]],
IF($D46&lt;&gt;"$",$C46,LEFT($C46,LEN($C46)-FIND(" - supply",$C46)-1))),4),
0,1)</f>
        <v>0</v>
      </c>
    </row>
    <row r="47" spans="3:21" ht="15.75" hidden="1" outlineLevel="2" x14ac:dyDescent="0.25">
      <c r="C47" s="59" t="s">
        <v>549</v>
      </c>
      <c r="D47" s="59" t="s">
        <v>282</v>
      </c>
      <c r="E47" s="59" t="s">
        <v>92</v>
      </c>
      <c r="G47" s="93">
        <f>IF(ROUND(G12,4)=ROUND(
SUMIFS(OP_Rates_RES_1[Ausnet],OP_Rates_RES_1[[Rate name]:[Rate name]],$C47)+
SUMIFS(OP_RatesTU_RES_1[Ausnet],OP_RatesTU_RES_1[[Rate name]:[Rate name]],
IF($D47&lt;&gt;"$",$C47,LEFT($C47,LEN($C47)-FIND(" - supply",$C47)-1))),4),
0,1)</f>
        <v>0</v>
      </c>
      <c r="H47" s="93">
        <f>IF(ROUND(H12,4)=ROUND(
SUMIFS(OP_Rates_RES_1[Citipower],OP_Rates_RES_1[[Rate name]:[Rate name]],$C47)+
SUMIFS(OP_RatesTU_RES_1[Citipower],OP_RatesTU_RES_1[[Rate name]:[Rate name]],
IF($D47&lt;&gt;"$",$C47,LEFT($C47,LEN($C47)-FIND(" - supply",$C47)-1))),4),
0,1)</f>
        <v>0</v>
      </c>
      <c r="I47" s="93">
        <f>IF(ROUND(I12,4)=ROUND(
SUMIFS(OP_Rates_RES_1[Jemena],OP_Rates_RES_1[[Rate name]:[Rate name]],$C47)+
SUMIFS(OP_RatesTU_RES_1[Jemena],OP_RatesTU_RES_1[[Rate name]:[Rate name]],
IF($D47&lt;&gt;"$",$C47,LEFT($C47,LEN($C47)-FIND(" - supply",$C47)-1))),4),
0,1)</f>
        <v>0</v>
      </c>
      <c r="J47" s="93">
        <f>IF(ROUND(J12,4)=ROUND(
SUMIFS(OP_Rates_RES_1[Powercor],OP_Rates_RES_1[[Rate name]:[Rate name]],$C47)+
SUMIFS(OP_RatesTU_RES_1[Powercor],OP_RatesTU_RES_1[[Rate name]:[Rate name]],
IF($D47&lt;&gt;"$",$C47,LEFT($C47,LEN($C47)-FIND(" - supply",$C47)-1))),4),
0,1)</f>
        <v>0</v>
      </c>
      <c r="K47" s="93">
        <f>IF(ROUND(K12,4)=ROUND(
SUMIFS(OP_Rates_RES_1[United Energy],OP_Rates_RES_1[[Rate name]:[Rate name]],$C47)+
SUMIFS(OP_RatesTU_RES_1[United Energy],OP_RatesTU_RES_1[[Rate name]:[Rate name]],
IF($D47&lt;&gt;"$",$C47,LEFT($C47,LEN($C47)-FIND(" - supply",$C47)-1))),4),
0,1)</f>
        <v>0</v>
      </c>
      <c r="M47" s="59" t="s">
        <v>549</v>
      </c>
      <c r="N47" s="59" t="s">
        <v>282</v>
      </c>
      <c r="O47" s="59" t="s">
        <v>93</v>
      </c>
      <c r="Q47" s="93">
        <f>IF(ROUND(Q12,4)=ROUND(
SUMIFS(OP_Rates_SME_1[Ausnet],OP_Rates_SME_1[[Rate name]:[Rate name]],$C47)+
SUMIFS(OP_RatesTU_SME_1[Ausnet],OP_RatesTU_SME_1[[Rate name]:[Rate name]],
IF($D47&lt;&gt;"$",$C47,LEFT($C47,LEN($C47)-FIND(" - supply",$C47)-1))),4),
0,1)</f>
        <v>0</v>
      </c>
      <c r="R47" s="93">
        <f>IF(ROUND(R12,4)=ROUND(
SUMIFS(OP_Rates_SME_1[Citipower],OP_Rates_SME_1[[Rate name]:[Rate name]],$C47)+
SUMIFS(OP_RatesTU_SME_1[Citipower],OP_RatesTU_SME_1[[Rate name]:[Rate name]],
IF($D47&lt;&gt;"$",$C47,LEFT($C47,LEN($C47)-FIND(" - supply",$C47)-1))),4),
0,1)</f>
        <v>0</v>
      </c>
      <c r="S47" s="93">
        <f>IF(ROUND(S12,4)=ROUND(
SUMIFS(OP_Rates_SME_1[Jemena],OP_Rates_SME_1[[Rate name]:[Rate name]],$C47)+
SUMIFS(OP_RatesTU_SME_1[Jemena],OP_RatesTU_SME_1[[Rate name]:[Rate name]],
IF($D47&lt;&gt;"$",$C47,LEFT($C47,LEN($C47)-FIND(" - supply",$C47)-1))),4),
0,1)</f>
        <v>0</v>
      </c>
      <c r="T47" s="93">
        <f>IF(ROUND(T12,4)=ROUND(
SUMIFS(OP_Rates_SME_1[Powercor],OP_Rates_SME_1[[Rate name]:[Rate name]],$C47)+
SUMIFS(OP_RatesTU_SME_1[Powercor],OP_RatesTU_SME_1[[Rate name]:[Rate name]],
IF($D47&lt;&gt;"$",$C47,LEFT($C47,LEN($C47)-FIND(" - supply",$C47)-1))),4),
0,1)</f>
        <v>0</v>
      </c>
      <c r="U47" s="93">
        <f>IF(ROUND(U12,4)=ROUND(
SUMIFS(OP_Rates_SME_1[United Energy],OP_Rates_SME_1[[Rate name]:[Rate name]],$C47)+
SUMIFS(OP_RatesTU_SME_1[United Energy],OP_RatesTU_SME_1[[Rate name]:[Rate name]],
IF($D47&lt;&gt;"$",$C47,LEFT($C47,LEN($C47)-FIND(" - supply",$C47)-1))),4),
0,1)</f>
        <v>0</v>
      </c>
    </row>
    <row r="48" spans="3:21" ht="15.75" hidden="1" outlineLevel="2" x14ac:dyDescent="0.25">
      <c r="C48" s="59" t="s">
        <v>551</v>
      </c>
      <c r="D48" s="59" t="s">
        <v>109</v>
      </c>
      <c r="E48" s="59" t="s">
        <v>92</v>
      </c>
      <c r="G48" s="93">
        <f>IF(ROUND(G13,4)=ROUND(
SUMIFS(OP_Rates_RES_1[Ausnet],OP_Rates_RES_1[[Rate name]:[Rate name]],$C48)+
SUMIFS(OP_RatesTU_RES_1[Ausnet],OP_RatesTU_RES_1[[Rate name]:[Rate name]],
IF($D48&lt;&gt;"$",$C48,LEFT($C48,LEN($C48)-FIND(" - supply",$C48)-1))),4),
0,1)</f>
        <v>0</v>
      </c>
      <c r="H48" s="93">
        <f>IF(ROUND(H13,4)=ROUND(
SUMIFS(OP_Rates_RES_1[Citipower],OP_Rates_RES_1[[Rate name]:[Rate name]],$C48)+
SUMIFS(OP_RatesTU_RES_1[Citipower],OP_RatesTU_RES_1[[Rate name]:[Rate name]],
IF($D48&lt;&gt;"$",$C48,LEFT($C48,LEN($C48)-FIND(" - supply",$C48)-1))),4),
0,1)</f>
        <v>0</v>
      </c>
      <c r="I48" s="93">
        <f>IF(ROUND(I13,4)=ROUND(
SUMIFS(OP_Rates_RES_1[Jemena],OP_Rates_RES_1[[Rate name]:[Rate name]],$C48)+
SUMIFS(OP_RatesTU_RES_1[Jemena],OP_RatesTU_RES_1[[Rate name]:[Rate name]],
IF($D48&lt;&gt;"$",$C48,LEFT($C48,LEN($C48)-FIND(" - supply",$C48)-1))),4),
0,1)</f>
        <v>0</v>
      </c>
      <c r="J48" s="93">
        <f>IF(ROUND(J13,4)=ROUND(
SUMIFS(OP_Rates_RES_1[Powercor],OP_Rates_RES_1[[Rate name]:[Rate name]],$C48)+
SUMIFS(OP_RatesTU_RES_1[Powercor],OP_RatesTU_RES_1[[Rate name]:[Rate name]],
IF($D48&lt;&gt;"$",$C48,LEFT($C48,LEN($C48)-FIND(" - supply",$C48)-1))),4),
0,1)</f>
        <v>0</v>
      </c>
      <c r="K48" s="93">
        <f>IF(ROUND(K13,4)=ROUND(
SUMIFS(OP_Rates_RES_1[United Energy],OP_Rates_RES_1[[Rate name]:[Rate name]],$C48)+
SUMIFS(OP_RatesTU_RES_1[United Energy],OP_RatesTU_RES_1[[Rate name]:[Rate name]],
IF($D48&lt;&gt;"$",$C48,LEFT($C48,LEN($C48)-FIND(" - supply",$C48)-1))),4),
0,1)</f>
        <v>0</v>
      </c>
      <c r="M48" s="59" t="s">
        <v>551</v>
      </c>
      <c r="N48" s="59" t="s">
        <v>109</v>
      </c>
      <c r="O48" s="59" t="s">
        <v>93</v>
      </c>
      <c r="Q48" s="93">
        <f>IF(ROUND(Q13,4)=ROUND(
SUMIFS(OP_Rates_SME_1[Ausnet],OP_Rates_SME_1[[Rate name]:[Rate name]],$C48)+
SUMIFS(OP_RatesTU_SME_1[Ausnet],OP_RatesTU_SME_1[[Rate name]:[Rate name]],
IF($D48&lt;&gt;"$",$C48,LEFT($C48,LEN($C48)-FIND(" - supply",$C48)-1))),4),
0,1)</f>
        <v>0</v>
      </c>
      <c r="R48" s="93">
        <f>IF(ROUND(R13,4)=ROUND(
SUMIFS(OP_Rates_SME_1[Citipower],OP_Rates_SME_1[[Rate name]:[Rate name]],$C48)+
SUMIFS(OP_RatesTU_SME_1[Citipower],OP_RatesTU_SME_1[[Rate name]:[Rate name]],
IF($D48&lt;&gt;"$",$C48,LEFT($C48,LEN($C48)-FIND(" - supply",$C48)-1))),4),
0,1)</f>
        <v>0</v>
      </c>
      <c r="S48" s="93">
        <f>IF(ROUND(S13,4)=ROUND(
SUMIFS(OP_Rates_SME_1[Jemena],OP_Rates_SME_1[[Rate name]:[Rate name]],$C48)+
SUMIFS(OP_RatesTU_SME_1[Jemena],OP_RatesTU_SME_1[[Rate name]:[Rate name]],
IF($D48&lt;&gt;"$",$C48,LEFT($C48,LEN($C48)-FIND(" - supply",$C48)-1))),4),
0,1)</f>
        <v>0</v>
      </c>
      <c r="T48" s="93">
        <f>IF(ROUND(T13,4)=ROUND(
SUMIFS(OP_Rates_SME_1[Powercor],OP_Rates_SME_1[[Rate name]:[Rate name]],$C48)+
SUMIFS(OP_RatesTU_SME_1[Powercor],OP_RatesTU_SME_1[[Rate name]:[Rate name]],
IF($D48&lt;&gt;"$",$C48,LEFT($C48,LEN($C48)-FIND(" - supply",$C48)-1))),4),
0,1)</f>
        <v>0</v>
      </c>
      <c r="U48" s="93">
        <f>IF(ROUND(U13,4)=ROUND(
SUMIFS(OP_Rates_SME_1[United Energy],OP_Rates_SME_1[[Rate name]:[Rate name]],$C48)+
SUMIFS(OP_RatesTU_SME_1[United Energy],OP_RatesTU_SME_1[[Rate name]:[Rate name]],
IF($D48&lt;&gt;"$",$C48,LEFT($C48,LEN($C48)-FIND(" - supply",$C48)-1))),4),
0,1)</f>
        <v>0</v>
      </c>
    </row>
    <row r="49" spans="3:21" ht="15.75" hidden="1" outlineLevel="2" x14ac:dyDescent="0.25">
      <c r="C49" s="59" t="s">
        <v>230</v>
      </c>
      <c r="D49" s="59" t="s">
        <v>282</v>
      </c>
      <c r="E49" s="59" t="s">
        <v>92</v>
      </c>
      <c r="G49" s="93">
        <f>IF(ROUND(G14,4)=ROUND(
SUMIFS(OP_Rates_RES_1[Ausnet],OP_Rates_RES_1[[Rate name]:[Rate name]],$C49)+
SUMIFS(OP_RatesTU_RES_1[Ausnet],OP_RatesTU_RES_1[[Rate name]:[Rate name]],
IF($D49&lt;&gt;"$",$C49,LEFT($C49,LEN($C49)-FIND(" - supply",$C49)-1))),4),
0,1)</f>
        <v>0</v>
      </c>
      <c r="H49" s="93">
        <f>IF(ROUND(H14,4)=ROUND(
SUMIFS(OP_Rates_RES_1[Citipower],OP_Rates_RES_1[[Rate name]:[Rate name]],$C49)+
SUMIFS(OP_RatesTU_RES_1[Citipower],OP_RatesTU_RES_1[[Rate name]:[Rate name]],
IF($D49&lt;&gt;"$",$C49,LEFT($C49,LEN($C49)-FIND(" - supply",$C49)-1))),4),
0,1)</f>
        <v>0</v>
      </c>
      <c r="I49" s="93">
        <f>IF(ROUND(I14,4)=ROUND(
SUMIFS(OP_Rates_RES_1[Jemena],OP_Rates_RES_1[[Rate name]:[Rate name]],$C49)+
SUMIFS(OP_RatesTU_RES_1[Jemena],OP_RatesTU_RES_1[[Rate name]:[Rate name]],
IF($D49&lt;&gt;"$",$C49,LEFT($C49,LEN($C49)-FIND(" - supply",$C49)-1))),4),
0,1)</f>
        <v>0</v>
      </c>
      <c r="J49" s="93">
        <f>IF(ROUND(J14,4)=ROUND(
SUMIFS(OP_Rates_RES_1[Powercor],OP_Rates_RES_1[[Rate name]:[Rate name]],$C49)+
SUMIFS(OP_RatesTU_RES_1[Powercor],OP_RatesTU_RES_1[[Rate name]:[Rate name]],
IF($D49&lt;&gt;"$",$C49,LEFT($C49,LEN($C49)-FIND(" - supply",$C49)-1))),4),
0,1)</f>
        <v>0</v>
      </c>
      <c r="K49" s="93">
        <f>IF(ROUND(K14,4)=ROUND(
SUMIFS(OP_Rates_RES_1[United Energy],OP_Rates_RES_1[[Rate name]:[Rate name]],$C49)+
SUMIFS(OP_RatesTU_RES_1[United Energy],OP_RatesTU_RES_1[[Rate name]:[Rate name]],
IF($D49&lt;&gt;"$",$C49,LEFT($C49,LEN($C49)-FIND(" - supply",$C49)-1))),4),
0,1)</f>
        <v>0</v>
      </c>
      <c r="M49" s="59" t="s">
        <v>230</v>
      </c>
      <c r="N49" s="59" t="s">
        <v>282</v>
      </c>
      <c r="O49" s="59" t="s">
        <v>93</v>
      </c>
      <c r="Q49" s="93">
        <f>IF(ROUND(Q14,4)=ROUND(
SUMIFS(OP_Rates_SME_1[Ausnet],OP_Rates_SME_1[[Rate name]:[Rate name]],$C49)+
SUMIFS(OP_RatesTU_SME_1[Ausnet],OP_RatesTU_SME_1[[Rate name]:[Rate name]],
IF($D49&lt;&gt;"$",$C49,LEFT($C49,LEN($C49)-FIND(" - supply",$C49)-1))),4),
0,1)</f>
        <v>0</v>
      </c>
      <c r="R49" s="93">
        <f>IF(ROUND(R14,4)=ROUND(
SUMIFS(OP_Rates_SME_1[Citipower],OP_Rates_SME_1[[Rate name]:[Rate name]],$C49)+
SUMIFS(OP_RatesTU_SME_1[Citipower],OP_RatesTU_SME_1[[Rate name]:[Rate name]],
IF($D49&lt;&gt;"$",$C49,LEFT($C49,LEN($C49)-FIND(" - supply",$C49)-1))),4),
0,1)</f>
        <v>0</v>
      </c>
      <c r="S49" s="93">
        <f>IF(ROUND(S14,4)=ROUND(
SUMIFS(OP_Rates_SME_1[Jemena],OP_Rates_SME_1[[Rate name]:[Rate name]],$C49)+
SUMIFS(OP_RatesTU_SME_1[Jemena],OP_RatesTU_SME_1[[Rate name]:[Rate name]],
IF($D49&lt;&gt;"$",$C49,LEFT($C49,LEN($C49)-FIND(" - supply",$C49)-1))),4),
0,1)</f>
        <v>0</v>
      </c>
      <c r="T49" s="93">
        <f>IF(ROUND(T14,4)=ROUND(
SUMIFS(OP_Rates_SME_1[Powercor],OP_Rates_SME_1[[Rate name]:[Rate name]],$C49)+
SUMIFS(OP_RatesTU_SME_1[Powercor],OP_RatesTU_SME_1[[Rate name]:[Rate name]],
IF($D49&lt;&gt;"$",$C49,LEFT($C49,LEN($C49)-FIND(" - supply",$C49)-1))),4),
0,1)</f>
        <v>0</v>
      </c>
      <c r="U49" s="93">
        <f>IF(ROUND(U14,4)=ROUND(
SUMIFS(OP_Rates_SME_1[United Energy],OP_Rates_SME_1[[Rate name]:[Rate name]],$C49)+
SUMIFS(OP_RatesTU_SME_1[United Energy],OP_RatesTU_SME_1[[Rate name]:[Rate name]],
IF($D49&lt;&gt;"$",$C49,LEFT($C49,LEN($C49)-FIND(" - supply",$C49)-1))),4),
0,1)</f>
        <v>0</v>
      </c>
    </row>
    <row r="50" spans="3:21" ht="15.75" hidden="1" outlineLevel="2" x14ac:dyDescent="0.25">
      <c r="C50" s="59" t="s">
        <v>609</v>
      </c>
      <c r="D50" s="59" t="s">
        <v>282</v>
      </c>
      <c r="E50" s="59" t="s">
        <v>92</v>
      </c>
      <c r="G50" s="93">
        <f>IF(ROUND(G15,4)=ROUND(
SUMIFS(OP_Rates_RES_1[Ausnet],OP_Rates_RES_1[[Rate name]:[Rate name]],$C50)+
SUMIFS(OP_RatesTU_RES_1[Ausnet],OP_RatesTU_RES_1[[Rate name]:[Rate name]],
IF($D50&lt;&gt;"$",$C50,LEFT($C50,LEN($C50)-FIND(" - supply",$C50)-1))),4),
0,1)</f>
        <v>0</v>
      </c>
      <c r="H50" s="93">
        <f>IF(ROUND(H15,4)=ROUND(
SUMIFS(OP_Rates_RES_1[Citipower],OP_Rates_RES_1[[Rate name]:[Rate name]],$C50)+
SUMIFS(OP_RatesTU_RES_1[Citipower],OP_RatesTU_RES_1[[Rate name]:[Rate name]],
IF($D50&lt;&gt;"$",$C50,LEFT($C50,LEN($C50)-FIND(" - supply",$C50)-1))),4),
0,1)</f>
        <v>0</v>
      </c>
      <c r="I50" s="93">
        <f>IF(ROUND(I15,4)=ROUND(
SUMIFS(OP_Rates_RES_1[Jemena],OP_Rates_RES_1[[Rate name]:[Rate name]],$C50)+
SUMIFS(OP_RatesTU_RES_1[Jemena],OP_RatesTU_RES_1[[Rate name]:[Rate name]],
IF($D50&lt;&gt;"$",$C50,LEFT($C50,LEN($C50)-FIND(" - supply",$C50)-1))),4),
0,1)</f>
        <v>0</v>
      </c>
      <c r="J50" s="93">
        <f>IF(ROUND(J15,4)=ROUND(
SUMIFS(OP_Rates_RES_1[Powercor],OP_Rates_RES_1[[Rate name]:[Rate name]],$C50)+
SUMIFS(OP_RatesTU_RES_1[Powercor],OP_RatesTU_RES_1[[Rate name]:[Rate name]],
IF($D50&lt;&gt;"$",$C50,LEFT($C50,LEN($C50)-FIND(" - supply",$C50)-1))),4),
0,1)</f>
        <v>0</v>
      </c>
      <c r="K50" s="93">
        <f>IF(ROUND(K15,4)=ROUND(
SUMIFS(OP_Rates_RES_1[United Energy],OP_Rates_RES_1[[Rate name]:[Rate name]],$C50)+
SUMIFS(OP_RatesTU_RES_1[United Energy],OP_RatesTU_RES_1[[Rate name]:[Rate name]],
IF($D50&lt;&gt;"$",$C50,LEFT($C50,LEN($C50)-FIND(" - supply",$C50)-1))),4),
0,1)</f>
        <v>0</v>
      </c>
      <c r="M50" s="59" t="s">
        <v>609</v>
      </c>
      <c r="N50" s="59" t="s">
        <v>282</v>
      </c>
      <c r="O50" s="59" t="s">
        <v>93</v>
      </c>
      <c r="Q50" s="93">
        <f>IF(ROUND(Q15,4)=ROUND(
SUMIFS(OP_Rates_SME_1[Ausnet],OP_Rates_SME_1[[Rate name]:[Rate name]],$C50)+
SUMIFS(OP_RatesTU_SME_1[Ausnet],OP_RatesTU_SME_1[[Rate name]:[Rate name]],
IF($D50&lt;&gt;"$",$C50,LEFT($C50,LEN($C50)-FIND(" - supply",$C50)-1))),4),
0,1)</f>
        <v>0</v>
      </c>
      <c r="R50" s="93">
        <f>IF(ROUND(R15,4)=ROUND(
SUMIFS(OP_Rates_SME_1[Citipower],OP_Rates_SME_1[[Rate name]:[Rate name]],$C50)+
SUMIFS(OP_RatesTU_SME_1[Citipower],OP_RatesTU_SME_1[[Rate name]:[Rate name]],
IF($D50&lt;&gt;"$",$C50,LEFT($C50,LEN($C50)-FIND(" - supply",$C50)-1))),4),
0,1)</f>
        <v>0</v>
      </c>
      <c r="S50" s="93">
        <f>IF(ROUND(S15,4)=ROUND(
SUMIFS(OP_Rates_SME_1[Jemena],OP_Rates_SME_1[[Rate name]:[Rate name]],$C50)+
SUMIFS(OP_RatesTU_SME_1[Jemena],OP_RatesTU_SME_1[[Rate name]:[Rate name]],
IF($D50&lt;&gt;"$",$C50,LEFT($C50,LEN($C50)-FIND(" - supply",$C50)-1))),4),
0,1)</f>
        <v>0</v>
      </c>
      <c r="T50" s="93">
        <f>IF(ROUND(T15,4)=ROUND(
SUMIFS(OP_Rates_SME_1[Powercor],OP_Rates_SME_1[[Rate name]:[Rate name]],$C50)+
SUMIFS(OP_RatesTU_SME_1[Powercor],OP_RatesTU_SME_1[[Rate name]:[Rate name]],
IF($D50&lt;&gt;"$",$C50,LEFT($C50,LEN($C50)-FIND(" - supply",$C50)-1))),4),
0,1)</f>
        <v>0</v>
      </c>
      <c r="U50" s="93">
        <f>IF(ROUND(U15,4)=ROUND(
SUMIFS(OP_Rates_SME_1[United Energy],OP_Rates_SME_1[[Rate name]:[Rate name]],$C50)+
SUMIFS(OP_RatesTU_SME_1[United Energy],OP_RatesTU_SME_1[[Rate name]:[Rate name]],
IF($D50&lt;&gt;"$",$C50,LEFT($C50,LEN($C50)-FIND(" - supply",$C50)-1))),4),
0,1)</f>
        <v>0</v>
      </c>
    </row>
    <row r="51" spans="3:21" ht="15.75" hidden="1" outlineLevel="2" x14ac:dyDescent="0.25">
      <c r="C51" s="59" t="s">
        <v>287</v>
      </c>
      <c r="D51" s="59" t="s">
        <v>282</v>
      </c>
      <c r="E51" s="59" t="s">
        <v>92</v>
      </c>
      <c r="G51" s="93">
        <f>IF(ROUND(G16,4)=ROUND(
SUMIFS(OP_Rates_RES_1[Ausnet],OP_Rates_RES_1[[Rate name]:[Rate name]],$C51)+
SUMIFS(OP_RatesTU_RES_1[Ausnet],OP_RatesTU_RES_1[[Rate name]:[Rate name]],
IF($D51&lt;&gt;"$",$C51,LEFT($C51,LEN($C51)-FIND(" - supply",$C51)-1))),4),
0,1)</f>
        <v>0</v>
      </c>
      <c r="H51" s="93">
        <f>IF(ROUND(H16,4)=ROUND(
SUMIFS(OP_Rates_RES_1[Citipower],OP_Rates_RES_1[[Rate name]:[Rate name]],$C51)+
SUMIFS(OP_RatesTU_RES_1[Citipower],OP_RatesTU_RES_1[[Rate name]:[Rate name]],
IF($D51&lt;&gt;"$",$C51,LEFT($C51,LEN($C51)-FIND(" - supply",$C51)-1))),4),
0,1)</f>
        <v>0</v>
      </c>
      <c r="I51" s="93">
        <f>IF(ROUND(I16,4)=ROUND(
SUMIFS(OP_Rates_RES_1[Jemena],OP_Rates_RES_1[[Rate name]:[Rate name]],$C51)+
SUMIFS(OP_RatesTU_RES_1[Jemena],OP_RatesTU_RES_1[[Rate name]:[Rate name]],
IF($D51&lt;&gt;"$",$C51,LEFT($C51,LEN($C51)-FIND(" - supply",$C51)-1))),4),
0,1)</f>
        <v>0</v>
      </c>
      <c r="J51" s="93">
        <f>IF(ROUND(J16,4)=ROUND(
SUMIFS(OP_Rates_RES_1[Powercor],OP_Rates_RES_1[[Rate name]:[Rate name]],$C51)+
SUMIFS(OP_RatesTU_RES_1[Powercor],OP_RatesTU_RES_1[[Rate name]:[Rate name]],
IF($D51&lt;&gt;"$",$C51,LEFT($C51,LEN($C51)-FIND(" - supply",$C51)-1))),4),
0,1)</f>
        <v>0</v>
      </c>
      <c r="K51" s="93">
        <f>IF(ROUND(K16,4)=ROUND(
SUMIFS(OP_Rates_RES_1[United Energy],OP_Rates_RES_1[[Rate name]:[Rate name]],$C51)+
SUMIFS(OP_RatesTU_RES_1[United Energy],OP_RatesTU_RES_1[[Rate name]:[Rate name]],
IF($D51&lt;&gt;"$",$C51,LEFT($C51,LEN($C51)-FIND(" - supply",$C51)-1))),4),
0,1)</f>
        <v>0</v>
      </c>
      <c r="M51" s="59"/>
      <c r="N51" s="59"/>
      <c r="O51" s="59"/>
      <c r="Q51" s="93"/>
      <c r="R51" s="93"/>
      <c r="S51" s="93"/>
      <c r="T51" s="93"/>
      <c r="U51" s="93"/>
    </row>
    <row r="52" spans="3:21" hidden="1" outlineLevel="2" x14ac:dyDescent="0.25"/>
    <row r="53" spans="3:21" ht="15.75" hidden="1" outlineLevel="2" x14ac:dyDescent="0.25">
      <c r="C53" s="29" t="str">
        <f>C$18&amp;" - checks"</f>
        <v>Residential calculated rate - checks</v>
      </c>
      <c r="M53" s="29" t="str">
        <f>M$18&amp;" - checks"</f>
        <v>Small business calculated rate - checks</v>
      </c>
    </row>
    <row r="54" spans="3:21" ht="15.75" hidden="1" outlineLevel="2" x14ac:dyDescent="0.25">
      <c r="C54" s="42" t="s">
        <v>331</v>
      </c>
      <c r="D54" s="42" t="s">
        <v>103</v>
      </c>
      <c r="E54" s="42" t="s">
        <v>91</v>
      </c>
      <c r="G54" s="50" t="s">
        <v>268</v>
      </c>
      <c r="H54" s="50" t="s">
        <v>269</v>
      </c>
      <c r="I54" s="50" t="s">
        <v>270</v>
      </c>
      <c r="J54" s="50" t="s">
        <v>271</v>
      </c>
      <c r="K54" s="50" t="s">
        <v>272</v>
      </c>
      <c r="M54" s="42" t="s">
        <v>331</v>
      </c>
      <c r="N54" s="42" t="s">
        <v>103</v>
      </c>
      <c r="O54" s="42" t="s">
        <v>91</v>
      </c>
      <c r="Q54" s="50" t="s">
        <v>268</v>
      </c>
      <c r="R54" s="50" t="s">
        <v>269</v>
      </c>
      <c r="S54" s="50" t="s">
        <v>270</v>
      </c>
      <c r="T54" s="50" t="s">
        <v>271</v>
      </c>
      <c r="U54" s="50" t="s">
        <v>272</v>
      </c>
    </row>
    <row r="55" spans="3:21" ht="15.75" hidden="1" outlineLevel="2" x14ac:dyDescent="0.25">
      <c r="C55" s="23" t="s">
        <v>550</v>
      </c>
      <c r="D55" s="23" t="s">
        <v>109</v>
      </c>
      <c r="E55" s="23" t="s">
        <v>92</v>
      </c>
      <c r="G55" s="93" cm="1">
        <f t="array" ref="G55">IF(G20="-","-",
IF(ROUND(G20,8)=
ROUND(((
(SUMIFS(Calc_NetworkF_1[Ausnet],Calc_NetworkF_1[[Cost item]:[Cost item]],$C55,Calc_NetworkF_1[[Customer type]:[Customer type]],$E55)+
SUMIFS(Calc_Fixed_1[Ausnet],Calc_Fixed_1[[Customer type]:[Customer type]],"All")+
SUMIFS(Calc_Fixed_1[Ausnet],Calc_Fixed_1[[Customer type]:[Customer type]],$E55))/DiY)*(1+Calc_ROM_1[Ausnet]))*(1+GST),8),0,1))</f>
        <v>0</v>
      </c>
      <c r="H55" s="93" cm="1">
        <f t="array" ref="H55">IF(H20="-","-",
IF(ROUND(H20,8)=
ROUND(((
(SUMIFS(Calc_NetworkF_1[Citipower],Calc_NetworkF_1[[Cost item]:[Cost item]],$C55,Calc_NetworkF_1[[Customer type]:[Customer type]],$E55)+
SUMIFS(Calc_Fixed_1[Citipower],Calc_Fixed_1[[Customer type]:[Customer type]],"All")+
SUMIFS(Calc_Fixed_1[Citipower],Calc_Fixed_1[[Customer type]:[Customer type]],$E55))/DiY)*(1+Calc_ROM_1[Citipower]))*(1+GST),8),0,1))</f>
        <v>0</v>
      </c>
      <c r="I55" s="93" cm="1">
        <f t="array" ref="I55">IF(I20="-","-",
IF(ROUND(I20,8)=
ROUND(((
(SUMIFS(Calc_NetworkF_1[Jemena],Calc_NetworkF_1[[Cost item]:[Cost item]],$C55,Calc_NetworkF_1[[Customer type]:[Customer type]],$E55)+
SUMIFS(Calc_Fixed_1[Jemena],Calc_Fixed_1[[Customer type]:[Customer type]],"All")+
SUMIFS(Calc_Fixed_1[Jemena],Calc_Fixed_1[[Customer type]:[Customer type]],$E55))/DiY)*(1+Calc_ROM_1[Jemena]))*(1+GST),8),0,1))</f>
        <v>0</v>
      </c>
      <c r="J55" s="93" cm="1">
        <f t="array" ref="J55">IF(J20="-","-",
IF(ROUND(J20,8)=
ROUND(((
(SUMIFS(Calc_NetworkF_1[Powercor],Calc_NetworkF_1[[Cost item]:[Cost item]],$C55,Calc_NetworkF_1[[Customer type]:[Customer type]],$E55)+
SUMIFS(Calc_Fixed_1[Powercor],Calc_Fixed_1[[Customer type]:[Customer type]],"All")+
SUMIFS(Calc_Fixed_1[Powercor],Calc_Fixed_1[[Customer type]:[Customer type]],$E55))/DiY)*(1+Calc_ROM_1[Powercor]))*(1+GST),8),0,1))</f>
        <v>0</v>
      </c>
      <c r="K55" s="93" cm="1">
        <f t="array" ref="K55">IF(K20="-","-",
IF(ROUND(K20,8)=
ROUND(((
(SUMIFS(Calc_NetworkF_1[United Energy],Calc_NetworkF_1[[Cost item]:[Cost item]],$C55,Calc_NetworkF_1[[Customer type]:[Customer type]],$E55)+
SUMIFS(Calc_Fixed_1[United Energy],Calc_Fixed_1[[Customer type]:[Customer type]],"All")+
SUMIFS(Calc_Fixed_1[United Energy],Calc_Fixed_1[[Customer type]:[Customer type]],$E55))/DiY)*(1+Calc_ROM_1[United Energy]))*(1+GST),8),0,1))</f>
        <v>0</v>
      </c>
      <c r="M55" s="23" t="s">
        <v>550</v>
      </c>
      <c r="N55" s="23" t="s">
        <v>109</v>
      </c>
      <c r="O55" s="23" t="s">
        <v>93</v>
      </c>
      <c r="Q55" s="93" cm="1">
        <f t="array" ref="Q55">IF(Q20="-","-",
IF(ROUND(Q20,8)=
ROUND(((
(SUMIFS(Calc_NetworkF_1[Ausnet],Calc_NetworkF_1[[Cost item]:[Cost item]],$M55,Calc_NetworkF_1[[Customer type]:[Customer type]],$O55)+
SUMIFS(Calc_Fixed_1[Ausnet],Calc_Fixed_1[[Customer type]:[Customer type]],"All")+
SUMIFS(Calc_Fixed_1[Ausnet],Calc_Fixed_1[[Customer type]:[Customer type]],$O55))/DiY)*(1+Calc_ROM_1[Ausnet]))*(1+GST),8),0,1))</f>
        <v>0</v>
      </c>
      <c r="R55" s="93" cm="1">
        <f t="array" ref="R55">IF(R20="-","-",
IF(ROUND(R20,8)=
ROUND(((
(SUMIFS(Calc_NetworkF_1[Citipower],Calc_NetworkF_1[[Cost item]:[Cost item]],$M55,Calc_NetworkF_1[[Customer type]:[Customer type]],$O55)+
SUMIFS(Calc_Fixed_1[Citipower],Calc_Fixed_1[[Customer type]:[Customer type]],"All")+
SUMIFS(Calc_Fixed_1[Citipower],Calc_Fixed_1[[Customer type]:[Customer type]],$O55))/DiY)*(1+Calc_ROM_1[Citipower]))*(1+GST),8),0,1))</f>
        <v>0</v>
      </c>
      <c r="S55" s="93" cm="1">
        <f t="array" ref="S55">IF(S20="-","-",
IF(ROUND(S20,8)=
ROUND(((
(SUMIFS(Calc_NetworkF_1[Jemena],Calc_NetworkF_1[[Cost item]:[Cost item]],$M55,Calc_NetworkF_1[[Customer type]:[Customer type]],$O55)+
SUMIFS(Calc_Fixed_1[Jemena],Calc_Fixed_1[[Customer type]:[Customer type]],"All")+
SUMIFS(Calc_Fixed_1[Jemena],Calc_Fixed_1[[Customer type]:[Customer type]],$O55))/DiY)*(1+Calc_ROM_1[Jemena]))*(1+GST),8),0,1))</f>
        <v>0</v>
      </c>
      <c r="T55" s="93" cm="1">
        <f t="array" ref="T55">IF(T20="-","-",
IF(ROUND(T20,8)=
ROUND(((
(SUMIFS(Calc_NetworkF_1[Powercor],Calc_NetworkF_1[[Cost item]:[Cost item]],$M55,Calc_NetworkF_1[[Customer type]:[Customer type]],$O55)+
SUMIFS(Calc_Fixed_1[Powercor],Calc_Fixed_1[[Customer type]:[Customer type]],"All")+
SUMIFS(Calc_Fixed_1[Powercor],Calc_Fixed_1[[Customer type]:[Customer type]],$O55))/DiY)*(1+Calc_ROM_1[Powercor]))*(1+GST),8),0,1))</f>
        <v>0</v>
      </c>
      <c r="U55" s="93" cm="1">
        <f t="array" ref="U55">IF(U20="-","-",
IF(ROUND(U20,8)=
ROUND(((
(SUMIFS(Calc_NetworkF_1[United Energy],Calc_NetworkF_1[[Cost item]:[Cost item]],$M55,Calc_NetworkF_1[[Customer type]:[Customer type]],$O55)+
SUMIFS(Calc_Fixed_1[United Energy],Calc_Fixed_1[[Customer type]:[Customer type]],"All")+
SUMIFS(Calc_Fixed_1[United Energy],Calc_Fixed_1[[Customer type]:[Customer type]],$O55))/DiY)*(1+Calc_ROM_1[United Energy]))*(1+GST),8),0,1))</f>
        <v>0</v>
      </c>
    </row>
    <row r="56" spans="3:21" ht="15.75" hidden="1" outlineLevel="2" x14ac:dyDescent="0.25">
      <c r="C56" s="23" t="s">
        <v>221</v>
      </c>
      <c r="D56" s="23" t="s">
        <v>282</v>
      </c>
      <c r="E56" s="23" t="s">
        <v>92</v>
      </c>
      <c r="G56" s="93" cm="1">
        <f t="array" ref="G56">IF(G21="-","-",
IF(ROUND(G21,8)=ROUND(
((SUMIFS(Calc_Variable_1[Ausnet],Calc_Variable_1[[Customer type]:[Customer type]],"All")+
SUMIFS(Calc_Variable_1[Ausnet],Calc_Variable_1[[Customer type]:[Customer type]],OP_Rates!$E56)+
SUMIFS(Calc_NetworkV_1[Ausnet],Calc_NetworkV_1[[Customer type]:[Customer type]],OP_Rates!$E56,Calc_NetworkV_1[[Cost item]:[Cost item]],OP_Rates!$C56))*(1+Calc_ROM_1[Ausnet]))*(1+GST),8),0,1))</f>
        <v>0</v>
      </c>
      <c r="H56" s="93" t="str" cm="1">
        <f t="array" ref="H56">IF(H21="-","-",
IF(ROUND(H21,8)=ROUND(
((SUMIFS(Calc_Variable_1[Citipower],Calc_Variable_1[[Customer type]:[Customer type]],"All")+
SUMIFS(Calc_Variable_1[Citipower],Calc_Variable_1[[Customer type]:[Customer type]],OP_Rates!$E56)+
SUMIFS(Calc_NetworkV_1[Citipower],Calc_NetworkV_1[[Customer type]:[Customer type]],OP_Rates!$E56,Calc_NetworkV_1[[Cost item]:[Cost item]],OP_Rates!$C56))*(1+Calc_ROM_1[Citipower]))*(1+GST),8),0,1))</f>
        <v>-</v>
      </c>
      <c r="I56" s="93" t="str" cm="1">
        <f t="array" ref="I56">IF(I21="-","-",
IF(ROUND(I21,8)=ROUND(
((SUMIFS(Calc_Variable_1[Jemena],Calc_Variable_1[[Customer type]:[Customer type]],"All")+
SUMIFS(Calc_Variable_1[Jemena],Calc_Variable_1[[Customer type]:[Customer type]],OP_Rates!$E56)+
SUMIFS(Calc_NetworkV_1[Jemena],Calc_NetworkV_1[[Customer type]:[Customer type]],OP_Rates!$E56,Calc_NetworkV_1[[Cost item]:[Cost item]],OP_Rates!$C56))*(1+Calc_ROM_1[Jemena]))*(1+GST),8),0,1))</f>
        <v>-</v>
      </c>
      <c r="J56" s="93" t="str" cm="1">
        <f t="array" ref="J56">IF(J21="-","-",
IF(ROUND(J21,8)=ROUND(
((SUMIFS(Calc_Variable_1[Powercor],Calc_Variable_1[[Customer type]:[Customer type]],"All")+
SUMIFS(Calc_Variable_1[Powercor],Calc_Variable_1[[Customer type]:[Customer type]],OP_Rates!$E56)+
SUMIFS(Calc_NetworkV_1[Powercor],Calc_NetworkV_1[[Customer type]:[Customer type]],OP_Rates!$E56,Calc_NetworkV_1[[Cost item]:[Cost item]],OP_Rates!$C56))*(1+Calc_ROM_1[Powercor]))*(1+GST),8),0,1))</f>
        <v>-</v>
      </c>
      <c r="K56" s="93" t="str" cm="1">
        <f t="array" ref="K56">IF(K21="-","-",
IF(ROUND(K21,8)=ROUND(
((SUMIFS(Calc_Variable_1[United Energy],Calc_Variable_1[[Customer type]:[Customer type]],"All")+
SUMIFS(Calc_Variable_1[United Energy],Calc_Variable_1[[Customer type]:[Customer type]],OP_Rates!$E56)+
SUMIFS(Calc_NetworkV_1[United Energy],Calc_NetworkV_1[[Customer type]:[Customer type]],OP_Rates!$E56,Calc_NetworkV_1[[Cost item]:[Cost item]],OP_Rates!$C56))*(1+Calc_ROM_1[United Energy]))*(1+GST),8),0,1))</f>
        <v>-</v>
      </c>
      <c r="M56" s="23" t="s">
        <v>221</v>
      </c>
      <c r="N56" s="23" t="s">
        <v>282</v>
      </c>
      <c r="O56" s="23" t="s">
        <v>93</v>
      </c>
      <c r="Q56" s="93" cm="1">
        <f t="array" ref="Q56">IF(Q21="-","-",
IF(ROUND(Q21,8)=ROUND(
((SUMIFS(Calc_Variable_1[Ausnet],Calc_Variable_1[[Customer type]:[Customer type]],"All")+
SUMIFS(Calc_Variable_1[Ausnet],Calc_Variable_1[[Customer type]:[Customer type]],OP_Rates!$O56)+
SUMIFS(Calc_NetworkV_1[Ausnet],Calc_NetworkV_1[[Customer type]:[Customer type]],OP_Rates!$O56,Calc_NetworkV_1[[Cost item]:[Cost item]],OP_Rates!$M56))*(1+Calc_ROM_1[Ausnet]))*(1+GST),8),0,1))</f>
        <v>0</v>
      </c>
      <c r="R56" s="93" t="str" cm="1">
        <f t="array" ref="R56">IF(R21="-","-",
IF(ROUND(R21,8)=ROUND(
((SUMIFS(Calc_Variable_1[Citipower],Calc_Variable_1[[Customer type]:[Customer type]],"All")+
SUMIFS(Calc_Variable_1[Citipower],Calc_Variable_1[[Customer type]:[Customer type]],OP_Rates!$O56)+
SUMIFS(Calc_NetworkV_1[Citipower],Calc_NetworkV_1[[Customer type]:[Customer type]],OP_Rates!$O56,Calc_NetworkV_1[[Cost item]:[Cost item]],OP_Rates!$M56))*(1+Calc_ROM_1[Citipower]))*(1+GST),8),0,1))</f>
        <v>-</v>
      </c>
      <c r="S56" s="93" t="str" cm="1">
        <f t="array" ref="S56">IF(S21="-","-",
IF(ROUND(S21,8)=ROUND(
((SUMIFS(Calc_Variable_1[Jemena],Calc_Variable_1[[Customer type]:[Customer type]],"All")+
SUMIFS(Calc_Variable_1[Jemena],Calc_Variable_1[[Customer type]:[Customer type]],OP_Rates!$O56)+
SUMIFS(Calc_NetworkV_1[Jemena],Calc_NetworkV_1[[Customer type]:[Customer type]],OP_Rates!$O56,Calc_NetworkV_1[[Cost item]:[Cost item]],OP_Rates!$M56))*(1+Calc_ROM_1[Jemena]))*(1+GST),8),0,1))</f>
        <v>-</v>
      </c>
      <c r="T56" s="93" t="str" cm="1">
        <f t="array" ref="T56">IF(T21="-","-",
IF(ROUND(T21,8)=ROUND(
((SUMIFS(Calc_Variable_1[Powercor],Calc_Variable_1[[Customer type]:[Customer type]],"All")+
SUMIFS(Calc_Variable_1[Powercor],Calc_Variable_1[[Customer type]:[Customer type]],OP_Rates!$O56)+
SUMIFS(Calc_NetworkV_1[Powercor],Calc_NetworkV_1[[Customer type]:[Customer type]],OP_Rates!$O56,Calc_NetworkV_1[[Cost item]:[Cost item]],OP_Rates!$M56))*(1+Calc_ROM_1[Powercor]))*(1+GST),8),0,1))</f>
        <v>-</v>
      </c>
      <c r="U56" s="93" t="str" cm="1">
        <f t="array" ref="U56">IF(U21="-","-",
IF(ROUND(U21,8)=ROUND(
((SUMIFS(Calc_Variable_1[United Energy],Calc_Variable_1[[Customer type]:[Customer type]],"All")+
SUMIFS(Calc_Variable_1[United Energy],Calc_Variable_1[[Customer type]:[Customer type]],OP_Rates!$O56)+
SUMIFS(Calc_NetworkV_1[United Energy],Calc_NetworkV_1[[Customer type]:[Customer type]],OP_Rates!$O56,Calc_NetworkV_1[[Cost item]:[Cost item]],OP_Rates!$M56))*(1+Calc_ROM_1[United Energy]))*(1+GST),8),0,1))</f>
        <v>-</v>
      </c>
    </row>
    <row r="57" spans="3:21" ht="15.75" hidden="1" outlineLevel="2" x14ac:dyDescent="0.25">
      <c r="C57" s="23" t="s">
        <v>228</v>
      </c>
      <c r="D57" s="23" t="s">
        <v>282</v>
      </c>
      <c r="E57" s="23" t="s">
        <v>92</v>
      </c>
      <c r="G57" s="93" cm="1">
        <f t="array" ref="G57">IF(G22="-","-",
IF(ROUND(G22,8)=ROUND(
((SUMIFS(Calc_Variable_1[Ausnet],Calc_Variable_1[[Customer type]:[Customer type]],"All")+
SUMIFS(Calc_Variable_1[Ausnet],Calc_Variable_1[[Customer type]:[Customer type]],OP_Rates!$E57)+
SUMIFS(Calc_NetworkV_1[Ausnet],Calc_NetworkV_1[[Customer type]:[Customer type]],OP_Rates!$E57,Calc_NetworkV_1[[Cost item]:[Cost item]],OP_Rates!$C57))*(1+Calc_ROM_1[Ausnet]))*(1+GST),8),0,1))</f>
        <v>0</v>
      </c>
      <c r="H57" s="93" t="str" cm="1">
        <f t="array" ref="H57">IF(H22="-","-",
IF(ROUND(H22,8)=ROUND(
((SUMIFS(Calc_Variable_1[Citipower],Calc_Variable_1[[Customer type]:[Customer type]],"All")+
SUMIFS(Calc_Variable_1[Citipower],Calc_Variable_1[[Customer type]:[Customer type]],OP_Rates!$E57)+
SUMIFS(Calc_NetworkV_1[Citipower],Calc_NetworkV_1[[Customer type]:[Customer type]],OP_Rates!$E57,Calc_NetworkV_1[[Cost item]:[Cost item]],OP_Rates!$C57))*(1+Calc_ROM_1[Citipower]))*(1+GST),8),0,1))</f>
        <v>-</v>
      </c>
      <c r="I57" s="93" t="str" cm="1">
        <f t="array" ref="I57">IF(I22="-","-",
IF(ROUND(I22,8)=ROUND(
((SUMIFS(Calc_Variable_1[Jemena],Calc_Variable_1[[Customer type]:[Customer type]],"All")+
SUMIFS(Calc_Variable_1[Jemena],Calc_Variable_1[[Customer type]:[Customer type]],OP_Rates!$E57)+
SUMIFS(Calc_NetworkV_1[Jemena],Calc_NetworkV_1[[Customer type]:[Customer type]],OP_Rates!$E57,Calc_NetworkV_1[[Cost item]:[Cost item]],OP_Rates!$C57))*(1+Calc_ROM_1[Jemena]))*(1+GST),8),0,1))</f>
        <v>-</v>
      </c>
      <c r="J57" s="93" t="str" cm="1">
        <f t="array" ref="J57">IF(J22="-","-",
IF(ROUND(J22,8)=ROUND(
((SUMIFS(Calc_Variable_1[Powercor],Calc_Variable_1[[Customer type]:[Customer type]],"All")+
SUMIFS(Calc_Variable_1[Powercor],Calc_Variable_1[[Customer type]:[Customer type]],OP_Rates!$E57)+
SUMIFS(Calc_NetworkV_1[Powercor],Calc_NetworkV_1[[Customer type]:[Customer type]],OP_Rates!$E57,Calc_NetworkV_1[[Cost item]:[Cost item]],OP_Rates!$C57))*(1+Calc_ROM_1[Powercor]))*(1+GST),8),0,1))</f>
        <v>-</v>
      </c>
      <c r="K57" s="93" t="str" cm="1">
        <f t="array" ref="K57">IF(K22="-","-",
IF(ROUND(K22,8)=ROUND(
((SUMIFS(Calc_Variable_1[United Energy],Calc_Variable_1[[Customer type]:[Customer type]],"All")+
SUMIFS(Calc_Variable_1[United Energy],Calc_Variable_1[[Customer type]:[Customer type]],OP_Rates!$E57)+
SUMIFS(Calc_NetworkV_1[United Energy],Calc_NetworkV_1[[Customer type]:[Customer type]],OP_Rates!$E57,Calc_NetworkV_1[[Cost item]:[Cost item]],OP_Rates!$C57))*(1+Calc_ROM_1[United Energy]))*(1+GST),8),0,1))</f>
        <v>-</v>
      </c>
      <c r="M57" s="23" t="s">
        <v>228</v>
      </c>
      <c r="N57" s="23" t="s">
        <v>282</v>
      </c>
      <c r="O57" s="23" t="s">
        <v>93</v>
      </c>
      <c r="Q57" s="93" cm="1">
        <f t="array" ref="Q57">IF(Q22="-","-",
IF(ROUND(Q22,8)=ROUND(
((SUMIFS(Calc_Variable_1[Ausnet],Calc_Variable_1[[Customer type]:[Customer type]],"All")+
SUMIFS(Calc_Variable_1[Ausnet],Calc_Variable_1[[Customer type]:[Customer type]],OP_Rates!$O57)+
SUMIFS(Calc_NetworkV_1[Ausnet],Calc_NetworkV_1[[Customer type]:[Customer type]],OP_Rates!$O57,Calc_NetworkV_1[[Cost item]:[Cost item]],OP_Rates!$M57))*(1+Calc_ROM_1[Ausnet]))*(1+GST),8),0,1))</f>
        <v>0</v>
      </c>
      <c r="R57" s="93" t="str" cm="1">
        <f t="array" ref="R57">IF(R22="-","-",
IF(ROUND(R22,8)=ROUND(
((SUMIFS(Calc_Variable_1[Citipower],Calc_Variable_1[[Customer type]:[Customer type]],"All")+
SUMIFS(Calc_Variable_1[Citipower],Calc_Variable_1[[Customer type]:[Customer type]],OP_Rates!$O57)+
SUMIFS(Calc_NetworkV_1[Citipower],Calc_NetworkV_1[[Customer type]:[Customer type]],OP_Rates!$O57,Calc_NetworkV_1[[Cost item]:[Cost item]],OP_Rates!$M57))*(1+Calc_ROM_1[Citipower]))*(1+GST),8),0,1))</f>
        <v>-</v>
      </c>
      <c r="S57" s="93" t="str" cm="1">
        <f t="array" ref="S57">IF(S22="-","-",
IF(ROUND(S22,8)=ROUND(
((SUMIFS(Calc_Variable_1[Jemena],Calc_Variable_1[[Customer type]:[Customer type]],"All")+
SUMIFS(Calc_Variable_1[Jemena],Calc_Variable_1[[Customer type]:[Customer type]],OP_Rates!$O57)+
SUMIFS(Calc_NetworkV_1[Jemena],Calc_NetworkV_1[[Customer type]:[Customer type]],OP_Rates!$O57,Calc_NetworkV_1[[Cost item]:[Cost item]],OP_Rates!$M57))*(1+Calc_ROM_1[Jemena]))*(1+GST),8),0,1))</f>
        <v>-</v>
      </c>
      <c r="T57" s="93" t="str" cm="1">
        <f t="array" ref="T57">IF(T22="-","-",
IF(ROUND(T22,8)=ROUND(
((SUMIFS(Calc_Variable_1[Powercor],Calc_Variable_1[[Customer type]:[Customer type]],"All")+
SUMIFS(Calc_Variable_1[Powercor],Calc_Variable_1[[Customer type]:[Customer type]],OP_Rates!$O57)+
SUMIFS(Calc_NetworkV_1[Powercor],Calc_NetworkV_1[[Customer type]:[Customer type]],OP_Rates!$O57,Calc_NetworkV_1[[Cost item]:[Cost item]],OP_Rates!$M57))*(1+Calc_ROM_1[Powercor]))*(1+GST),8),0,1))</f>
        <v>-</v>
      </c>
      <c r="U57" s="93" t="str" cm="1">
        <f t="array" ref="U57">IF(U22="-","-",
IF(ROUND(U22,8)=ROUND(
((SUMIFS(Calc_Variable_1[United Energy],Calc_Variable_1[[Customer type]:[Customer type]],"All")+
SUMIFS(Calc_Variable_1[United Energy],Calc_Variable_1[[Customer type]:[Customer type]],OP_Rates!$O57)+
SUMIFS(Calc_NetworkV_1[United Energy],Calc_NetworkV_1[[Customer type]:[Customer type]],OP_Rates!$O57,Calc_NetworkV_1[[Cost item]:[Cost item]],OP_Rates!$M57))*(1+Calc_ROM_1[United Energy]))*(1+GST),8),0,1))</f>
        <v>-</v>
      </c>
    </row>
    <row r="58" spans="3:21" ht="15.75" hidden="1" outlineLevel="2" x14ac:dyDescent="0.25">
      <c r="C58" s="23" t="s">
        <v>549</v>
      </c>
      <c r="D58" s="23" t="s">
        <v>282</v>
      </c>
      <c r="E58" s="23" t="s">
        <v>92</v>
      </c>
      <c r="G58" s="93" t="str" cm="1">
        <f t="array" ref="G58">IF(G23="-","-",
IF(ROUND(G23,8)=ROUND(
((SUMIFS(Calc_Variable_1[Ausnet],Calc_Variable_1[[Customer type]:[Customer type]],"All")+
SUMIFS(Calc_Variable_1[Ausnet],Calc_Variable_1[[Customer type]:[Customer type]],OP_Rates!$E58)+
SUMIFS(Calc_NetworkV_1[Ausnet],Calc_NetworkV_1[[Customer type]:[Customer type]],OP_Rates!$E58,Calc_NetworkV_1[[Cost item]:[Cost item]],OP_Rates!$C58))*(1+Calc_ROM_1[Ausnet]))*(1+GST),8),0,1))</f>
        <v>-</v>
      </c>
      <c r="H58" s="93" cm="1">
        <f t="array" ref="H58">IF(H23="-","-",
IF(ROUND(H23,8)=ROUND(
((SUMIFS(Calc_Variable_1[Citipower],Calc_Variable_1[[Customer type]:[Customer type]],"All")+
SUMIFS(Calc_Variable_1[Citipower],Calc_Variable_1[[Customer type]:[Customer type]],OP_Rates!$E58)+
SUMIFS(Calc_NetworkV_1[Citipower],Calc_NetworkV_1[[Customer type]:[Customer type]],OP_Rates!$E58,Calc_NetworkV_1[[Cost item]:[Cost item]],OP_Rates!$C58))*(1+Calc_ROM_1[Citipower]))*(1+GST),8),0,1))</f>
        <v>0</v>
      </c>
      <c r="I58" s="93" cm="1">
        <f t="array" ref="I58">IF(I23="-","-",
IF(ROUND(I23,8)=ROUND(
((SUMIFS(Calc_Variable_1[Jemena],Calc_Variable_1[[Customer type]:[Customer type]],"All")+
SUMIFS(Calc_Variable_1[Jemena],Calc_Variable_1[[Customer type]:[Customer type]],OP_Rates!$E58)+
SUMIFS(Calc_NetworkV_1[Jemena],Calc_NetworkV_1[[Customer type]:[Customer type]],OP_Rates!$E58,Calc_NetworkV_1[[Cost item]:[Cost item]],OP_Rates!$C58))*(1+Calc_ROM_1[Jemena]))*(1+GST),8),0,1))</f>
        <v>0</v>
      </c>
      <c r="J58" s="93" cm="1">
        <f t="array" ref="J58">IF(J23="-","-",
IF(ROUND(J23,8)=ROUND(
((SUMIFS(Calc_Variable_1[Powercor],Calc_Variable_1[[Customer type]:[Customer type]],"All")+
SUMIFS(Calc_Variable_1[Powercor],Calc_Variable_1[[Customer type]:[Customer type]],OP_Rates!$E58)+
SUMIFS(Calc_NetworkV_1[Powercor],Calc_NetworkV_1[[Customer type]:[Customer type]],OP_Rates!$E58,Calc_NetworkV_1[[Cost item]:[Cost item]],OP_Rates!$C58))*(1+Calc_ROM_1[Powercor]))*(1+GST),8),0,1))</f>
        <v>0</v>
      </c>
      <c r="K58" s="93" cm="1">
        <f t="array" ref="K58">IF(K23="-","-",
IF(ROUND(K23,8)=ROUND(
((SUMIFS(Calc_Variable_1[United Energy],Calc_Variable_1[[Customer type]:[Customer type]],"All")+
SUMIFS(Calc_Variable_1[United Energy],Calc_Variable_1[[Customer type]:[Customer type]],OP_Rates!$E58)+
SUMIFS(Calc_NetworkV_1[United Energy],Calc_NetworkV_1[[Customer type]:[Customer type]],OP_Rates!$E58,Calc_NetworkV_1[[Cost item]:[Cost item]],OP_Rates!$C58))*(1+Calc_ROM_1[United Energy]))*(1+GST),8),0,1))</f>
        <v>0</v>
      </c>
      <c r="M58" s="23" t="s">
        <v>549</v>
      </c>
      <c r="N58" s="23" t="s">
        <v>282</v>
      </c>
      <c r="O58" s="23" t="s">
        <v>93</v>
      </c>
      <c r="Q58" s="93" t="str" cm="1">
        <f t="array" ref="Q58">IF(Q23="-","-",
IF(ROUND(Q23,8)=ROUND(
((SUMIFS(Calc_Variable_1[Ausnet],Calc_Variable_1[[Customer type]:[Customer type]],"All")+
SUMIFS(Calc_Variable_1[Ausnet],Calc_Variable_1[[Customer type]:[Customer type]],OP_Rates!$O58)+
SUMIFS(Calc_NetworkV_1[Ausnet],Calc_NetworkV_1[[Customer type]:[Customer type]],OP_Rates!$O58,Calc_NetworkV_1[[Cost item]:[Cost item]],OP_Rates!$M58))*(1+Calc_ROM_1[Ausnet]))*(1+GST),8),0,1))</f>
        <v>-</v>
      </c>
      <c r="R58" s="93" cm="1">
        <f t="array" ref="R58">IF(R23="-","-",
IF(ROUND(R23,8)=ROUND(
((SUMIFS(Calc_Variable_1[Citipower],Calc_Variable_1[[Customer type]:[Customer type]],"All")+
SUMIFS(Calc_Variable_1[Citipower],Calc_Variable_1[[Customer type]:[Customer type]],OP_Rates!$O58)+
SUMIFS(Calc_NetworkV_1[Citipower],Calc_NetworkV_1[[Customer type]:[Customer type]],OP_Rates!$O58,Calc_NetworkV_1[[Cost item]:[Cost item]],OP_Rates!$M58))*(1+Calc_ROM_1[Citipower]))*(1+GST),8),0,1))</f>
        <v>0</v>
      </c>
      <c r="S58" s="93" cm="1">
        <f t="array" ref="S58">IF(S23="-","-",
IF(ROUND(S23,8)=ROUND(
((SUMIFS(Calc_Variable_1[Jemena],Calc_Variable_1[[Customer type]:[Customer type]],"All")+
SUMIFS(Calc_Variable_1[Jemena],Calc_Variable_1[[Customer type]:[Customer type]],OP_Rates!$O58)+
SUMIFS(Calc_NetworkV_1[Jemena],Calc_NetworkV_1[[Customer type]:[Customer type]],OP_Rates!$O58,Calc_NetworkV_1[[Cost item]:[Cost item]],OP_Rates!$M58))*(1+Calc_ROM_1[Jemena]))*(1+GST),8),0,1))</f>
        <v>0</v>
      </c>
      <c r="T58" s="93" cm="1">
        <f t="array" ref="T58">IF(T23="-","-",
IF(ROUND(T23,8)=ROUND(
((SUMIFS(Calc_Variable_1[Powercor],Calc_Variable_1[[Customer type]:[Customer type]],"All")+
SUMIFS(Calc_Variable_1[Powercor],Calc_Variable_1[[Customer type]:[Customer type]],OP_Rates!$O58)+
SUMIFS(Calc_NetworkV_1[Powercor],Calc_NetworkV_1[[Customer type]:[Customer type]],OP_Rates!$O58,Calc_NetworkV_1[[Cost item]:[Cost item]],OP_Rates!$M58))*(1+Calc_ROM_1[Powercor]))*(1+GST),8),0,1))</f>
        <v>0</v>
      </c>
      <c r="U58" s="93" cm="1">
        <f t="array" ref="U58">IF(U23="-","-",
IF(ROUND(U23,8)=ROUND(
((SUMIFS(Calc_Variable_1[United Energy],Calc_Variable_1[[Customer type]:[Customer type]],"All")+
SUMIFS(Calc_Variable_1[United Energy],Calc_Variable_1[[Customer type]:[Customer type]],OP_Rates!$O58)+
SUMIFS(Calc_NetworkV_1[United Energy],Calc_NetworkV_1[[Customer type]:[Customer type]],OP_Rates!$O58,Calc_NetworkV_1[[Cost item]:[Cost item]],OP_Rates!$M58))*(1+Calc_ROM_1[United Energy]))*(1+GST),8),0,1))</f>
        <v>0</v>
      </c>
    </row>
    <row r="59" spans="3:21" ht="15.75" hidden="1" outlineLevel="2" x14ac:dyDescent="0.25">
      <c r="C59" s="23" t="s">
        <v>551</v>
      </c>
      <c r="D59" s="23" t="s">
        <v>109</v>
      </c>
      <c r="E59" s="23" t="s">
        <v>92</v>
      </c>
      <c r="G59" s="93" cm="1">
        <f t="array" ref="G59">IF(G24="-","-",
IF(ROUND(G24,8)=
ROUND((((SUMIFS(Calc_NetworkF_1[Ausnet],Calc_NetworkF_1[[Cost item]:[Cost item]],$C59,Calc_NetworkF_1[[Customer type]:[Customer type]],$E59)+SUMIFS(Calc_Fixed_1[Ausnet],Calc_Fixed_1[[Customer type]:[Customer type]],"All")+SUMIFS(Calc_Fixed_1[Ausnet],Calc_Fixed_1[[Customer type]:[Customer type]],$E59))/DiY)*(1+Calc_ROM_1[Ausnet]))*(1+GST),8),0,1))</f>
        <v>0</v>
      </c>
      <c r="H59" s="93" cm="1">
        <f t="array" ref="H59">IF(H24="-","-",
IF(ROUND(H24,8)=
ROUND((((SUMIFS(Calc_NetworkF_1[Citipower],Calc_NetworkF_1[[Cost item]:[Cost item]],$C59,Calc_NetworkF_1[[Customer type]:[Customer type]],$E59)+SUMIFS(Calc_Fixed_1[Citipower],Calc_Fixed_1[[Customer type]:[Customer type]],"All")+SUMIFS(Calc_Fixed_1[Citipower],Calc_Fixed_1[[Customer type]:[Customer type]],$E59))/DiY)*(1+Calc_ROM_1[Citipower]))*(1+GST),8),0,1))</f>
        <v>0</v>
      </c>
      <c r="I59" s="93" cm="1">
        <f t="array" ref="I59">IF(I24="-","-",
IF(ROUND(I24,8)=
ROUND((((SUMIFS(Calc_NetworkF_1[Jemena],Calc_NetworkF_1[[Cost item]:[Cost item]],$C59,Calc_NetworkF_1[[Customer type]:[Customer type]],$E59)+SUMIFS(Calc_Fixed_1[Jemena],Calc_Fixed_1[[Customer type]:[Customer type]],"All")+SUMIFS(Calc_Fixed_1[Jemena],Calc_Fixed_1[[Customer type]:[Customer type]],$E59))/DiY)*(1+Calc_ROM_1[Jemena]))*(1+GST),8),0,1))</f>
        <v>0</v>
      </c>
      <c r="J59" s="93" cm="1">
        <f t="array" ref="J59">IF(J24="-","-",
IF(ROUND(J24,8)=
ROUND((((SUMIFS(Calc_NetworkF_1[Powercor],Calc_NetworkF_1[[Cost item]:[Cost item]],$C59,Calc_NetworkF_1[[Customer type]:[Customer type]],$E59)+SUMIFS(Calc_Fixed_1[Powercor],Calc_Fixed_1[[Customer type]:[Customer type]],"All")+SUMIFS(Calc_Fixed_1[Powercor],Calc_Fixed_1[[Customer type]:[Customer type]],$E59))/DiY)*(1+Calc_ROM_1[Powercor]))*(1+GST),8),0,1))</f>
        <v>0</v>
      </c>
      <c r="K59" s="93" cm="1">
        <f t="array" ref="K59">IF(K24="-","-",
IF(ROUND(K24,8)=
ROUND((((SUMIFS(Calc_NetworkF_1[United Energy],Calc_NetworkF_1[[Cost item]:[Cost item]],$C59,Calc_NetworkF_1[[Customer type]:[Customer type]],$E59)+SUMIFS(Calc_Fixed_1[United Energy],Calc_Fixed_1[[Customer type]:[Customer type]],"All")+SUMIFS(Calc_Fixed_1[United Energy],Calc_Fixed_1[[Customer type]:[Customer type]],$E59))/DiY)*(1+Calc_ROM_1[United Energy]))*(1+GST),8),0,1))</f>
        <v>0</v>
      </c>
      <c r="M59" s="23" t="s">
        <v>551</v>
      </c>
      <c r="N59" s="23" t="s">
        <v>109</v>
      </c>
      <c r="O59" s="23" t="s">
        <v>93</v>
      </c>
      <c r="Q59" s="93" cm="1">
        <f t="array" ref="Q59">IF(Q24="-","-",
IF(ROUND(Q24,8)=
ROUND((((SUMIFS(Calc_NetworkF_1[Ausnet],Calc_NetworkF_1[[Cost item]:[Cost item]],$M59,Calc_NetworkF_1[[Customer type]:[Customer type]],$O59)+SUMIFS(Calc_Fixed_1[Ausnet],Calc_Fixed_1[[Customer type]:[Customer type]],"All")+SUMIFS(Calc_Fixed_1[Ausnet],Calc_Fixed_1[[Customer type]:[Customer type]],$O59))/DiY)*(1+Calc_ROM_1[Ausnet]))*(1+GST),8),0,1))</f>
        <v>0</v>
      </c>
      <c r="R59" s="93" cm="1">
        <f t="array" ref="R59">IF(R24="-","-",
IF(ROUND(R24,8)=
ROUND((((SUMIFS(Calc_NetworkF_1[Citipower],Calc_NetworkF_1[[Cost item]:[Cost item]],$M59,Calc_NetworkF_1[[Customer type]:[Customer type]],$O59)+SUMIFS(Calc_Fixed_1[Citipower],Calc_Fixed_1[[Customer type]:[Customer type]],"All")+SUMIFS(Calc_Fixed_1[Citipower],Calc_Fixed_1[[Customer type]:[Customer type]],$O59))/DiY)*(1+Calc_ROM_1[Citipower]))*(1+GST),8),0,1))</f>
        <v>0</v>
      </c>
      <c r="S59" s="93" cm="1">
        <f t="array" ref="S59">IF(S24="-","-",
IF(ROUND(S24,8)=
ROUND((((SUMIFS(Calc_NetworkF_1[Jemena],Calc_NetworkF_1[[Cost item]:[Cost item]],$M59,Calc_NetworkF_1[[Customer type]:[Customer type]],$O59)+SUMIFS(Calc_Fixed_1[Jemena],Calc_Fixed_1[[Customer type]:[Customer type]],"All")+SUMIFS(Calc_Fixed_1[Jemena],Calc_Fixed_1[[Customer type]:[Customer type]],$O59))/DiY)*(1+Calc_ROM_1[Jemena]))*(1+GST),8),0,1))</f>
        <v>0</v>
      </c>
      <c r="T59" s="93" cm="1">
        <f t="array" ref="T59">IF(T24="-","-",
IF(ROUND(T24,8)=
ROUND((((SUMIFS(Calc_NetworkF_1[Powercor],Calc_NetworkF_1[[Cost item]:[Cost item]],$M59,Calc_NetworkF_1[[Customer type]:[Customer type]],$O59)+SUMIFS(Calc_Fixed_1[Powercor],Calc_Fixed_1[[Customer type]:[Customer type]],"All")+SUMIFS(Calc_Fixed_1[Powercor],Calc_Fixed_1[[Customer type]:[Customer type]],$O59))/DiY)*(1+Calc_ROM_1[Powercor]))*(1+GST),8),0,1))</f>
        <v>0</v>
      </c>
      <c r="U59" s="93" cm="1">
        <f t="array" ref="U59">IF(U24="-","-",
IF(ROUND(U24,8)=
ROUND((((SUMIFS(Calc_NetworkF_1[United Energy],Calc_NetworkF_1[[Cost item]:[Cost item]],$M59,Calc_NetworkF_1[[Customer type]:[Customer type]],$O59)+SUMIFS(Calc_Fixed_1[United Energy],Calc_Fixed_1[[Customer type]:[Customer type]],"All")+SUMIFS(Calc_Fixed_1[United Energy],Calc_Fixed_1[[Customer type]:[Customer type]],$O59))/DiY)*(1+Calc_ROM_1[United Energy]))*(1+GST),8),0,1))</f>
        <v>0</v>
      </c>
    </row>
    <row r="60" spans="3:21" ht="15.75" hidden="1" outlineLevel="2" x14ac:dyDescent="0.25">
      <c r="C60" s="23" t="s">
        <v>230</v>
      </c>
      <c r="D60" s="23" t="s">
        <v>282</v>
      </c>
      <c r="E60" s="23" t="s">
        <v>92</v>
      </c>
      <c r="G60" s="93" cm="1">
        <f t="array" ref="G60">IF(G25="-","-",
IF(ROUND(G25,8)=ROUND(
((SUMIFS(Calc_Variable_1[Ausnet],Calc_Variable_1[[Customer type]:[Customer type]],"All")+
SUMIFS(Calc_Variable_1[Ausnet],Calc_Variable_1[[Customer type]:[Customer type]],OP_Rates!$E60)+
SUMIFS(Calc_NetworkV_1[Ausnet],Calc_NetworkV_1[[Customer type]:[Customer type]],OP_Rates!$E60,Calc_NetworkV_1[[Cost item]:[Cost item]],OP_Rates!$C60))*(1+Calc_ROM_1[Ausnet]))*(1+GST),8),0,1))</f>
        <v>0</v>
      </c>
      <c r="H60" s="93" cm="1">
        <f t="array" ref="H60">IF(H25="-","-",
IF(ROUND(H25,8)=ROUND(
((SUMIFS(Calc_Variable_1[Citipower],Calc_Variable_1[[Customer type]:[Customer type]],"All")+
SUMIFS(Calc_Variable_1[Citipower],Calc_Variable_1[[Customer type]:[Customer type]],OP_Rates!$E60)+
SUMIFS(Calc_NetworkV_1[Citipower],Calc_NetworkV_1[[Customer type]:[Customer type]],OP_Rates!$E60,Calc_NetworkV_1[[Cost item]:[Cost item]],OP_Rates!$C60))*(1+Calc_ROM_1[Citipower]))*(1+GST),8),0,1))</f>
        <v>0</v>
      </c>
      <c r="I60" s="93" cm="1">
        <f t="array" ref="I60">IF(I25="-","-",
IF(ROUND(I25,8)=ROUND(
((SUMIFS(Calc_Variable_1[Jemena],Calc_Variable_1[[Customer type]:[Customer type]],"All")+
SUMIFS(Calc_Variable_1[Jemena],Calc_Variable_1[[Customer type]:[Customer type]],OP_Rates!$E60)+
SUMIFS(Calc_NetworkV_1[Jemena],Calc_NetworkV_1[[Customer type]:[Customer type]],OP_Rates!$E60,Calc_NetworkV_1[[Cost item]:[Cost item]],OP_Rates!$C60))*(1+Calc_ROM_1[Jemena]))*(1+GST),8),0,1))</f>
        <v>0</v>
      </c>
      <c r="J60" s="93" cm="1">
        <f t="array" ref="J60">IF(J25="-","-",
IF(ROUND(J25,8)=ROUND(
((SUMIFS(Calc_Variable_1[Powercor],Calc_Variable_1[[Customer type]:[Customer type]],"All")+
SUMIFS(Calc_Variable_1[Powercor],Calc_Variable_1[[Customer type]:[Customer type]],OP_Rates!$E60)+
SUMIFS(Calc_NetworkV_1[Powercor],Calc_NetworkV_1[[Customer type]:[Customer type]],OP_Rates!$E60,Calc_NetworkV_1[[Cost item]:[Cost item]],OP_Rates!$C60))*(1+Calc_ROM_1[Powercor]))*(1+GST),8),0,1))</f>
        <v>0</v>
      </c>
      <c r="K60" s="93" cm="1">
        <f t="array" ref="K60">IF(K25="-","-",
IF(ROUND(K25,8)=ROUND(
((SUMIFS(Calc_Variable_1[United Energy],Calc_Variable_1[[Customer type]:[Customer type]],"All")+
SUMIFS(Calc_Variable_1[United Energy],Calc_Variable_1[[Customer type]:[Customer type]],OP_Rates!$E60)+
SUMIFS(Calc_NetworkV_1[United Energy],Calc_NetworkV_1[[Customer type]:[Customer type]],OP_Rates!$E60,Calc_NetworkV_1[[Cost item]:[Cost item]],OP_Rates!$C60))*(1+Calc_ROM_1[United Energy]))*(1+GST),8),0,1))</f>
        <v>0</v>
      </c>
      <c r="M60" s="23" t="s">
        <v>230</v>
      </c>
      <c r="N60" s="23" t="s">
        <v>282</v>
      </c>
      <c r="O60" s="23" t="s">
        <v>93</v>
      </c>
      <c r="Q60" s="93" cm="1">
        <f t="array" ref="Q60">IF(Q25="-","-",
IF(ROUND(Q25,8)=ROUND(
((SUMIFS(Calc_Variable_1[Ausnet],Calc_Variable_1[[Customer type]:[Customer type]],"All")+
SUMIFS(Calc_Variable_1[Ausnet],Calc_Variable_1[[Customer type]:[Customer type]],OP_Rates!$O60)+
SUMIFS(Calc_NetworkV_1[Ausnet],Calc_NetworkV_1[[Customer type]:[Customer type]],OP_Rates!$O60,Calc_NetworkV_1[[Cost item]:[Cost item]],OP_Rates!$M60))*(1+Calc_ROM_1[Ausnet]))*(1+GST),8),0,1))</f>
        <v>0</v>
      </c>
      <c r="R60" s="93" cm="1">
        <f t="array" ref="R60">IF(R25="-","-",
IF(ROUND(R25,8)=ROUND(
((SUMIFS(Calc_Variable_1[Citipower],Calc_Variable_1[[Customer type]:[Customer type]],"All")+
SUMIFS(Calc_Variable_1[Citipower],Calc_Variable_1[[Customer type]:[Customer type]],OP_Rates!$O60)+
SUMIFS(Calc_NetworkV_1[Citipower],Calc_NetworkV_1[[Customer type]:[Customer type]],OP_Rates!$O60,Calc_NetworkV_1[[Cost item]:[Cost item]],OP_Rates!$M60))*(1+Calc_ROM_1[Citipower]))*(1+GST),8),0,1))</f>
        <v>0</v>
      </c>
      <c r="S60" s="93" cm="1">
        <f t="array" ref="S60">IF(S25="-","-",
IF(ROUND(S25,8)=ROUND(
((SUMIFS(Calc_Variable_1[Jemena],Calc_Variable_1[[Customer type]:[Customer type]],"All")+
SUMIFS(Calc_Variable_1[Jemena],Calc_Variable_1[[Customer type]:[Customer type]],OP_Rates!$O60)+
SUMIFS(Calc_NetworkV_1[Jemena],Calc_NetworkV_1[[Customer type]:[Customer type]],OP_Rates!$O60,Calc_NetworkV_1[[Cost item]:[Cost item]],OP_Rates!$M60))*(1+Calc_ROM_1[Jemena]))*(1+GST),8),0,1))</f>
        <v>0</v>
      </c>
      <c r="T60" s="93" cm="1">
        <f t="array" ref="T60">IF(T25="-","-",
IF(ROUND(T25,8)=ROUND(
((SUMIFS(Calc_Variable_1[Powercor],Calc_Variable_1[[Customer type]:[Customer type]],"All")+
SUMIFS(Calc_Variable_1[Powercor],Calc_Variable_1[[Customer type]:[Customer type]],OP_Rates!$O60)+
SUMIFS(Calc_NetworkV_1[Powercor],Calc_NetworkV_1[[Customer type]:[Customer type]],OP_Rates!$O60,Calc_NetworkV_1[[Cost item]:[Cost item]],OP_Rates!$M60))*(1+Calc_ROM_1[Powercor]))*(1+GST),8),0,1))</f>
        <v>0</v>
      </c>
      <c r="U60" s="93" cm="1">
        <f t="array" ref="U60">IF(U25="-","-",
IF(ROUND(U25,8)=ROUND(
((SUMIFS(Calc_Variable_1[United Energy],Calc_Variable_1[[Customer type]:[Customer type]],"All")+
SUMIFS(Calc_Variable_1[United Energy],Calc_Variable_1[[Customer type]:[Customer type]],OP_Rates!$O60)+
SUMIFS(Calc_NetworkV_1[United Energy],Calc_NetworkV_1[[Customer type]:[Customer type]],OP_Rates!$O60,Calc_NetworkV_1[[Cost item]:[Cost item]],OP_Rates!$M60))*(1+Calc_ROM_1[United Energy]))*(1+GST),8),0,1))</f>
        <v>0</v>
      </c>
    </row>
    <row r="61" spans="3:21" ht="15.75" hidden="1" outlineLevel="2" x14ac:dyDescent="0.25">
      <c r="C61" s="23" t="s">
        <v>609</v>
      </c>
      <c r="D61" s="23" t="s">
        <v>282</v>
      </c>
      <c r="E61" s="23" t="s">
        <v>92</v>
      </c>
      <c r="G61" s="93" cm="1">
        <f t="array" ref="G61">IF(G26="-","-",
IF(ROUND(G26,8)=ROUND(
((SUMIFS(Calc_Variable_1[Ausnet],Calc_Variable_1[[Customer type]:[Customer type]],"All")+
SUMIFS(Calc_Variable_1[Ausnet],Calc_Variable_1[[Customer type]:[Customer type]],OP_Rates!$E61)+
SUMIFS(Calc_NetworkV_1[Ausnet],Calc_NetworkV_1[[Customer type]:[Customer type]],OP_Rates!$E61,Calc_NetworkV_1[[Cost item]:[Cost item]],OP_Rates!$C61))*(1+Calc_ROM_1[Ausnet]))*(1+GST),8),0,1))</f>
        <v>0</v>
      </c>
      <c r="H61" s="93" cm="1">
        <f t="array" ref="H61">IF(H26="-","-",
IF(ROUND(H26,8)=ROUND(
((SUMIFS(Calc_Variable_1[Citipower],Calc_Variable_1[[Customer type]:[Customer type]],"All")+
SUMIFS(Calc_Variable_1[Citipower],Calc_Variable_1[[Customer type]:[Customer type]],OP_Rates!$E61)+
SUMIFS(Calc_NetworkV_1[Citipower],Calc_NetworkV_1[[Customer type]:[Customer type]],OP_Rates!$E61,Calc_NetworkV_1[[Cost item]:[Cost item]],OP_Rates!$C61))*(1+Calc_ROM_1[Citipower]))*(1+GST),8),0,1))</f>
        <v>0</v>
      </c>
      <c r="I61" s="93" cm="1">
        <f t="array" ref="I61">IF(I26="-","-",
IF(ROUND(I26,8)=ROUND(
((SUMIFS(Calc_Variable_1[Jemena],Calc_Variable_1[[Customer type]:[Customer type]],"All")+
SUMIFS(Calc_Variable_1[Jemena],Calc_Variable_1[[Customer type]:[Customer type]],OP_Rates!$E61)+
SUMIFS(Calc_NetworkV_1[Jemena],Calc_NetworkV_1[[Customer type]:[Customer type]],OP_Rates!$E61,Calc_NetworkV_1[[Cost item]:[Cost item]],OP_Rates!$C61))*(1+Calc_ROM_1[Jemena]))*(1+GST),8),0,1))</f>
        <v>0</v>
      </c>
      <c r="J61" s="93" cm="1">
        <f t="array" ref="J61">IF(J26="-","-",
IF(ROUND(J26,8)=ROUND(
((SUMIFS(Calc_Variable_1[Powercor],Calc_Variable_1[[Customer type]:[Customer type]],"All")+
SUMIFS(Calc_Variable_1[Powercor],Calc_Variable_1[[Customer type]:[Customer type]],OP_Rates!$E61)+
SUMIFS(Calc_NetworkV_1[Powercor],Calc_NetworkV_1[[Customer type]:[Customer type]],OP_Rates!$E61,Calc_NetworkV_1[[Cost item]:[Cost item]],OP_Rates!$C61))*(1+Calc_ROM_1[Powercor]))*(1+GST),8),0,1))</f>
        <v>0</v>
      </c>
      <c r="K61" s="93" cm="1">
        <f t="array" ref="K61">IF(K26="-","-",
IF(ROUND(K26,8)=ROUND(
((SUMIFS(Calc_Variable_1[United Energy],Calc_Variable_1[[Customer type]:[Customer type]],"All")+
SUMIFS(Calc_Variable_1[United Energy],Calc_Variable_1[[Customer type]:[Customer type]],OP_Rates!$E61)+
SUMIFS(Calc_NetworkV_1[United Energy],Calc_NetworkV_1[[Customer type]:[Customer type]],OP_Rates!$E61,Calc_NetworkV_1[[Cost item]:[Cost item]],OP_Rates!$C61))*(1+Calc_ROM_1[United Energy]))*(1+GST),8),0,1))</f>
        <v>0</v>
      </c>
      <c r="M61" s="23" t="s">
        <v>609</v>
      </c>
      <c r="N61" s="23" t="s">
        <v>282</v>
      </c>
      <c r="O61" s="23" t="s">
        <v>93</v>
      </c>
      <c r="Q61" s="93" cm="1">
        <f t="array" ref="Q61">IF(Q26="-","-",
IF(ROUND(Q26,8)=ROUND(
((SUMIFS(Calc_Variable_1[Ausnet],Calc_Variable_1[[Customer type]:[Customer type]],"All")+
SUMIFS(Calc_Variable_1[Ausnet],Calc_Variable_1[[Customer type]:[Customer type]],OP_Rates!$O61)+
SUMIFS(Calc_NetworkV_1[Ausnet],Calc_NetworkV_1[[Customer type]:[Customer type]],OP_Rates!$O61,Calc_NetworkV_1[[Cost item]:[Cost item]],OP_Rates!$M61))*(1+Calc_ROM_1[Ausnet]))*(1+GST),8),0,1))</f>
        <v>0</v>
      </c>
      <c r="R61" s="93" cm="1">
        <f t="array" ref="R61">IF(R26="-","-",
IF(ROUND(R26,8)=ROUND(
((SUMIFS(Calc_Variable_1[Citipower],Calc_Variable_1[[Customer type]:[Customer type]],"All")+
SUMIFS(Calc_Variable_1[Citipower],Calc_Variable_1[[Customer type]:[Customer type]],OP_Rates!$O61)+
SUMIFS(Calc_NetworkV_1[Citipower],Calc_NetworkV_1[[Customer type]:[Customer type]],OP_Rates!$O61,Calc_NetworkV_1[[Cost item]:[Cost item]],OP_Rates!$M61))*(1+Calc_ROM_1[Citipower]))*(1+GST),8),0,1))</f>
        <v>0</v>
      </c>
      <c r="S61" s="93" cm="1">
        <f t="array" ref="S61">IF(S26="-","-",
IF(ROUND(S26,8)=ROUND(
((SUMIFS(Calc_Variable_1[Jemena],Calc_Variable_1[[Customer type]:[Customer type]],"All")+
SUMIFS(Calc_Variable_1[Jemena],Calc_Variable_1[[Customer type]:[Customer type]],OP_Rates!$O61)+
SUMIFS(Calc_NetworkV_1[Jemena],Calc_NetworkV_1[[Customer type]:[Customer type]],OP_Rates!$O61,Calc_NetworkV_1[[Cost item]:[Cost item]],OP_Rates!$M61))*(1+Calc_ROM_1[Jemena]))*(1+GST),8),0,1))</f>
        <v>0</v>
      </c>
      <c r="T61" s="93" cm="1">
        <f t="array" ref="T61">IF(T26="-","-",
IF(ROUND(T26,8)=ROUND(
((SUMIFS(Calc_Variable_1[Powercor],Calc_Variable_1[[Customer type]:[Customer type]],"All")+
SUMIFS(Calc_Variable_1[Powercor],Calc_Variable_1[[Customer type]:[Customer type]],OP_Rates!$O61)+
SUMIFS(Calc_NetworkV_1[Powercor],Calc_NetworkV_1[[Customer type]:[Customer type]],OP_Rates!$O61,Calc_NetworkV_1[[Cost item]:[Cost item]],OP_Rates!$M61))*(1+Calc_ROM_1[Powercor]))*(1+GST),8),0,1))</f>
        <v>0</v>
      </c>
      <c r="U61" s="93" cm="1">
        <f t="array" ref="U61">IF(U26="-","-",
IF(ROUND(U26,8)=ROUND(
((SUMIFS(Calc_Variable_1[United Energy],Calc_Variable_1[[Customer type]:[Customer type]],"All")+
SUMIFS(Calc_Variable_1[United Energy],Calc_Variable_1[[Customer type]:[Customer type]],OP_Rates!$O61)+
SUMIFS(Calc_NetworkV_1[United Energy],Calc_NetworkV_1[[Customer type]:[Customer type]],OP_Rates!$O61,Calc_NetworkV_1[[Cost item]:[Cost item]],OP_Rates!$M61))*(1+Calc_ROM_1[United Energy]))*(1+GST),8),0,1))</f>
        <v>0</v>
      </c>
    </row>
    <row r="62" spans="3:21" ht="15.75" hidden="1" outlineLevel="2" x14ac:dyDescent="0.25">
      <c r="C62" s="23" t="s">
        <v>287</v>
      </c>
      <c r="D62" s="23" t="s">
        <v>282</v>
      </c>
      <c r="E62" s="23" t="s">
        <v>92</v>
      </c>
      <c r="G62" s="93" cm="1">
        <f t="array" ref="G62">IF(G27="-","-",
IF(ROUND(G27,8)=ROUND(
((SUMIFS(Calc_Variable_1[Ausnet],Calc_Variable_1[[Customer type]:[Customer type]],"All")+
SUMIFS(Calc_Variable_1[Ausnet],Calc_Variable_1[[Customer type]:[Customer type]],OP_Rates!$E62)+
SUMIFS(Calc_NetworkV_1[Ausnet],Calc_NetworkV_1[[Customer type]:[Customer type]],OP_Rates!$E62,Calc_NetworkV_1[[Cost item]:[Cost item]],OP_Rates!$C62))*(1+Calc_ROM_1[Ausnet]))*(1+GST),8),0,1))</f>
        <v>0</v>
      </c>
      <c r="H62" s="93" cm="1">
        <f t="array" ref="H62">IF(H27="-","-",
IF(ROUND(H27,8)=ROUND(
((SUMIFS(Calc_Variable_1[Citipower],Calc_Variable_1[[Customer type]:[Customer type]],"All")+
SUMIFS(Calc_Variable_1[Citipower],Calc_Variable_1[[Customer type]:[Customer type]],OP_Rates!$E62)+
SUMIFS(Calc_NetworkV_1[Citipower],Calc_NetworkV_1[[Customer type]:[Customer type]],OP_Rates!$E62,Calc_NetworkV_1[[Cost item]:[Cost item]],OP_Rates!$C62))*(1+Calc_ROM_1[Citipower]))*(1+GST),8),0,1))</f>
        <v>0</v>
      </c>
      <c r="I62" s="93" cm="1">
        <f t="array" ref="I62">IF(I27="-","-",
IF(ROUND(I27,8)=ROUND(
((SUMIFS(Calc_Variable_1[Jemena],Calc_Variable_1[[Customer type]:[Customer type]],"All")+
SUMIFS(Calc_Variable_1[Jemena],Calc_Variable_1[[Customer type]:[Customer type]],OP_Rates!$E62)+
SUMIFS(Calc_NetworkV_1[Jemena],Calc_NetworkV_1[[Customer type]:[Customer type]],OP_Rates!$E62,Calc_NetworkV_1[[Cost item]:[Cost item]],OP_Rates!$C62))*(1+Calc_ROM_1[Jemena]))*(1+GST),8),0,1))</f>
        <v>0</v>
      </c>
      <c r="J62" s="93" cm="1">
        <f t="array" ref="J62">IF(J27="-","-",
IF(ROUND(J27,8)=ROUND(
((SUMIFS(Calc_Variable_1[Powercor],Calc_Variable_1[[Customer type]:[Customer type]],"All")+
SUMIFS(Calc_Variable_1[Powercor],Calc_Variable_1[[Customer type]:[Customer type]],OP_Rates!$E62)+
SUMIFS(Calc_NetworkV_1[Powercor],Calc_NetworkV_1[[Customer type]:[Customer type]],OP_Rates!$E62,Calc_NetworkV_1[[Cost item]:[Cost item]],OP_Rates!$C62))*(1+Calc_ROM_1[Powercor]))*(1+GST),8),0,1))</f>
        <v>0</v>
      </c>
      <c r="K62" s="93" cm="1">
        <f t="array" ref="K62">IF(K27="-","-",
IF(ROUND(K27,8)=ROUND(
((SUMIFS(Calc_Variable_1[United Energy],Calc_Variable_1[[Customer type]:[Customer type]],"All")+
SUMIFS(Calc_Variable_1[United Energy],Calc_Variable_1[[Customer type]:[Customer type]],OP_Rates!$E62)+
SUMIFS(Calc_NetworkV_1[United Energy],Calc_NetworkV_1[[Customer type]:[Customer type]],OP_Rates!$E62,Calc_NetworkV_1[[Cost item]:[Cost item]],OP_Rates!$C62))*(1+Calc_ROM_1[United Energy]))*(1+GST),8),0,1))</f>
        <v>0</v>
      </c>
      <c r="M62" s="23"/>
      <c r="N62" s="23"/>
      <c r="O62" s="23"/>
      <c r="Q62" s="93"/>
      <c r="R62" s="93"/>
      <c r="S62" s="93"/>
      <c r="T62" s="93"/>
      <c r="U62" s="93"/>
    </row>
    <row r="63" spans="3:21" hidden="1" outlineLevel="2" x14ac:dyDescent="0.25"/>
    <row r="64" spans="3:21" ht="15.75" hidden="1" outlineLevel="2" x14ac:dyDescent="0.25">
      <c r="C64" s="29" t="str">
        <f>C$29&amp;" - checks"</f>
        <v>Residential True Up - checks</v>
      </c>
      <c r="M64" s="29" t="str">
        <f>M$29&amp;" - checks"</f>
        <v>Small business True Up - checks</v>
      </c>
    </row>
    <row r="65" spans="2:22" ht="15.75" hidden="1" outlineLevel="2" x14ac:dyDescent="0.25">
      <c r="C65" s="42" t="s">
        <v>331</v>
      </c>
      <c r="D65" s="42" t="s">
        <v>103</v>
      </c>
      <c r="E65" s="42" t="s">
        <v>91</v>
      </c>
      <c r="F65" s="167" t="s">
        <v>45</v>
      </c>
      <c r="G65" s="50" t="s">
        <v>268</v>
      </c>
      <c r="H65" s="50" t="s">
        <v>269</v>
      </c>
      <c r="I65" s="50" t="s">
        <v>270</v>
      </c>
      <c r="J65" s="50" t="s">
        <v>271</v>
      </c>
      <c r="K65" s="50" t="s">
        <v>272</v>
      </c>
      <c r="M65" s="42" t="s">
        <v>331</v>
      </c>
      <c r="N65" s="42" t="s">
        <v>103</v>
      </c>
      <c r="O65" s="42" t="s">
        <v>91</v>
      </c>
      <c r="P65" s="167" t="s">
        <v>45</v>
      </c>
      <c r="Q65" s="50" t="s">
        <v>268</v>
      </c>
      <c r="R65" s="50" t="s">
        <v>269</v>
      </c>
      <c r="S65" s="50" t="s">
        <v>270</v>
      </c>
      <c r="T65" s="50" t="s">
        <v>271</v>
      </c>
      <c r="U65" s="50" t="s">
        <v>272</v>
      </c>
    </row>
    <row r="66" spans="2:22" ht="15.75" hidden="1" outlineLevel="2" x14ac:dyDescent="0.25">
      <c r="C66" s="59" t="s">
        <v>556</v>
      </c>
      <c r="D66" s="59" t="s">
        <v>109</v>
      </c>
      <c r="E66" s="59" t="s">
        <v>92</v>
      </c>
      <c r="F66" s="23" t="s">
        <v>121</v>
      </c>
      <c r="G66" s="239" t="str" cm="1">
        <f t="array" ref="G66">IF(G31="-","-",
IF(ROUND(G31,8)=
IF($F66="Network",
IF($C66&lt;&gt;"Controlled load",
ROUND(INDEX(Calc_TUR_Net_1[[Ausnet]:[United Energy]],MATCH(1,(Calc_TUR_Net_1[[Customer type]:[Customer type]]=OP_Rates!$E66)*(Calc_TUR_Net_1[[Rate type]:[Rate type]]=OP_Rates!$C66),0),MATCH(OP_Rates!G$65,Calc_TUR_Net_1[[#Headers],[Ausnet]:[United Energy]],0)),8),
ROUND(INDEX(Calc_TUR_NetCL_1[[Ausnet]:[United Energy]],MATCH(OP_Rates!$E66,Calc_TUR_Net_1[[Customer type]:[Customer type]],0),MATCH(OP_Rates!G$65,Calc_TUR_Net_1[[#Headers],[Ausnet]:[United Energy]],0)),8)),
IF($F66="Environmental",
ROUND(SUMIFS(Calc_TUR_Env_1[Ausnet],Calc_TUR_Env_1[[Customer type]:[Customer type]],OP_Rates!$E66,Calc_TUR_Env_1[[Rate type]:[Rate type]],OP_Rates!$C66),8))),0,1))</f>
        <v>-</v>
      </c>
      <c r="H66" s="239" t="str" cm="1">
        <f t="array" ref="H66">IF(H31="-","-",
IF(ROUND(H31,8)=
IF($F66="Network",
IF($C66&lt;&gt;"Controlled load",
ROUND(INDEX(Calc_TUR_Net_1[[Ausnet]:[United Energy]],MATCH(1,(Calc_TUR_Net_1[[Customer type]:[Customer type]]=OP_Rates!$E66)*(Calc_TUR_Net_1[[Rate type]:[Rate type]]=OP_Rates!$C66),0),MATCH(OP_Rates!H$65,Calc_TUR_Net_1[[#Headers],[Ausnet]:[United Energy]],0)),8),
ROUND(INDEX(Calc_TUR_NetCL_1[[Ausnet]:[United Energy]],MATCH(OP_Rates!$E66,Calc_TUR_Net_1[[Customer type]:[Customer type]],0),MATCH(OP_Rates!H$65,Calc_TUR_Net_1[[#Headers],[Ausnet]:[United Energy]],0)),8)),
IF($F66="Environmental",
ROUND(SUMIFS(Calc_TUR_Env_1[Citipower],Calc_TUR_Env_1[[Customer type]:[Customer type]],OP_Rates!$E66,Calc_TUR_Env_1[[Rate type]:[Rate type]],OP_Rates!$C66),8))),0,1))</f>
        <v>-</v>
      </c>
      <c r="I66" s="239" t="str" cm="1">
        <f t="array" ref="I66">IF(I31="-","-",
IF(ROUND(I31,8)=
IF($F66="Network",
IF($C66&lt;&gt;"Controlled load",
ROUND(INDEX(Calc_TUR_Net_1[[Ausnet]:[United Energy]],MATCH(1,(Calc_TUR_Net_1[[Customer type]:[Customer type]]=OP_Rates!$E66)*(Calc_TUR_Net_1[[Rate type]:[Rate type]]=OP_Rates!$C66),0),MATCH(OP_Rates!I$65,Calc_TUR_Net_1[[#Headers],[Ausnet]:[United Energy]],0)),8),
ROUND(INDEX(Calc_TUR_NetCL_1[[Ausnet]:[United Energy]],MATCH(OP_Rates!$E66,Calc_TUR_Net_1[[Customer type]:[Customer type]],0),MATCH(OP_Rates!I$65,Calc_TUR_Net_1[[#Headers],[Ausnet]:[United Energy]],0)),8)),
IF($F66="Environmental",
ROUND(SUMIFS(Calc_TUR_Env_1[Jemena],Calc_TUR_Env_1[[Customer type]:[Customer type]],OP_Rates!$E66,Calc_TUR_Env_1[[Rate type]:[Rate type]],OP_Rates!$C66),8))),0,1))</f>
        <v>-</v>
      </c>
      <c r="J66" s="239" t="str" cm="1">
        <f t="array" ref="J66">IF(J31="-","-",
IF(ROUND(J31,8)=
IF($F66="Network",
IF($C66&lt;&gt;"Controlled load",
ROUND(INDEX(Calc_TUR_Net_1[[Ausnet]:[United Energy]],MATCH(1,(Calc_TUR_Net_1[[Customer type]:[Customer type]]=OP_Rates!$E66)*(Calc_TUR_Net_1[[Rate type]:[Rate type]]=OP_Rates!$C66),0),MATCH(OP_Rates!J$65,Calc_TUR_Net_1[[#Headers],[Ausnet]:[United Energy]],0)),8),
ROUND(INDEX(Calc_TUR_NetCL_1[[Ausnet]:[United Energy]],MATCH(OP_Rates!$E66,Calc_TUR_Net_1[[Customer type]:[Customer type]],0),MATCH(OP_Rates!J$65,Calc_TUR_Net_1[[#Headers],[Ausnet]:[United Energy]],0)),8)),
IF($F66="Environmental",
ROUND(SUMIFS(Calc_TUR_Env_1[Powercor],Calc_TUR_Env_1[[Customer type]:[Customer type]],OP_Rates!$E66,Calc_TUR_Env_1[[Rate type]:[Rate type]],OP_Rates!$C66),8))),0,1))</f>
        <v>-</v>
      </c>
      <c r="K66" s="239" t="str" cm="1">
        <f t="array" ref="K66">IF(K31="-","-",
IF(ROUND(K31,8)=
IF($F66="Network",
IF($C66&lt;&gt;"Controlled load",
ROUND(INDEX(Calc_TUR_Net_1[[Ausnet]:[United Energy]],MATCH(1,(Calc_TUR_Net_1[[Customer type]:[Customer type]]=OP_Rates!$E66)*(Calc_TUR_Net_1[[Rate type]:[Rate type]]=OP_Rates!$C66),0),MATCH(OP_Rates!K$65,Calc_TUR_Net_1[[#Headers],[Ausnet]:[United Energy]],0)),8),
ROUND(INDEX(Calc_TUR_NetCL_1[[Ausnet]:[United Energy]],MATCH(OP_Rates!$E66,Calc_TUR_Net_1[[Customer type]:[Customer type]],0),MATCH(OP_Rates!K$65,Calc_TUR_Net_1[[#Headers],[Ausnet]:[United Energy]],0)),8)),
IF($F66="Environmental",
ROUND(SUMIFS(Calc_TUR_Env_1[United Energy],Calc_TUR_Env_1[[Customer type]:[Customer type]],OP_Rates!$E66,Calc_TUR_Env_1[[Rate type]:[Rate type]],OP_Rates!$C66),8))),0,1))</f>
        <v>-</v>
      </c>
      <c r="M66" s="59" t="s">
        <v>556</v>
      </c>
      <c r="N66" s="59" t="s">
        <v>109</v>
      </c>
      <c r="O66" s="59" t="s">
        <v>93</v>
      </c>
      <c r="P66" s="23" t="s">
        <v>121</v>
      </c>
      <c r="Q66" s="239" t="str" cm="1">
        <f t="array" ref="Q66">IF(Q31="-","-",
IF(ROUND(Q31,8)=
IF($P66="Network",
ROUND(INDEX(Calc_TUR_Net_1[[Ausnet]:[United Energy]],MATCH(1,(Calc_TUR_Net_1[[Customer type]:[Customer type]]=OP_Rates!$O66)*(Calc_TUR_Net_1[[Rate type]:[Rate type]]=OP_Rates!$C66),0),MATCH(OP_Rates!Q$65,Calc_TUR_Net_1[[#Headers],[Ausnet]:[United Energy]],0)),8),
IF($P66="Environmental",
ROUND(SUMIFS(Calc_TUR_Env_1[Ausnet],Calc_TUR_Env_1[[Customer type]:[Customer type]],OP_Rates!$O66,Calc_TUR_Env_1[[Rate type]:[Rate type]],OP_Rates!$C66),8))),0,1))</f>
        <v>-</v>
      </c>
      <c r="R66" s="239" t="str" cm="1">
        <f t="array" ref="R66">IF(R31="-","-",
IF(ROUND(R31,8)=
IF($P66="Network",
ROUND(INDEX(Calc_TUR_Net_1[[Ausnet]:[United Energy]],MATCH(1,(Calc_TUR_Net_1[[Customer type]:[Customer type]]=OP_Rates!$O66)*(Calc_TUR_Net_1[[Rate type]:[Rate type]]=OP_Rates!$C66),0),MATCH(OP_Rates!R$65,Calc_TUR_Net_1[[#Headers],[Ausnet]:[United Energy]],0)),8),
IF($P66="Environmental",
ROUND(SUMIFS(Calc_TUR_Env_1[Citipower],Calc_TUR_Env_1[[Customer type]:[Customer type]],OP_Rates!$O66,Calc_TUR_Env_1[[Rate type]:[Rate type]],OP_Rates!$C66),8))),0,1))</f>
        <v>-</v>
      </c>
      <c r="S66" s="239" t="str" cm="1">
        <f t="array" ref="S66">IF(S31="-","-",
IF(ROUND(S31,8)=
IF($P66="Network",
ROUND(INDEX(Calc_TUR_Net_1[[Ausnet]:[United Energy]],MATCH(1,(Calc_TUR_Net_1[[Customer type]:[Customer type]]=OP_Rates!$O66)*(Calc_TUR_Net_1[[Rate type]:[Rate type]]=OP_Rates!$C66),0),MATCH(OP_Rates!S$65,Calc_TUR_Net_1[[#Headers],[Ausnet]:[United Energy]],0)),8),
IF($P66="Environmental",
ROUND(SUMIFS(Calc_TUR_Env_1[Jemena],Calc_TUR_Env_1[[Customer type]:[Customer type]],OP_Rates!$O66,Calc_TUR_Env_1[[Rate type]:[Rate type]],OP_Rates!$C66),8))),0,1))</f>
        <v>-</v>
      </c>
      <c r="T66" s="239" t="str" cm="1">
        <f t="array" ref="T66">IF(T31="-","-",
IF(ROUND(T31,8)=
IF($P66="Network",
ROUND(INDEX(Calc_TUR_Net_1[[Ausnet]:[United Energy]],MATCH(1,(Calc_TUR_Net_1[[Customer type]:[Customer type]]=OP_Rates!$O66)*(Calc_TUR_Net_1[[Rate type]:[Rate type]]=OP_Rates!$C66),0),MATCH(OP_Rates!T$65,Calc_TUR_Net_1[[#Headers],[Ausnet]:[United Energy]],0)),8),
IF($P66="Environmental",
ROUND(SUMIFS(Calc_TUR_Env_1[Powercor],Calc_TUR_Env_1[[Customer type]:[Customer type]],OP_Rates!$O66,Calc_TUR_Env_1[[Rate type]:[Rate type]],OP_Rates!$C66),8))),0,1))</f>
        <v>-</v>
      </c>
      <c r="U66" s="239" t="str" cm="1">
        <f t="array" ref="U66">IF(U31="-","-",
IF(ROUND(U31,8)=
IF($P66="Network",
ROUND(INDEX(Calc_TUR_Net_1[[Ausnet]:[United Energy]],MATCH(1,(Calc_TUR_Net_1[[Customer type]:[Customer type]]=OP_Rates!$O66)*(Calc_TUR_Net_1[[Rate type]:[Rate type]]=OP_Rates!$C66),0),MATCH(OP_Rates!U$65,Calc_TUR_Net_1[[#Headers],[Ausnet]:[United Energy]],0)),8),
IF($P66="Environmental",
ROUND(SUMIFS(Calc_TUR_Env_1[United Energy],Calc_TUR_Env_1[[Customer type]:[Customer type]],OP_Rates!$O66,Calc_TUR_Env_1[[Rate type]:[Rate type]],OP_Rates!$C66),8))),0,1))</f>
        <v>-</v>
      </c>
    </row>
    <row r="67" spans="2:22" ht="15.75" hidden="1" outlineLevel="2" x14ac:dyDescent="0.25">
      <c r="C67" s="59" t="s">
        <v>557</v>
      </c>
      <c r="D67" s="59" t="s">
        <v>109</v>
      </c>
      <c r="E67" s="59" t="s">
        <v>92</v>
      </c>
      <c r="F67" s="23" t="s">
        <v>121</v>
      </c>
      <c r="G67" s="239" t="str" cm="1">
        <f t="array" ref="G67">IF(G32="-","-",
IF(ROUND(G32,8)=
IF($F67="Network",
IF($C67&lt;&gt;"Controlled load",
ROUND(INDEX(Calc_TUR_Net_1[[Ausnet]:[United Energy]],MATCH(1,(Calc_TUR_Net_1[[Customer type]:[Customer type]]=OP_Rates!$E67)*(Calc_TUR_Net_1[[Rate type]:[Rate type]]=OP_Rates!$C67),0),MATCH(OP_Rates!G$65,Calc_TUR_Net_1[[#Headers],[Ausnet]:[United Energy]],0)),8),
ROUND(INDEX(Calc_TUR_NetCL_1[[Ausnet]:[United Energy]],MATCH(OP_Rates!$E67,Calc_TUR_Net_1[[Customer type]:[Customer type]],0),MATCH(OP_Rates!G$65,Calc_TUR_Net_1[[#Headers],[Ausnet]:[United Energy]],0)),8)),
IF($F67="Environmental",
ROUND(SUMIFS(Calc_TUR_Env_1[Ausnet],Calc_TUR_Env_1[[Customer type]:[Customer type]],OP_Rates!$E67,Calc_TUR_Env_1[[Rate type]:[Rate type]],OP_Rates!$C67),8))),0,1))</f>
        <v>-</v>
      </c>
      <c r="H67" s="239" t="str" cm="1">
        <f t="array" ref="H67">IF(H32="-","-",
IF(ROUND(H32,8)=
IF($F67="Network",
IF($C67&lt;&gt;"Controlled load",
ROUND(INDEX(Calc_TUR_Net_1[[Ausnet]:[United Energy]],MATCH(1,(Calc_TUR_Net_1[[Customer type]:[Customer type]]=OP_Rates!$E67)*(Calc_TUR_Net_1[[Rate type]:[Rate type]]=OP_Rates!$C67),0),MATCH(OP_Rates!H$65,Calc_TUR_Net_1[[#Headers],[Ausnet]:[United Energy]],0)),8),
ROUND(INDEX(Calc_TUR_NetCL_1[[Ausnet]:[United Energy]],MATCH(OP_Rates!$E67,Calc_TUR_Net_1[[Customer type]:[Customer type]],0),MATCH(OP_Rates!H$65,Calc_TUR_Net_1[[#Headers],[Ausnet]:[United Energy]],0)),8)),
IF($F67="Environmental",
ROUND(SUMIFS(Calc_TUR_Env_1[Citipower],Calc_TUR_Env_1[[Customer type]:[Customer type]],OP_Rates!$E67,Calc_TUR_Env_1[[Rate type]:[Rate type]],OP_Rates!$C67),8))),0,1))</f>
        <v>-</v>
      </c>
      <c r="I67" s="239" t="str" cm="1">
        <f t="array" ref="I67">IF(I32="-","-",
IF(ROUND(I32,8)=
IF($F67="Network",
IF($C67&lt;&gt;"Controlled load",
ROUND(INDEX(Calc_TUR_Net_1[[Ausnet]:[United Energy]],MATCH(1,(Calc_TUR_Net_1[[Customer type]:[Customer type]]=OP_Rates!$E67)*(Calc_TUR_Net_1[[Rate type]:[Rate type]]=OP_Rates!$C67),0),MATCH(OP_Rates!I$65,Calc_TUR_Net_1[[#Headers],[Ausnet]:[United Energy]],0)),8),
ROUND(INDEX(Calc_TUR_NetCL_1[[Ausnet]:[United Energy]],MATCH(OP_Rates!$E67,Calc_TUR_Net_1[[Customer type]:[Customer type]],0),MATCH(OP_Rates!I$65,Calc_TUR_Net_1[[#Headers],[Ausnet]:[United Energy]],0)),8)),
IF($F67="Environmental",
ROUND(SUMIFS(Calc_TUR_Env_1[Jemena],Calc_TUR_Env_1[[Customer type]:[Customer type]],OP_Rates!$E67,Calc_TUR_Env_1[[Rate type]:[Rate type]],OP_Rates!$C67),8))),0,1))</f>
        <v>-</v>
      </c>
      <c r="J67" s="239" t="str" cm="1">
        <f t="array" ref="J67">IF(J32="-","-",
IF(ROUND(J32,8)=
IF($F67="Network",
IF($C67&lt;&gt;"Controlled load",
ROUND(INDEX(Calc_TUR_Net_1[[Ausnet]:[United Energy]],MATCH(1,(Calc_TUR_Net_1[[Customer type]:[Customer type]]=OP_Rates!$E67)*(Calc_TUR_Net_1[[Rate type]:[Rate type]]=OP_Rates!$C67),0),MATCH(OP_Rates!J$65,Calc_TUR_Net_1[[#Headers],[Ausnet]:[United Energy]],0)),8),
ROUND(INDEX(Calc_TUR_NetCL_1[[Ausnet]:[United Energy]],MATCH(OP_Rates!$E67,Calc_TUR_Net_1[[Customer type]:[Customer type]],0),MATCH(OP_Rates!J$65,Calc_TUR_Net_1[[#Headers],[Ausnet]:[United Energy]],0)),8)),
IF($F67="Environmental",
ROUND(SUMIFS(Calc_TUR_Env_1[Powercor],Calc_TUR_Env_1[[Customer type]:[Customer type]],OP_Rates!$E67,Calc_TUR_Env_1[[Rate type]:[Rate type]],OP_Rates!$C67),8))),0,1))</f>
        <v>-</v>
      </c>
      <c r="K67" s="239" t="str" cm="1">
        <f t="array" ref="K67">IF(K32="-","-",
IF(ROUND(K32,8)=
IF($F67="Network",
IF($C67&lt;&gt;"Controlled load",
ROUND(INDEX(Calc_TUR_Net_1[[Ausnet]:[United Energy]],MATCH(1,(Calc_TUR_Net_1[[Customer type]:[Customer type]]=OP_Rates!$E67)*(Calc_TUR_Net_1[[Rate type]:[Rate type]]=OP_Rates!$C67),0),MATCH(OP_Rates!K$65,Calc_TUR_Net_1[[#Headers],[Ausnet]:[United Energy]],0)),8),
ROUND(INDEX(Calc_TUR_NetCL_1[[Ausnet]:[United Energy]],MATCH(OP_Rates!$E67,Calc_TUR_Net_1[[Customer type]:[Customer type]],0),MATCH(OP_Rates!K$65,Calc_TUR_Net_1[[#Headers],[Ausnet]:[United Energy]],0)),8)),
IF($F67="Environmental",
ROUND(SUMIFS(Calc_TUR_Env_1[United Energy],Calc_TUR_Env_1[[Customer type]:[Customer type]],OP_Rates!$E67,Calc_TUR_Env_1[[Rate type]:[Rate type]],OP_Rates!$C67),8))),0,1))</f>
        <v>-</v>
      </c>
      <c r="M67" s="59" t="s">
        <v>557</v>
      </c>
      <c r="N67" s="59" t="s">
        <v>109</v>
      </c>
      <c r="O67" s="59" t="s">
        <v>93</v>
      </c>
      <c r="P67" s="23" t="s">
        <v>121</v>
      </c>
      <c r="Q67" s="239" t="str" cm="1">
        <f t="array" ref="Q67">IF(Q32="-","-",
IF(ROUND(Q32,8)=
IF($P67="Network",
ROUND(INDEX(Calc_TUR_Net_1[[Ausnet]:[United Energy]],MATCH(1,(Calc_TUR_Net_1[[Customer type]:[Customer type]]=OP_Rates!$O67)*(Calc_TUR_Net_1[[Rate type]:[Rate type]]=OP_Rates!$C67),0),MATCH(OP_Rates!Q$65,Calc_TUR_Net_1[[#Headers],[Ausnet]:[United Energy]],0)),8),
IF($P67="Environmental",
ROUND(SUMIFS(Calc_TUR_Env_1[Ausnet],Calc_TUR_Env_1[[Customer type]:[Customer type]],OP_Rates!$O67,Calc_TUR_Env_1[[Rate type]:[Rate type]],OP_Rates!$C67),8))),0,1))</f>
        <v>-</v>
      </c>
      <c r="R67" s="239" t="str" cm="1">
        <f t="array" ref="R67">IF(R32="-","-",
IF(ROUND(R32,8)=
IF($P67="Network",
ROUND(INDEX(Calc_TUR_Net_1[[Ausnet]:[United Energy]],MATCH(1,(Calc_TUR_Net_1[[Customer type]:[Customer type]]=OP_Rates!$O67)*(Calc_TUR_Net_1[[Rate type]:[Rate type]]=OP_Rates!$C67),0),MATCH(OP_Rates!R$65,Calc_TUR_Net_1[[#Headers],[Ausnet]:[United Energy]],0)),8),
IF($P67="Environmental",
ROUND(SUMIFS(Calc_TUR_Env_1[Citipower],Calc_TUR_Env_1[[Customer type]:[Customer type]],OP_Rates!$O67,Calc_TUR_Env_1[[Rate type]:[Rate type]],OP_Rates!$C67),8))),0,1))</f>
        <v>-</v>
      </c>
      <c r="S67" s="239" t="str" cm="1">
        <f t="array" ref="S67">IF(S32="-","-",
IF(ROUND(S32,8)=
IF($P67="Network",
ROUND(INDEX(Calc_TUR_Net_1[[Ausnet]:[United Energy]],MATCH(1,(Calc_TUR_Net_1[[Customer type]:[Customer type]]=OP_Rates!$O67)*(Calc_TUR_Net_1[[Rate type]:[Rate type]]=OP_Rates!$C67),0),MATCH(OP_Rates!S$65,Calc_TUR_Net_1[[#Headers],[Ausnet]:[United Energy]],0)),8),
IF($P67="Environmental",
ROUND(SUMIFS(Calc_TUR_Env_1[Jemena],Calc_TUR_Env_1[[Customer type]:[Customer type]],OP_Rates!$O67,Calc_TUR_Env_1[[Rate type]:[Rate type]],OP_Rates!$C67),8))),0,1))</f>
        <v>-</v>
      </c>
      <c r="T67" s="239" t="str" cm="1">
        <f t="array" ref="T67">IF(T32="-","-",
IF(ROUND(T32,8)=
IF($P67="Network",
ROUND(INDEX(Calc_TUR_Net_1[[Ausnet]:[United Energy]],MATCH(1,(Calc_TUR_Net_1[[Customer type]:[Customer type]]=OP_Rates!$O67)*(Calc_TUR_Net_1[[Rate type]:[Rate type]]=OP_Rates!$C67),0),MATCH(OP_Rates!T$65,Calc_TUR_Net_1[[#Headers],[Ausnet]:[United Energy]],0)),8),
IF($P67="Environmental",
ROUND(SUMIFS(Calc_TUR_Env_1[Powercor],Calc_TUR_Env_1[[Customer type]:[Customer type]],OP_Rates!$O67,Calc_TUR_Env_1[[Rate type]:[Rate type]],OP_Rates!$C67),8))),0,1))</f>
        <v>-</v>
      </c>
      <c r="U67" s="239" t="str" cm="1">
        <f t="array" ref="U67">IF(U32="-","-",
IF(ROUND(U32,8)=
IF($P67="Network",
ROUND(INDEX(Calc_TUR_Net_1[[Ausnet]:[United Energy]],MATCH(1,(Calc_TUR_Net_1[[Customer type]:[Customer type]]=OP_Rates!$O67)*(Calc_TUR_Net_1[[Rate type]:[Rate type]]=OP_Rates!$C67),0),MATCH(OP_Rates!U$65,Calc_TUR_Net_1[[#Headers],[Ausnet]:[United Energy]],0)),8),
IF($P67="Environmental",
ROUND(SUMIFS(Calc_TUR_Env_1[United Energy],Calc_TUR_Env_1[[Customer type]:[Customer type]],OP_Rates!$O67,Calc_TUR_Env_1[[Rate type]:[Rate type]],OP_Rates!$C67),8))),0,1))</f>
        <v>-</v>
      </c>
    </row>
    <row r="68" spans="2:22" ht="15.75" hidden="1" outlineLevel="2" x14ac:dyDescent="0.25">
      <c r="C68" s="59" t="s">
        <v>287</v>
      </c>
      <c r="D68" s="59" t="s">
        <v>282</v>
      </c>
      <c r="E68" s="59" t="s">
        <v>92</v>
      </c>
      <c r="F68" s="23" t="s">
        <v>121</v>
      </c>
      <c r="G68" s="239" t="str" cm="1">
        <f t="array" ref="G68">IF(G33="-","-",
IF(ROUND(G33,8)=
IF($F68="Network",
IF($C68&lt;&gt;"Controlled load",
ROUND(INDEX(Calc_TUR_Net_1[[Ausnet]:[United Energy]],MATCH(1,(Calc_TUR_Net_1[[Customer type]:[Customer type]]=OP_Rates!$E68)*(Calc_TUR_Net_1[[Rate type]:[Rate type]]=OP_Rates!$C68),0),MATCH(OP_Rates!G$65,Calc_TUR_Net_1[[#Headers],[Ausnet]:[United Energy]],0)),8),
ROUND(INDEX(Calc_TUR_NetCL_1[[Ausnet]:[United Energy]],MATCH(OP_Rates!$E68,Calc_TUR_Net_1[[Customer type]:[Customer type]],0),MATCH(OP_Rates!G$65,Calc_TUR_Net_1[[#Headers],[Ausnet]:[United Energy]],0)),8)),
IF($F68="Environmental",
ROUND(SUMIFS(Calc_TUR_Env_1[Ausnet],Calc_TUR_Env_1[[Customer type]:[Customer type]],OP_Rates!$E68,Calc_TUR_Env_1[[Rate type]:[Rate type]],OP_Rates!$C68),8))),0,1))</f>
        <v>-</v>
      </c>
      <c r="H68" s="239" t="str" cm="1">
        <f t="array" ref="H68">IF(H33="-","-",
IF(ROUND(H33,8)=
IF($F68="Network",
IF($C68&lt;&gt;"Controlled load",
ROUND(INDEX(Calc_TUR_Net_1[[Ausnet]:[United Energy]],MATCH(1,(Calc_TUR_Net_1[[Customer type]:[Customer type]]=OP_Rates!$E68)*(Calc_TUR_Net_1[[Rate type]:[Rate type]]=OP_Rates!$C68),0),MATCH(OP_Rates!H$65,Calc_TUR_Net_1[[#Headers],[Ausnet]:[United Energy]],0)),8),
ROUND(INDEX(Calc_TUR_NetCL_1[[Ausnet]:[United Energy]],MATCH(OP_Rates!$E68,Calc_TUR_Net_1[[Customer type]:[Customer type]],0),MATCH(OP_Rates!H$65,Calc_TUR_Net_1[[#Headers],[Ausnet]:[United Energy]],0)),8)),
IF($F68="Environmental",
ROUND(SUMIFS(Calc_TUR_Env_1[Citipower],Calc_TUR_Env_1[[Customer type]:[Customer type]],OP_Rates!$E68,Calc_TUR_Env_1[[Rate type]:[Rate type]],OP_Rates!$C68),8))),0,1))</f>
        <v>-</v>
      </c>
      <c r="I68" s="239" t="str" cm="1">
        <f t="array" ref="I68">IF(I33="-","-",
IF(ROUND(I33,8)=
IF($F68="Network",
IF($C68&lt;&gt;"Controlled load",
ROUND(INDEX(Calc_TUR_Net_1[[Ausnet]:[United Energy]],MATCH(1,(Calc_TUR_Net_1[[Customer type]:[Customer type]]=OP_Rates!$E68)*(Calc_TUR_Net_1[[Rate type]:[Rate type]]=OP_Rates!$C68),0),MATCH(OP_Rates!I$65,Calc_TUR_Net_1[[#Headers],[Ausnet]:[United Energy]],0)),8),
ROUND(INDEX(Calc_TUR_NetCL_1[[Ausnet]:[United Energy]],MATCH(OP_Rates!$E68,Calc_TUR_Net_1[[Customer type]:[Customer type]],0),MATCH(OP_Rates!I$65,Calc_TUR_Net_1[[#Headers],[Ausnet]:[United Energy]],0)),8)),
IF($F68="Environmental",
ROUND(SUMIFS(Calc_TUR_Env_1[Jemena],Calc_TUR_Env_1[[Customer type]:[Customer type]],OP_Rates!$E68,Calc_TUR_Env_1[[Rate type]:[Rate type]],OP_Rates!$C68),8))),0,1))</f>
        <v>-</v>
      </c>
      <c r="J68" s="239" t="str" cm="1">
        <f t="array" ref="J68">IF(J33="-","-",
IF(ROUND(J33,8)=
IF($F68="Network",
IF($C68&lt;&gt;"Controlled load",
ROUND(INDEX(Calc_TUR_Net_1[[Ausnet]:[United Energy]],MATCH(1,(Calc_TUR_Net_1[[Customer type]:[Customer type]]=OP_Rates!$E68)*(Calc_TUR_Net_1[[Rate type]:[Rate type]]=OP_Rates!$C68),0),MATCH(OP_Rates!J$65,Calc_TUR_Net_1[[#Headers],[Ausnet]:[United Energy]],0)),8),
ROUND(INDEX(Calc_TUR_NetCL_1[[Ausnet]:[United Energy]],MATCH(OP_Rates!$E68,Calc_TUR_Net_1[[Customer type]:[Customer type]],0),MATCH(OP_Rates!J$65,Calc_TUR_Net_1[[#Headers],[Ausnet]:[United Energy]],0)),8)),
IF($F68="Environmental",
ROUND(SUMIFS(Calc_TUR_Env_1[Powercor],Calc_TUR_Env_1[[Customer type]:[Customer type]],OP_Rates!$E68,Calc_TUR_Env_1[[Rate type]:[Rate type]],OP_Rates!$C68),8))),0,1))</f>
        <v>-</v>
      </c>
      <c r="K68" s="239" t="str" cm="1">
        <f t="array" ref="K68">IF(K33="-","-",
IF(ROUND(K33,8)=
IF($F68="Network",
IF($C68&lt;&gt;"Controlled load",
ROUND(INDEX(Calc_TUR_Net_1[[Ausnet]:[United Energy]],MATCH(1,(Calc_TUR_Net_1[[Customer type]:[Customer type]]=OP_Rates!$E68)*(Calc_TUR_Net_1[[Rate type]:[Rate type]]=OP_Rates!$C68),0),MATCH(OP_Rates!K$65,Calc_TUR_Net_1[[#Headers],[Ausnet]:[United Energy]],0)),8),
ROUND(INDEX(Calc_TUR_NetCL_1[[Ausnet]:[United Energy]],MATCH(OP_Rates!$E68,Calc_TUR_Net_1[[Customer type]:[Customer type]],0),MATCH(OP_Rates!K$65,Calc_TUR_Net_1[[#Headers],[Ausnet]:[United Energy]],0)),8)),
IF($F68="Environmental",
ROUND(SUMIFS(Calc_TUR_Env_1[United Energy],Calc_TUR_Env_1[[Customer type]:[Customer type]],OP_Rates!$E68,Calc_TUR_Env_1[[Rate type]:[Rate type]],OP_Rates!$C68),8))),0,1))</f>
        <v>-</v>
      </c>
      <c r="M68" s="59"/>
      <c r="N68" s="59"/>
      <c r="O68" s="59"/>
      <c r="P68" s="23"/>
      <c r="Q68" s="239" t="str" cm="1">
        <f t="array" ref="Q68">IF(Q33="-","-",
IF(ROUND(Q33,8)=
IF($P68="Network",
ROUND(INDEX(Calc_TUR_Net_1[[Ausnet]:[United Energy]],MATCH(1,(Calc_TUR_Net_1[[Customer type]:[Customer type]]=OP_Rates!$O68)*(Calc_TUR_Net_1[[Rate type]:[Rate type]]=OP_Rates!$C68),0),MATCH(OP_Rates!Q$65,Calc_TUR_Net_1[[#Headers],[Ausnet]:[United Energy]],0)),8),
IF($P68="Environmental",
ROUND(SUMIFS(Calc_TUR_Env_1[Ausnet],Calc_TUR_Env_1[[Customer type]:[Customer type]],OP_Rates!$O68,Calc_TUR_Env_1[[Rate type]:[Rate type]],OP_Rates!$C68),8))),0,1))</f>
        <v>-</v>
      </c>
      <c r="R68" s="239" t="str" cm="1">
        <f t="array" ref="R68">IF(R33="-","-",
IF(ROUND(R33,8)=
IF($P68="Network",
ROUND(INDEX(Calc_TUR_Net_1[[Ausnet]:[United Energy]],MATCH(1,(Calc_TUR_Net_1[[Customer type]:[Customer type]]=OP_Rates!$O68)*(Calc_TUR_Net_1[[Rate type]:[Rate type]]=OP_Rates!$C68),0),MATCH(OP_Rates!R$65,Calc_TUR_Net_1[[#Headers],[Ausnet]:[United Energy]],0)),8),
IF($P68="Environmental",
ROUND(SUMIFS(Calc_TUR_Env_1[Citipower],Calc_TUR_Env_1[[Customer type]:[Customer type]],OP_Rates!$O68,Calc_TUR_Env_1[[Rate type]:[Rate type]],OP_Rates!$C68),8))),0,1))</f>
        <v>-</v>
      </c>
      <c r="S68" s="239" t="str" cm="1">
        <f t="array" ref="S68">IF(S33="-","-",
IF(ROUND(S33,8)=
IF($P68="Network",
ROUND(INDEX(Calc_TUR_Net_1[[Ausnet]:[United Energy]],MATCH(1,(Calc_TUR_Net_1[[Customer type]:[Customer type]]=OP_Rates!$O68)*(Calc_TUR_Net_1[[Rate type]:[Rate type]]=OP_Rates!$C68),0),MATCH(OP_Rates!S$65,Calc_TUR_Net_1[[#Headers],[Ausnet]:[United Energy]],0)),8),
IF($P68="Environmental",
ROUND(SUMIFS(Calc_TUR_Env_1[Jemena],Calc_TUR_Env_1[[Customer type]:[Customer type]],OP_Rates!$O68,Calc_TUR_Env_1[[Rate type]:[Rate type]],OP_Rates!$C68),8))),0,1))</f>
        <v>-</v>
      </c>
      <c r="T68" s="239" t="str" cm="1">
        <f t="array" ref="T68">IF(T33="-","-",
IF(ROUND(T33,8)=
IF($P68="Network",
ROUND(INDEX(Calc_TUR_Net_1[[Ausnet]:[United Energy]],MATCH(1,(Calc_TUR_Net_1[[Customer type]:[Customer type]]=OP_Rates!$O68)*(Calc_TUR_Net_1[[Rate type]:[Rate type]]=OP_Rates!$C68),0),MATCH(OP_Rates!T$65,Calc_TUR_Net_1[[#Headers],[Ausnet]:[United Energy]],0)),8),
IF($P68="Environmental",
ROUND(SUMIFS(Calc_TUR_Env_1[Powercor],Calc_TUR_Env_1[[Customer type]:[Customer type]],OP_Rates!$O68,Calc_TUR_Env_1[[Rate type]:[Rate type]],OP_Rates!$C68),8))),0,1))</f>
        <v>-</v>
      </c>
      <c r="U68" s="239" t="str" cm="1">
        <f t="array" ref="U68">IF(U33="-","-",
IF(ROUND(U33,8)=
IF($P68="Network",
ROUND(INDEX(Calc_TUR_Net_1[[Ausnet]:[United Energy]],MATCH(1,(Calc_TUR_Net_1[[Customer type]:[Customer type]]=OP_Rates!$O68)*(Calc_TUR_Net_1[[Rate type]:[Rate type]]=OP_Rates!$C68),0),MATCH(OP_Rates!U$65,Calc_TUR_Net_1[[#Headers],[Ausnet]:[United Energy]],0)),8),
IF($P68="Environmental",
ROUND(SUMIFS(Calc_TUR_Env_1[United Energy],Calc_TUR_Env_1[[Customer type]:[Customer type]],OP_Rates!$O68,Calc_TUR_Env_1[[Rate type]:[Rate type]],OP_Rates!$C68),8))),0,1))</f>
        <v>-</v>
      </c>
    </row>
    <row r="69" spans="2:22" ht="15.75" hidden="1" outlineLevel="2" x14ac:dyDescent="0.25">
      <c r="C69" s="59" t="s">
        <v>221</v>
      </c>
      <c r="D69" s="59" t="s">
        <v>282</v>
      </c>
      <c r="E69" s="59" t="s">
        <v>92</v>
      </c>
      <c r="F69" s="23" t="s">
        <v>151</v>
      </c>
      <c r="G69" s="239" cm="1">
        <f t="array" ref="G69">IF(G34="-","-",
IF(ROUND(G34,8)=
IF($F69="Network",
IF($C69&lt;&gt;"Controlled load",
ROUND(INDEX(Calc_TUR_Net_1[[Ausnet]:[United Energy]],MATCH(1,(Calc_TUR_Net_1[[Customer type]:[Customer type]]=OP_Rates!$E69)*(Calc_TUR_Net_1[[Rate type]:[Rate type]]=OP_Rates!$C69),0),MATCH(OP_Rates!G$65,Calc_TUR_Net_1[[#Headers],[Ausnet]:[United Energy]],0)),8),
ROUND(INDEX(Calc_TUR_NetCL_1[[Ausnet]:[United Energy]],MATCH(OP_Rates!$E69,Calc_TUR_Net_1[[Customer type]:[Customer type]],0),MATCH(OP_Rates!G$65,Calc_TUR_Net_1[[#Headers],[Ausnet]:[United Energy]],0)),8)),
IF($F69="Environmental",
ROUND(SUMIFS(Calc_TUR_Env_1[Ausnet],Calc_TUR_Env_1[[Customer type]:[Customer type]],OP_Rates!$E69,Calc_TUR_Env_1[[Rate type]:[Rate type]],OP_Rates!$C69),8))),0,1))</f>
        <v>0</v>
      </c>
      <c r="H69" s="239" cm="1">
        <f t="array" ref="H69">IF(H34="-","-",
IF(ROUND(H34,8)=
IF($F69="Network",
IF($C69&lt;&gt;"Controlled load",
ROUND(INDEX(Calc_TUR_Net_1[[Ausnet]:[United Energy]],MATCH(1,(Calc_TUR_Net_1[[Customer type]:[Customer type]]=OP_Rates!$E69)*(Calc_TUR_Net_1[[Rate type]:[Rate type]]=OP_Rates!$C69),0),MATCH(OP_Rates!H$65,Calc_TUR_Net_1[[#Headers],[Ausnet]:[United Energy]],0)),8),
ROUND(INDEX(Calc_TUR_NetCL_1[[Ausnet]:[United Energy]],MATCH(OP_Rates!$E69,Calc_TUR_Net_1[[Customer type]:[Customer type]],0),MATCH(OP_Rates!H$65,Calc_TUR_Net_1[[#Headers],[Ausnet]:[United Energy]],0)),8)),
IF($F69="Environmental",
ROUND(SUMIFS(Calc_TUR_Env_1[Citipower],Calc_TUR_Env_1[[Customer type]:[Customer type]],OP_Rates!$E69,Calc_TUR_Env_1[[Rate type]:[Rate type]],OP_Rates!$C69),8))),0,1))</f>
        <v>0</v>
      </c>
      <c r="I69" s="239" cm="1">
        <f t="array" ref="I69">IF(I34="-","-",
IF(ROUND(I34,8)=
IF($F69="Network",
IF($C69&lt;&gt;"Controlled load",
ROUND(INDEX(Calc_TUR_Net_1[[Ausnet]:[United Energy]],MATCH(1,(Calc_TUR_Net_1[[Customer type]:[Customer type]]=OP_Rates!$E69)*(Calc_TUR_Net_1[[Rate type]:[Rate type]]=OP_Rates!$C69),0),MATCH(OP_Rates!I$65,Calc_TUR_Net_1[[#Headers],[Ausnet]:[United Energy]],0)),8),
ROUND(INDEX(Calc_TUR_NetCL_1[[Ausnet]:[United Energy]],MATCH(OP_Rates!$E69,Calc_TUR_Net_1[[Customer type]:[Customer type]],0),MATCH(OP_Rates!I$65,Calc_TUR_Net_1[[#Headers],[Ausnet]:[United Energy]],0)),8)),
IF($F69="Environmental",
ROUND(SUMIFS(Calc_TUR_Env_1[Jemena],Calc_TUR_Env_1[[Customer type]:[Customer type]],OP_Rates!$E69,Calc_TUR_Env_1[[Rate type]:[Rate type]],OP_Rates!$C69),8))),0,1))</f>
        <v>0</v>
      </c>
      <c r="J69" s="239" cm="1">
        <f t="array" ref="J69">IF(J34="-","-",
IF(ROUND(J34,8)=
IF($F69="Network",
IF($C69&lt;&gt;"Controlled load",
ROUND(INDEX(Calc_TUR_Net_1[[Ausnet]:[United Energy]],MATCH(1,(Calc_TUR_Net_1[[Customer type]:[Customer type]]=OP_Rates!$E69)*(Calc_TUR_Net_1[[Rate type]:[Rate type]]=OP_Rates!$C69),0),MATCH(OP_Rates!J$65,Calc_TUR_Net_1[[#Headers],[Ausnet]:[United Energy]],0)),8),
ROUND(INDEX(Calc_TUR_NetCL_1[[Ausnet]:[United Energy]],MATCH(OP_Rates!$E69,Calc_TUR_Net_1[[Customer type]:[Customer type]],0),MATCH(OP_Rates!J$65,Calc_TUR_Net_1[[#Headers],[Ausnet]:[United Energy]],0)),8)),
IF($F69="Environmental",
ROUND(SUMIFS(Calc_TUR_Env_1[Powercor],Calc_TUR_Env_1[[Customer type]:[Customer type]],OP_Rates!$E69,Calc_TUR_Env_1[[Rate type]:[Rate type]],OP_Rates!$C69),8))),0,1))</f>
        <v>0</v>
      </c>
      <c r="K69" s="239" cm="1">
        <f t="array" ref="K69">IF(K34="-","-",
IF(ROUND(K34,8)=
IF($F69="Network",
IF($C69&lt;&gt;"Controlled load",
ROUND(INDEX(Calc_TUR_Net_1[[Ausnet]:[United Energy]],MATCH(1,(Calc_TUR_Net_1[[Customer type]:[Customer type]]=OP_Rates!$E69)*(Calc_TUR_Net_1[[Rate type]:[Rate type]]=OP_Rates!$C69),0),MATCH(OP_Rates!K$65,Calc_TUR_Net_1[[#Headers],[Ausnet]:[United Energy]],0)),8),
ROUND(INDEX(Calc_TUR_NetCL_1[[Ausnet]:[United Energy]],MATCH(OP_Rates!$E69,Calc_TUR_Net_1[[Customer type]:[Customer type]],0),MATCH(OP_Rates!K$65,Calc_TUR_Net_1[[#Headers],[Ausnet]:[United Energy]],0)),8)),
IF($F69="Environmental",
ROUND(SUMIFS(Calc_TUR_Env_1[United Energy],Calc_TUR_Env_1[[Customer type]:[Customer type]],OP_Rates!$E69,Calc_TUR_Env_1[[Rate type]:[Rate type]],OP_Rates!$C69),8))),0,1))</f>
        <v>0</v>
      </c>
      <c r="M69" s="59" t="s">
        <v>221</v>
      </c>
      <c r="N69" s="59" t="s">
        <v>282</v>
      </c>
      <c r="O69" s="59" t="s">
        <v>93</v>
      </c>
      <c r="P69" s="23" t="s">
        <v>151</v>
      </c>
      <c r="Q69" s="239" cm="1">
        <f t="array" ref="Q69">IF(Q34="-","-",
IF(ROUND(Q34,8)=
IF($P69="Network",
ROUND(INDEX(Calc_TUR_Net_1[[Ausnet]:[United Energy]],MATCH(1,(Calc_TUR_Net_1[[Customer type]:[Customer type]]=OP_Rates!$O69)*(Calc_TUR_Net_1[[Rate type]:[Rate type]]=OP_Rates!$C69),0),MATCH(OP_Rates!Q$65,Calc_TUR_Net_1[[#Headers],[Ausnet]:[United Energy]],0)),8),
IF($P69="Environmental",
ROUND(SUMIFS(Calc_TUR_Env_1[Ausnet],Calc_TUR_Env_1[[Customer type]:[Customer type]],OP_Rates!$O69,Calc_TUR_Env_1[[Rate type]:[Rate type]],OP_Rates!$C69),8))),0,1))</f>
        <v>0</v>
      </c>
      <c r="R69" s="239" cm="1">
        <f t="array" ref="R69">IF(R34="-","-",
IF(ROUND(R34,8)=
IF($P69="Network",
ROUND(INDEX(Calc_TUR_Net_1[[Ausnet]:[United Energy]],MATCH(1,(Calc_TUR_Net_1[[Customer type]:[Customer type]]=OP_Rates!$O69)*(Calc_TUR_Net_1[[Rate type]:[Rate type]]=OP_Rates!$C69),0),MATCH(OP_Rates!R$65,Calc_TUR_Net_1[[#Headers],[Ausnet]:[United Energy]],0)),8),
IF($P69="Environmental",
ROUND(SUMIFS(Calc_TUR_Env_1[Citipower],Calc_TUR_Env_1[[Customer type]:[Customer type]],OP_Rates!$O69,Calc_TUR_Env_1[[Rate type]:[Rate type]],OP_Rates!$C69),8))),0,1))</f>
        <v>0</v>
      </c>
      <c r="S69" s="239" cm="1">
        <f t="array" ref="S69">IF(S34="-","-",
IF(ROUND(S34,8)=
IF($P69="Network",
ROUND(INDEX(Calc_TUR_Net_1[[Ausnet]:[United Energy]],MATCH(1,(Calc_TUR_Net_1[[Customer type]:[Customer type]]=OP_Rates!$O69)*(Calc_TUR_Net_1[[Rate type]:[Rate type]]=OP_Rates!$C69),0),MATCH(OP_Rates!S$65,Calc_TUR_Net_1[[#Headers],[Ausnet]:[United Energy]],0)),8),
IF($P69="Environmental",
ROUND(SUMIFS(Calc_TUR_Env_1[Jemena],Calc_TUR_Env_1[[Customer type]:[Customer type]],OP_Rates!$O69,Calc_TUR_Env_1[[Rate type]:[Rate type]],OP_Rates!$C69),8))),0,1))</f>
        <v>0</v>
      </c>
      <c r="T69" s="239" cm="1">
        <f t="array" ref="T69">IF(T34="-","-",
IF(ROUND(T34,8)=
IF($P69="Network",
ROUND(INDEX(Calc_TUR_Net_1[[Ausnet]:[United Energy]],MATCH(1,(Calc_TUR_Net_1[[Customer type]:[Customer type]]=OP_Rates!$O69)*(Calc_TUR_Net_1[[Rate type]:[Rate type]]=OP_Rates!$C69),0),MATCH(OP_Rates!T$65,Calc_TUR_Net_1[[#Headers],[Ausnet]:[United Energy]],0)),8),
IF($P69="Environmental",
ROUND(SUMIFS(Calc_TUR_Env_1[Powercor],Calc_TUR_Env_1[[Customer type]:[Customer type]],OP_Rates!$O69,Calc_TUR_Env_1[[Rate type]:[Rate type]],OP_Rates!$C69),8))),0,1))</f>
        <v>0</v>
      </c>
      <c r="U69" s="239" cm="1">
        <f t="array" ref="U69">IF(U34="-","-",
IF(ROUND(U34,8)=
IF($P69="Network",
ROUND(INDEX(Calc_TUR_Net_1[[Ausnet]:[United Energy]],MATCH(1,(Calc_TUR_Net_1[[Customer type]:[Customer type]]=OP_Rates!$O69)*(Calc_TUR_Net_1[[Rate type]:[Rate type]]=OP_Rates!$C69),0),MATCH(OP_Rates!U$65,Calc_TUR_Net_1[[#Headers],[Ausnet]:[United Energy]],0)),8),
IF($P69="Environmental",
ROUND(SUMIFS(Calc_TUR_Env_1[United Energy],Calc_TUR_Env_1[[Customer type]:[Customer type]],OP_Rates!$O69,Calc_TUR_Env_1[[Rate type]:[Rate type]],OP_Rates!$C69),8))),0,1))</f>
        <v>0</v>
      </c>
    </row>
    <row r="70" spans="2:22" ht="15.75" hidden="1" outlineLevel="2" x14ac:dyDescent="0.25">
      <c r="C70" s="59" t="s">
        <v>228</v>
      </c>
      <c r="D70" s="59" t="s">
        <v>282</v>
      </c>
      <c r="E70" s="59" t="s">
        <v>92</v>
      </c>
      <c r="F70" s="23" t="s">
        <v>151</v>
      </c>
      <c r="G70" s="239" cm="1">
        <f t="array" ref="G70">IF(G35="-","-",
IF(ROUND(G35,8)=
IF($F70="Network",
IF($C70&lt;&gt;"Controlled load",
ROUND(INDEX(Calc_TUR_Net_1[[Ausnet]:[United Energy]],MATCH(1,(Calc_TUR_Net_1[[Customer type]:[Customer type]]=OP_Rates!$E70)*(Calc_TUR_Net_1[[Rate type]:[Rate type]]=OP_Rates!$C70),0),MATCH(OP_Rates!G$65,Calc_TUR_Net_1[[#Headers],[Ausnet]:[United Energy]],0)),8),
ROUND(INDEX(Calc_TUR_NetCL_1[[Ausnet]:[United Energy]],MATCH(OP_Rates!$E70,Calc_TUR_Net_1[[Customer type]:[Customer type]],0),MATCH(OP_Rates!G$65,Calc_TUR_Net_1[[#Headers],[Ausnet]:[United Energy]],0)),8)),
IF($F70="Environmental",
ROUND(SUMIFS(Calc_TUR_Env_1[Ausnet],Calc_TUR_Env_1[[Customer type]:[Customer type]],OP_Rates!$E70,Calc_TUR_Env_1[[Rate type]:[Rate type]],OP_Rates!$C70),8))),0,1))</f>
        <v>0</v>
      </c>
      <c r="H70" s="239" cm="1">
        <f t="array" ref="H70">IF(H35="-","-",
IF(ROUND(H35,8)=
IF($F70="Network",
IF($C70&lt;&gt;"Controlled load",
ROUND(INDEX(Calc_TUR_Net_1[[Ausnet]:[United Energy]],MATCH(1,(Calc_TUR_Net_1[[Customer type]:[Customer type]]=OP_Rates!$E70)*(Calc_TUR_Net_1[[Rate type]:[Rate type]]=OP_Rates!$C70),0),MATCH(OP_Rates!H$65,Calc_TUR_Net_1[[#Headers],[Ausnet]:[United Energy]],0)),8),
ROUND(INDEX(Calc_TUR_NetCL_1[[Ausnet]:[United Energy]],MATCH(OP_Rates!$E70,Calc_TUR_Net_1[[Customer type]:[Customer type]],0),MATCH(OP_Rates!H$65,Calc_TUR_Net_1[[#Headers],[Ausnet]:[United Energy]],0)),8)),
IF($F70="Environmental",
ROUND(SUMIFS(Calc_TUR_Env_1[Citipower],Calc_TUR_Env_1[[Customer type]:[Customer type]],OP_Rates!$E70,Calc_TUR_Env_1[[Rate type]:[Rate type]],OP_Rates!$C70),8))),0,1))</f>
        <v>0</v>
      </c>
      <c r="I70" s="239" cm="1">
        <f t="array" ref="I70">IF(I35="-","-",
IF(ROUND(I35,8)=
IF($F70="Network",
IF($C70&lt;&gt;"Controlled load",
ROUND(INDEX(Calc_TUR_Net_1[[Ausnet]:[United Energy]],MATCH(1,(Calc_TUR_Net_1[[Customer type]:[Customer type]]=OP_Rates!$E70)*(Calc_TUR_Net_1[[Rate type]:[Rate type]]=OP_Rates!$C70),0),MATCH(OP_Rates!I$65,Calc_TUR_Net_1[[#Headers],[Ausnet]:[United Energy]],0)),8),
ROUND(INDEX(Calc_TUR_NetCL_1[[Ausnet]:[United Energy]],MATCH(OP_Rates!$E70,Calc_TUR_Net_1[[Customer type]:[Customer type]],0),MATCH(OP_Rates!I$65,Calc_TUR_Net_1[[#Headers],[Ausnet]:[United Energy]],0)),8)),
IF($F70="Environmental",
ROUND(SUMIFS(Calc_TUR_Env_1[Jemena],Calc_TUR_Env_1[[Customer type]:[Customer type]],OP_Rates!$E70,Calc_TUR_Env_1[[Rate type]:[Rate type]],OP_Rates!$C70),8))),0,1))</f>
        <v>0</v>
      </c>
      <c r="J70" s="239" cm="1">
        <f t="array" ref="J70">IF(J35="-","-",
IF(ROUND(J35,8)=
IF($F70="Network",
IF($C70&lt;&gt;"Controlled load",
ROUND(INDEX(Calc_TUR_Net_1[[Ausnet]:[United Energy]],MATCH(1,(Calc_TUR_Net_1[[Customer type]:[Customer type]]=OP_Rates!$E70)*(Calc_TUR_Net_1[[Rate type]:[Rate type]]=OP_Rates!$C70),0),MATCH(OP_Rates!J$65,Calc_TUR_Net_1[[#Headers],[Ausnet]:[United Energy]],0)),8),
ROUND(INDEX(Calc_TUR_NetCL_1[[Ausnet]:[United Energy]],MATCH(OP_Rates!$E70,Calc_TUR_Net_1[[Customer type]:[Customer type]],0),MATCH(OP_Rates!J$65,Calc_TUR_Net_1[[#Headers],[Ausnet]:[United Energy]],0)),8)),
IF($F70="Environmental",
ROUND(SUMIFS(Calc_TUR_Env_1[Powercor],Calc_TUR_Env_1[[Customer type]:[Customer type]],OP_Rates!$E70,Calc_TUR_Env_1[[Rate type]:[Rate type]],OP_Rates!$C70),8))),0,1))</f>
        <v>0</v>
      </c>
      <c r="K70" s="239" cm="1">
        <f t="array" ref="K70">IF(K35="-","-",
IF(ROUND(K35,8)=
IF($F70="Network",
IF($C70&lt;&gt;"Controlled load",
ROUND(INDEX(Calc_TUR_Net_1[[Ausnet]:[United Energy]],MATCH(1,(Calc_TUR_Net_1[[Customer type]:[Customer type]]=OP_Rates!$E70)*(Calc_TUR_Net_1[[Rate type]:[Rate type]]=OP_Rates!$C70),0),MATCH(OP_Rates!K$65,Calc_TUR_Net_1[[#Headers],[Ausnet]:[United Energy]],0)),8),
ROUND(INDEX(Calc_TUR_NetCL_1[[Ausnet]:[United Energy]],MATCH(OP_Rates!$E70,Calc_TUR_Net_1[[Customer type]:[Customer type]],0),MATCH(OP_Rates!K$65,Calc_TUR_Net_1[[#Headers],[Ausnet]:[United Energy]],0)),8)),
IF($F70="Environmental",
ROUND(SUMIFS(Calc_TUR_Env_1[United Energy],Calc_TUR_Env_1[[Customer type]:[Customer type]],OP_Rates!$E70,Calc_TUR_Env_1[[Rate type]:[Rate type]],OP_Rates!$C70),8))),0,1))</f>
        <v>0</v>
      </c>
      <c r="M70" s="59" t="s">
        <v>228</v>
      </c>
      <c r="N70" s="59" t="s">
        <v>282</v>
      </c>
      <c r="O70" s="59" t="s">
        <v>93</v>
      </c>
      <c r="P70" s="23" t="s">
        <v>151</v>
      </c>
      <c r="Q70" s="239" cm="1">
        <f t="array" ref="Q70">IF(Q35="-","-",
IF(ROUND(Q35,8)=
IF($P70="Network",
ROUND(INDEX(Calc_TUR_Net_1[[Ausnet]:[United Energy]],MATCH(1,(Calc_TUR_Net_1[[Customer type]:[Customer type]]=OP_Rates!$O70)*(Calc_TUR_Net_1[[Rate type]:[Rate type]]=OP_Rates!$C70),0),MATCH(OP_Rates!Q$65,Calc_TUR_Net_1[[#Headers],[Ausnet]:[United Energy]],0)),8),
IF($P70="Environmental",
ROUND(SUMIFS(Calc_TUR_Env_1[Ausnet],Calc_TUR_Env_1[[Customer type]:[Customer type]],OP_Rates!$O70,Calc_TUR_Env_1[[Rate type]:[Rate type]],OP_Rates!$C70),8))),0,1))</f>
        <v>0</v>
      </c>
      <c r="R70" s="239" cm="1">
        <f t="array" ref="R70">IF(R35="-","-",
IF(ROUND(R35,8)=
IF($P70="Network",
ROUND(INDEX(Calc_TUR_Net_1[[Ausnet]:[United Energy]],MATCH(1,(Calc_TUR_Net_1[[Customer type]:[Customer type]]=OP_Rates!$O70)*(Calc_TUR_Net_1[[Rate type]:[Rate type]]=OP_Rates!$C70),0),MATCH(OP_Rates!R$65,Calc_TUR_Net_1[[#Headers],[Ausnet]:[United Energy]],0)),8),
IF($P70="Environmental",
ROUND(SUMIFS(Calc_TUR_Env_1[Citipower],Calc_TUR_Env_1[[Customer type]:[Customer type]],OP_Rates!$O70,Calc_TUR_Env_1[[Rate type]:[Rate type]],OP_Rates!$C70),8))),0,1))</f>
        <v>0</v>
      </c>
      <c r="S70" s="239" cm="1">
        <f t="array" ref="S70">IF(S35="-","-",
IF(ROUND(S35,8)=
IF($P70="Network",
ROUND(INDEX(Calc_TUR_Net_1[[Ausnet]:[United Energy]],MATCH(1,(Calc_TUR_Net_1[[Customer type]:[Customer type]]=OP_Rates!$O70)*(Calc_TUR_Net_1[[Rate type]:[Rate type]]=OP_Rates!$C70),0),MATCH(OP_Rates!S$65,Calc_TUR_Net_1[[#Headers],[Ausnet]:[United Energy]],0)),8),
IF($P70="Environmental",
ROUND(SUMIFS(Calc_TUR_Env_1[Jemena],Calc_TUR_Env_1[[Customer type]:[Customer type]],OP_Rates!$O70,Calc_TUR_Env_1[[Rate type]:[Rate type]],OP_Rates!$C70),8))),0,1))</f>
        <v>0</v>
      </c>
      <c r="T70" s="239" cm="1">
        <f t="array" ref="T70">IF(T35="-","-",
IF(ROUND(T35,8)=
IF($P70="Network",
ROUND(INDEX(Calc_TUR_Net_1[[Ausnet]:[United Energy]],MATCH(1,(Calc_TUR_Net_1[[Customer type]:[Customer type]]=OP_Rates!$O70)*(Calc_TUR_Net_1[[Rate type]:[Rate type]]=OP_Rates!$C70),0),MATCH(OP_Rates!T$65,Calc_TUR_Net_1[[#Headers],[Ausnet]:[United Energy]],0)),8),
IF($P70="Environmental",
ROUND(SUMIFS(Calc_TUR_Env_1[Powercor],Calc_TUR_Env_1[[Customer type]:[Customer type]],OP_Rates!$O70,Calc_TUR_Env_1[[Rate type]:[Rate type]],OP_Rates!$C70),8))),0,1))</f>
        <v>0</v>
      </c>
      <c r="U70" s="239" cm="1">
        <f t="array" ref="U70">IF(U35="-","-",
IF(ROUND(U35,8)=
IF($P70="Network",
ROUND(INDEX(Calc_TUR_Net_1[[Ausnet]:[United Energy]],MATCH(1,(Calc_TUR_Net_1[[Customer type]:[Customer type]]=OP_Rates!$O70)*(Calc_TUR_Net_1[[Rate type]:[Rate type]]=OP_Rates!$C70),0),MATCH(OP_Rates!U$65,Calc_TUR_Net_1[[#Headers],[Ausnet]:[United Energy]],0)),8),
IF($P70="Environmental",
ROUND(SUMIFS(Calc_TUR_Env_1[United Energy],Calc_TUR_Env_1[[Customer type]:[Customer type]],OP_Rates!$O70,Calc_TUR_Env_1[[Rate type]:[Rate type]],OP_Rates!$C70),8))),0,1))</f>
        <v>0</v>
      </c>
    </row>
    <row r="71" spans="2:22" ht="15.75" hidden="1" outlineLevel="2" x14ac:dyDescent="0.25">
      <c r="C71" s="59" t="s">
        <v>549</v>
      </c>
      <c r="D71" s="59" t="s">
        <v>282</v>
      </c>
      <c r="E71" s="59" t="s">
        <v>92</v>
      </c>
      <c r="F71" s="23" t="s">
        <v>151</v>
      </c>
      <c r="G71" s="239" cm="1">
        <f t="array" ref="G71">IF(G36="-","-",
IF(ROUND(G36,8)=
IF($F71="Network",
IF($C71&lt;&gt;"Controlled load",
ROUND(INDEX(Calc_TUR_Net_1[[Ausnet]:[United Energy]],MATCH(1,(Calc_TUR_Net_1[[Customer type]:[Customer type]]=OP_Rates!$E71)*(Calc_TUR_Net_1[[Rate type]:[Rate type]]=OP_Rates!$C71),0),MATCH(OP_Rates!G$65,Calc_TUR_Net_1[[#Headers],[Ausnet]:[United Energy]],0)),8),
ROUND(INDEX(Calc_TUR_NetCL_1[[Ausnet]:[United Energy]],MATCH(OP_Rates!$E71,Calc_TUR_Net_1[[Customer type]:[Customer type]],0),MATCH(OP_Rates!G$65,Calc_TUR_Net_1[[#Headers],[Ausnet]:[United Energy]],0)),8)),
IF($F71="Environmental",
ROUND(SUMIFS(Calc_TUR_Env_1[Ausnet],Calc_TUR_Env_1[[Customer type]:[Customer type]],OP_Rates!$E71,Calc_TUR_Env_1[[Rate type]:[Rate type]],OP_Rates!$C71),8))),0,1))</f>
        <v>0</v>
      </c>
      <c r="H71" s="239" cm="1">
        <f t="array" ref="H71">IF(H36="-","-",
IF(ROUND(H36,8)=
IF($F71="Network",
IF($C71&lt;&gt;"Controlled load",
ROUND(INDEX(Calc_TUR_Net_1[[Ausnet]:[United Energy]],MATCH(1,(Calc_TUR_Net_1[[Customer type]:[Customer type]]=OP_Rates!$E71)*(Calc_TUR_Net_1[[Rate type]:[Rate type]]=OP_Rates!$C71),0),MATCH(OP_Rates!H$65,Calc_TUR_Net_1[[#Headers],[Ausnet]:[United Energy]],0)),8),
ROUND(INDEX(Calc_TUR_NetCL_1[[Ausnet]:[United Energy]],MATCH(OP_Rates!$E71,Calc_TUR_Net_1[[Customer type]:[Customer type]],0),MATCH(OP_Rates!H$65,Calc_TUR_Net_1[[#Headers],[Ausnet]:[United Energy]],0)),8)),
IF($F71="Environmental",
ROUND(SUMIFS(Calc_TUR_Env_1[Citipower],Calc_TUR_Env_1[[Customer type]:[Customer type]],OP_Rates!$E71,Calc_TUR_Env_1[[Rate type]:[Rate type]],OP_Rates!$C71),8))),0,1))</f>
        <v>0</v>
      </c>
      <c r="I71" s="239" cm="1">
        <f t="array" ref="I71">IF(I36="-","-",
IF(ROUND(I36,8)=
IF($F71="Network",
IF($C71&lt;&gt;"Controlled load",
ROUND(INDEX(Calc_TUR_Net_1[[Ausnet]:[United Energy]],MATCH(1,(Calc_TUR_Net_1[[Customer type]:[Customer type]]=OP_Rates!$E71)*(Calc_TUR_Net_1[[Rate type]:[Rate type]]=OP_Rates!$C71),0),MATCH(OP_Rates!I$65,Calc_TUR_Net_1[[#Headers],[Ausnet]:[United Energy]],0)),8),
ROUND(INDEX(Calc_TUR_NetCL_1[[Ausnet]:[United Energy]],MATCH(OP_Rates!$E71,Calc_TUR_Net_1[[Customer type]:[Customer type]],0),MATCH(OP_Rates!I$65,Calc_TUR_Net_1[[#Headers],[Ausnet]:[United Energy]],0)),8)),
IF($F71="Environmental",
ROUND(SUMIFS(Calc_TUR_Env_1[Jemena],Calc_TUR_Env_1[[Customer type]:[Customer type]],OP_Rates!$E71,Calc_TUR_Env_1[[Rate type]:[Rate type]],OP_Rates!$C71),8))),0,1))</f>
        <v>0</v>
      </c>
      <c r="J71" s="239" cm="1">
        <f t="array" ref="J71">IF(J36="-","-",
IF(ROUND(J36,8)=
IF($F71="Network",
IF($C71&lt;&gt;"Controlled load",
ROUND(INDEX(Calc_TUR_Net_1[[Ausnet]:[United Energy]],MATCH(1,(Calc_TUR_Net_1[[Customer type]:[Customer type]]=OP_Rates!$E71)*(Calc_TUR_Net_1[[Rate type]:[Rate type]]=OP_Rates!$C71),0),MATCH(OP_Rates!J$65,Calc_TUR_Net_1[[#Headers],[Ausnet]:[United Energy]],0)),8),
ROUND(INDEX(Calc_TUR_NetCL_1[[Ausnet]:[United Energy]],MATCH(OP_Rates!$E71,Calc_TUR_Net_1[[Customer type]:[Customer type]],0),MATCH(OP_Rates!J$65,Calc_TUR_Net_1[[#Headers],[Ausnet]:[United Energy]],0)),8)),
IF($F71="Environmental",
ROUND(SUMIFS(Calc_TUR_Env_1[Powercor],Calc_TUR_Env_1[[Customer type]:[Customer type]],OP_Rates!$E71,Calc_TUR_Env_1[[Rate type]:[Rate type]],OP_Rates!$C71),8))),0,1))</f>
        <v>0</v>
      </c>
      <c r="K71" s="239" cm="1">
        <f t="array" ref="K71">IF(K36="-","-",
IF(ROUND(K36,8)=
IF($F71="Network",
IF($C71&lt;&gt;"Controlled load",
ROUND(INDEX(Calc_TUR_Net_1[[Ausnet]:[United Energy]],MATCH(1,(Calc_TUR_Net_1[[Customer type]:[Customer type]]=OP_Rates!$E71)*(Calc_TUR_Net_1[[Rate type]:[Rate type]]=OP_Rates!$C71),0),MATCH(OP_Rates!K$65,Calc_TUR_Net_1[[#Headers],[Ausnet]:[United Energy]],0)),8),
ROUND(INDEX(Calc_TUR_NetCL_1[[Ausnet]:[United Energy]],MATCH(OP_Rates!$E71,Calc_TUR_Net_1[[Customer type]:[Customer type]],0),MATCH(OP_Rates!K$65,Calc_TUR_Net_1[[#Headers],[Ausnet]:[United Energy]],0)),8)),
IF($F71="Environmental",
ROUND(SUMIFS(Calc_TUR_Env_1[United Energy],Calc_TUR_Env_1[[Customer type]:[Customer type]],OP_Rates!$E71,Calc_TUR_Env_1[[Rate type]:[Rate type]],OP_Rates!$C71),8))),0,1))</f>
        <v>0</v>
      </c>
      <c r="M71" s="59" t="s">
        <v>549</v>
      </c>
      <c r="N71" s="59" t="s">
        <v>282</v>
      </c>
      <c r="O71" s="59" t="s">
        <v>93</v>
      </c>
      <c r="P71" s="23" t="s">
        <v>151</v>
      </c>
      <c r="Q71" s="239" cm="1">
        <f t="array" ref="Q71">IF(Q36="-","-",
IF(ROUND(Q36,8)=
IF($P71="Network",
ROUND(INDEX(Calc_TUR_Net_1[[Ausnet]:[United Energy]],MATCH(1,(Calc_TUR_Net_1[[Customer type]:[Customer type]]=OP_Rates!$O71)*(Calc_TUR_Net_1[[Rate type]:[Rate type]]=OP_Rates!$C71),0),MATCH(OP_Rates!Q$65,Calc_TUR_Net_1[[#Headers],[Ausnet]:[United Energy]],0)),8),
IF($P71="Environmental",
ROUND(SUMIFS(Calc_TUR_Env_1[Ausnet],Calc_TUR_Env_1[[Customer type]:[Customer type]],OP_Rates!$O71,Calc_TUR_Env_1[[Rate type]:[Rate type]],OP_Rates!$C71),8))),0,1))</f>
        <v>0</v>
      </c>
      <c r="R71" s="239" cm="1">
        <f t="array" ref="R71">IF(R36="-","-",
IF(ROUND(R36,8)=
IF($P71="Network",
ROUND(INDEX(Calc_TUR_Net_1[[Ausnet]:[United Energy]],MATCH(1,(Calc_TUR_Net_1[[Customer type]:[Customer type]]=OP_Rates!$O71)*(Calc_TUR_Net_1[[Rate type]:[Rate type]]=OP_Rates!$C71),0),MATCH(OP_Rates!R$65,Calc_TUR_Net_1[[#Headers],[Ausnet]:[United Energy]],0)),8),
IF($P71="Environmental",
ROUND(SUMIFS(Calc_TUR_Env_1[Citipower],Calc_TUR_Env_1[[Customer type]:[Customer type]],OP_Rates!$O71,Calc_TUR_Env_1[[Rate type]:[Rate type]],OP_Rates!$C71),8))),0,1))</f>
        <v>0</v>
      </c>
      <c r="S71" s="239" cm="1">
        <f t="array" ref="S71">IF(S36="-","-",
IF(ROUND(S36,8)=
IF($P71="Network",
ROUND(INDEX(Calc_TUR_Net_1[[Ausnet]:[United Energy]],MATCH(1,(Calc_TUR_Net_1[[Customer type]:[Customer type]]=OP_Rates!$O71)*(Calc_TUR_Net_1[[Rate type]:[Rate type]]=OP_Rates!$C71),0),MATCH(OP_Rates!S$65,Calc_TUR_Net_1[[#Headers],[Ausnet]:[United Energy]],0)),8),
IF($P71="Environmental",
ROUND(SUMIFS(Calc_TUR_Env_1[Jemena],Calc_TUR_Env_1[[Customer type]:[Customer type]],OP_Rates!$O71,Calc_TUR_Env_1[[Rate type]:[Rate type]],OP_Rates!$C71),8))),0,1))</f>
        <v>0</v>
      </c>
      <c r="T71" s="239" cm="1">
        <f t="array" ref="T71">IF(T36="-","-",
IF(ROUND(T36,8)=
IF($P71="Network",
ROUND(INDEX(Calc_TUR_Net_1[[Ausnet]:[United Energy]],MATCH(1,(Calc_TUR_Net_1[[Customer type]:[Customer type]]=OP_Rates!$O71)*(Calc_TUR_Net_1[[Rate type]:[Rate type]]=OP_Rates!$C71),0),MATCH(OP_Rates!T$65,Calc_TUR_Net_1[[#Headers],[Ausnet]:[United Energy]],0)),8),
IF($P71="Environmental",
ROUND(SUMIFS(Calc_TUR_Env_1[Powercor],Calc_TUR_Env_1[[Customer type]:[Customer type]],OP_Rates!$O71,Calc_TUR_Env_1[[Rate type]:[Rate type]],OP_Rates!$C71),8))),0,1))</f>
        <v>0</v>
      </c>
      <c r="U71" s="239" cm="1">
        <f t="array" ref="U71">IF(U36="-","-",
IF(ROUND(U36,8)=
IF($P71="Network",
ROUND(INDEX(Calc_TUR_Net_1[[Ausnet]:[United Energy]],MATCH(1,(Calc_TUR_Net_1[[Customer type]:[Customer type]]=OP_Rates!$O71)*(Calc_TUR_Net_1[[Rate type]:[Rate type]]=OP_Rates!$C71),0),MATCH(OP_Rates!U$65,Calc_TUR_Net_1[[#Headers],[Ausnet]:[United Energy]],0)),8),
IF($P71="Environmental",
ROUND(SUMIFS(Calc_TUR_Env_1[United Energy],Calc_TUR_Env_1[[Customer type]:[Customer type]],OP_Rates!$O71,Calc_TUR_Env_1[[Rate type]:[Rate type]],OP_Rates!$C71),8))),0,1))</f>
        <v>0</v>
      </c>
    </row>
    <row r="72" spans="2:22" ht="15.75" hidden="1" outlineLevel="2" x14ac:dyDescent="0.25">
      <c r="C72" s="59" t="s">
        <v>230</v>
      </c>
      <c r="D72" s="59" t="s">
        <v>282</v>
      </c>
      <c r="E72" s="59" t="s">
        <v>92</v>
      </c>
      <c r="F72" s="23" t="s">
        <v>151</v>
      </c>
      <c r="G72" s="239" cm="1">
        <f t="array" ref="G72">IF(G37="-","-",
IF(ROUND(G37,8)=
IF($F72="Network",
IF($C72&lt;&gt;"Controlled load",
ROUND(INDEX(Calc_TUR_Net_1[[Ausnet]:[United Energy]],MATCH(1,(Calc_TUR_Net_1[[Customer type]:[Customer type]]=OP_Rates!$E72)*(Calc_TUR_Net_1[[Rate type]:[Rate type]]=OP_Rates!$C72),0),MATCH(OP_Rates!G$65,Calc_TUR_Net_1[[#Headers],[Ausnet]:[United Energy]],0)),8),
ROUND(INDEX(Calc_TUR_NetCL_1[[Ausnet]:[United Energy]],MATCH(OP_Rates!$E72,Calc_TUR_Net_1[[Customer type]:[Customer type]],0),MATCH(OP_Rates!G$65,Calc_TUR_Net_1[[#Headers],[Ausnet]:[United Energy]],0)),8)),
IF($F72="Environmental",
ROUND(SUMIFS(Calc_TUR_Env_1[Ausnet],Calc_TUR_Env_1[[Customer type]:[Customer type]],OP_Rates!$E72,Calc_TUR_Env_1[[Rate type]:[Rate type]],OP_Rates!$C72),8))),0,1))</f>
        <v>0</v>
      </c>
      <c r="H72" s="239" cm="1">
        <f t="array" ref="H72">IF(H37="-","-",
IF(ROUND(H37,8)=
IF($F72="Network",
IF($C72&lt;&gt;"Controlled load",
ROUND(INDEX(Calc_TUR_Net_1[[Ausnet]:[United Energy]],MATCH(1,(Calc_TUR_Net_1[[Customer type]:[Customer type]]=OP_Rates!$E72)*(Calc_TUR_Net_1[[Rate type]:[Rate type]]=OP_Rates!$C72),0),MATCH(OP_Rates!H$65,Calc_TUR_Net_1[[#Headers],[Ausnet]:[United Energy]],0)),8),
ROUND(INDEX(Calc_TUR_NetCL_1[[Ausnet]:[United Energy]],MATCH(OP_Rates!$E72,Calc_TUR_Net_1[[Customer type]:[Customer type]],0),MATCH(OP_Rates!H$65,Calc_TUR_Net_1[[#Headers],[Ausnet]:[United Energy]],0)),8)),
IF($F72="Environmental",
ROUND(SUMIFS(Calc_TUR_Env_1[Citipower],Calc_TUR_Env_1[[Customer type]:[Customer type]],OP_Rates!$E72,Calc_TUR_Env_1[[Rate type]:[Rate type]],OP_Rates!$C72),8))),0,1))</f>
        <v>0</v>
      </c>
      <c r="I72" s="239" cm="1">
        <f t="array" ref="I72">IF(I37="-","-",
IF(ROUND(I37,8)=
IF($F72="Network",
IF($C72&lt;&gt;"Controlled load",
ROUND(INDEX(Calc_TUR_Net_1[[Ausnet]:[United Energy]],MATCH(1,(Calc_TUR_Net_1[[Customer type]:[Customer type]]=OP_Rates!$E72)*(Calc_TUR_Net_1[[Rate type]:[Rate type]]=OP_Rates!$C72),0),MATCH(OP_Rates!I$65,Calc_TUR_Net_1[[#Headers],[Ausnet]:[United Energy]],0)),8),
ROUND(INDEX(Calc_TUR_NetCL_1[[Ausnet]:[United Energy]],MATCH(OP_Rates!$E72,Calc_TUR_Net_1[[Customer type]:[Customer type]],0),MATCH(OP_Rates!I$65,Calc_TUR_Net_1[[#Headers],[Ausnet]:[United Energy]],0)),8)),
IF($F72="Environmental",
ROUND(SUMIFS(Calc_TUR_Env_1[Jemena],Calc_TUR_Env_1[[Customer type]:[Customer type]],OP_Rates!$E72,Calc_TUR_Env_1[[Rate type]:[Rate type]],OP_Rates!$C72),8))),0,1))</f>
        <v>0</v>
      </c>
      <c r="J72" s="239" cm="1">
        <f t="array" ref="J72">IF(J37="-","-",
IF(ROUND(J37,8)=
IF($F72="Network",
IF($C72&lt;&gt;"Controlled load",
ROUND(INDEX(Calc_TUR_Net_1[[Ausnet]:[United Energy]],MATCH(1,(Calc_TUR_Net_1[[Customer type]:[Customer type]]=OP_Rates!$E72)*(Calc_TUR_Net_1[[Rate type]:[Rate type]]=OP_Rates!$C72),0),MATCH(OP_Rates!J$65,Calc_TUR_Net_1[[#Headers],[Ausnet]:[United Energy]],0)),8),
ROUND(INDEX(Calc_TUR_NetCL_1[[Ausnet]:[United Energy]],MATCH(OP_Rates!$E72,Calc_TUR_Net_1[[Customer type]:[Customer type]],0),MATCH(OP_Rates!J$65,Calc_TUR_Net_1[[#Headers],[Ausnet]:[United Energy]],0)),8)),
IF($F72="Environmental",
ROUND(SUMIFS(Calc_TUR_Env_1[Powercor],Calc_TUR_Env_1[[Customer type]:[Customer type]],OP_Rates!$E72,Calc_TUR_Env_1[[Rate type]:[Rate type]],OP_Rates!$C72),8))),0,1))</f>
        <v>0</v>
      </c>
      <c r="K72" s="239" cm="1">
        <f t="array" ref="K72">IF(K37="-","-",
IF(ROUND(K37,8)=
IF($F72="Network",
IF($C72&lt;&gt;"Controlled load",
ROUND(INDEX(Calc_TUR_Net_1[[Ausnet]:[United Energy]],MATCH(1,(Calc_TUR_Net_1[[Customer type]:[Customer type]]=OP_Rates!$E72)*(Calc_TUR_Net_1[[Rate type]:[Rate type]]=OP_Rates!$C72),0),MATCH(OP_Rates!K$65,Calc_TUR_Net_1[[#Headers],[Ausnet]:[United Energy]],0)),8),
ROUND(INDEX(Calc_TUR_NetCL_1[[Ausnet]:[United Energy]],MATCH(OP_Rates!$E72,Calc_TUR_Net_1[[Customer type]:[Customer type]],0),MATCH(OP_Rates!K$65,Calc_TUR_Net_1[[#Headers],[Ausnet]:[United Energy]],0)),8)),
IF($F72="Environmental",
ROUND(SUMIFS(Calc_TUR_Env_1[United Energy],Calc_TUR_Env_1[[Customer type]:[Customer type]],OP_Rates!$E72,Calc_TUR_Env_1[[Rate type]:[Rate type]],OP_Rates!$C72),8))),0,1))</f>
        <v>0</v>
      </c>
      <c r="M72" s="59" t="s">
        <v>230</v>
      </c>
      <c r="N72" s="59" t="s">
        <v>282</v>
      </c>
      <c r="O72" s="59" t="s">
        <v>93</v>
      </c>
      <c r="P72" s="23" t="s">
        <v>151</v>
      </c>
      <c r="Q72" s="239" cm="1">
        <f t="array" ref="Q72">IF(Q37="-","-",
IF(ROUND(Q37,8)=
IF($P72="Network",
ROUND(INDEX(Calc_TUR_Net_1[[Ausnet]:[United Energy]],MATCH(1,(Calc_TUR_Net_1[[Customer type]:[Customer type]]=OP_Rates!$O72)*(Calc_TUR_Net_1[[Rate type]:[Rate type]]=OP_Rates!$C72),0),MATCH(OP_Rates!Q$65,Calc_TUR_Net_1[[#Headers],[Ausnet]:[United Energy]],0)),8),
IF($P72="Environmental",
ROUND(SUMIFS(Calc_TUR_Env_1[Ausnet],Calc_TUR_Env_1[[Customer type]:[Customer type]],OP_Rates!$O72,Calc_TUR_Env_1[[Rate type]:[Rate type]],OP_Rates!$C72),8))),0,1))</f>
        <v>0</v>
      </c>
      <c r="R72" s="239" cm="1">
        <f t="array" ref="R72">IF(R37="-","-",
IF(ROUND(R37,8)=
IF($P72="Network",
ROUND(INDEX(Calc_TUR_Net_1[[Ausnet]:[United Energy]],MATCH(1,(Calc_TUR_Net_1[[Customer type]:[Customer type]]=OP_Rates!$O72)*(Calc_TUR_Net_1[[Rate type]:[Rate type]]=OP_Rates!$C72),0),MATCH(OP_Rates!R$65,Calc_TUR_Net_1[[#Headers],[Ausnet]:[United Energy]],0)),8),
IF($P72="Environmental",
ROUND(SUMIFS(Calc_TUR_Env_1[Citipower],Calc_TUR_Env_1[[Customer type]:[Customer type]],OP_Rates!$O72,Calc_TUR_Env_1[[Rate type]:[Rate type]],OP_Rates!$C72),8))),0,1))</f>
        <v>0</v>
      </c>
      <c r="S72" s="239" cm="1">
        <f t="array" ref="S72">IF(S37="-","-",
IF(ROUND(S37,8)=
IF($P72="Network",
ROUND(INDEX(Calc_TUR_Net_1[[Ausnet]:[United Energy]],MATCH(1,(Calc_TUR_Net_1[[Customer type]:[Customer type]]=OP_Rates!$O72)*(Calc_TUR_Net_1[[Rate type]:[Rate type]]=OP_Rates!$C72),0),MATCH(OP_Rates!S$65,Calc_TUR_Net_1[[#Headers],[Ausnet]:[United Energy]],0)),8),
IF($P72="Environmental",
ROUND(SUMIFS(Calc_TUR_Env_1[Jemena],Calc_TUR_Env_1[[Customer type]:[Customer type]],OP_Rates!$O72,Calc_TUR_Env_1[[Rate type]:[Rate type]],OP_Rates!$C72),8))),0,1))</f>
        <v>0</v>
      </c>
      <c r="T72" s="239" cm="1">
        <f t="array" ref="T72">IF(T37="-","-",
IF(ROUND(T37,8)=
IF($P72="Network",
ROUND(INDEX(Calc_TUR_Net_1[[Ausnet]:[United Energy]],MATCH(1,(Calc_TUR_Net_1[[Customer type]:[Customer type]]=OP_Rates!$O72)*(Calc_TUR_Net_1[[Rate type]:[Rate type]]=OP_Rates!$C72),0),MATCH(OP_Rates!T$65,Calc_TUR_Net_1[[#Headers],[Ausnet]:[United Energy]],0)),8),
IF($P72="Environmental",
ROUND(SUMIFS(Calc_TUR_Env_1[Powercor],Calc_TUR_Env_1[[Customer type]:[Customer type]],OP_Rates!$O72,Calc_TUR_Env_1[[Rate type]:[Rate type]],OP_Rates!$C72),8))),0,1))</f>
        <v>0</v>
      </c>
      <c r="U72" s="239" cm="1">
        <f t="array" ref="U72">IF(U37="-","-",
IF(ROUND(U37,8)=
IF($P72="Network",
ROUND(INDEX(Calc_TUR_Net_1[[Ausnet]:[United Energy]],MATCH(1,(Calc_TUR_Net_1[[Customer type]:[Customer type]]=OP_Rates!$O72)*(Calc_TUR_Net_1[[Rate type]:[Rate type]]=OP_Rates!$C72),0),MATCH(OP_Rates!U$65,Calc_TUR_Net_1[[#Headers],[Ausnet]:[United Energy]],0)),8),
IF($P72="Environmental",
ROUND(SUMIFS(Calc_TUR_Env_1[United Energy],Calc_TUR_Env_1[[Customer type]:[Customer type]],OP_Rates!$O72,Calc_TUR_Env_1[[Rate type]:[Rate type]],OP_Rates!$C72),8))),0,1))</f>
        <v>0</v>
      </c>
    </row>
    <row r="73" spans="2:22" ht="15.75" hidden="1" outlineLevel="2" x14ac:dyDescent="0.25">
      <c r="C73" s="59" t="s">
        <v>609</v>
      </c>
      <c r="D73" s="59" t="s">
        <v>282</v>
      </c>
      <c r="E73" s="59" t="s">
        <v>92</v>
      </c>
      <c r="F73" s="23" t="s">
        <v>151</v>
      </c>
      <c r="G73" s="239" cm="1">
        <f t="array" ref="G73">IF(G38="-","-",
IF(ROUND(G38,8)=
IF($F73="Network",
IF($C73&lt;&gt;"Controlled load",
ROUND(INDEX(Calc_TUR_Net_1[[Ausnet]:[United Energy]],MATCH(1,(Calc_TUR_Net_1[[Customer type]:[Customer type]]=OP_Rates!$E73)*(Calc_TUR_Net_1[[Rate type]:[Rate type]]=OP_Rates!$C73),0),MATCH(OP_Rates!G$65,Calc_TUR_Net_1[[#Headers],[Ausnet]:[United Energy]],0)),8),
ROUND(INDEX(Calc_TUR_NetCL_1[[Ausnet]:[United Energy]],MATCH(OP_Rates!$E73,Calc_TUR_Net_1[[Customer type]:[Customer type]],0),MATCH(OP_Rates!G$65,Calc_TUR_Net_1[[#Headers],[Ausnet]:[United Energy]],0)),8)),
IF($F73="Environmental",
ROUND(SUMIFS(Calc_TUR_Env_1[Ausnet],Calc_TUR_Env_1[[Customer type]:[Customer type]],OP_Rates!$E73,Calc_TUR_Env_1[[Rate type]:[Rate type]],OP_Rates!$C73),8))),0,1))</f>
        <v>0</v>
      </c>
      <c r="H73" s="239" cm="1">
        <f t="array" ref="H73">IF(H38="-","-",
IF(ROUND(H38,8)=
IF($F73="Network",
IF($C73&lt;&gt;"Controlled load",
ROUND(INDEX(Calc_TUR_Net_1[[Ausnet]:[United Energy]],MATCH(1,(Calc_TUR_Net_1[[Customer type]:[Customer type]]=OP_Rates!$E73)*(Calc_TUR_Net_1[[Rate type]:[Rate type]]=OP_Rates!$C73),0),MATCH(OP_Rates!H$65,Calc_TUR_Net_1[[#Headers],[Ausnet]:[United Energy]],0)),8),
ROUND(INDEX(Calc_TUR_NetCL_1[[Ausnet]:[United Energy]],MATCH(OP_Rates!$E73,Calc_TUR_Net_1[[Customer type]:[Customer type]],0),MATCH(OP_Rates!H$65,Calc_TUR_Net_1[[#Headers],[Ausnet]:[United Energy]],0)),8)),
IF($F73="Environmental",
ROUND(SUMIFS(Calc_TUR_Env_1[Citipower],Calc_TUR_Env_1[[Customer type]:[Customer type]],OP_Rates!$E73,Calc_TUR_Env_1[[Rate type]:[Rate type]],OP_Rates!$C73),8))),0,1))</f>
        <v>0</v>
      </c>
      <c r="I73" s="239" cm="1">
        <f t="array" ref="I73">IF(I38="-","-",
IF(ROUND(I38,8)=
IF($F73="Network",
IF($C73&lt;&gt;"Controlled load",
ROUND(INDEX(Calc_TUR_Net_1[[Ausnet]:[United Energy]],MATCH(1,(Calc_TUR_Net_1[[Customer type]:[Customer type]]=OP_Rates!$E73)*(Calc_TUR_Net_1[[Rate type]:[Rate type]]=OP_Rates!$C73),0),MATCH(OP_Rates!I$65,Calc_TUR_Net_1[[#Headers],[Ausnet]:[United Energy]],0)),8),
ROUND(INDEX(Calc_TUR_NetCL_1[[Ausnet]:[United Energy]],MATCH(OP_Rates!$E73,Calc_TUR_Net_1[[Customer type]:[Customer type]],0),MATCH(OP_Rates!I$65,Calc_TUR_Net_1[[#Headers],[Ausnet]:[United Energy]],0)),8)),
IF($F73="Environmental",
ROUND(SUMIFS(Calc_TUR_Env_1[Jemena],Calc_TUR_Env_1[[Customer type]:[Customer type]],OP_Rates!$E73,Calc_TUR_Env_1[[Rate type]:[Rate type]],OP_Rates!$C73),8))),0,1))</f>
        <v>0</v>
      </c>
      <c r="J73" s="239" cm="1">
        <f t="array" ref="J73">IF(J38="-","-",
IF(ROUND(J38,8)=
IF($F73="Network",
IF($C73&lt;&gt;"Controlled load",
ROUND(INDEX(Calc_TUR_Net_1[[Ausnet]:[United Energy]],MATCH(1,(Calc_TUR_Net_1[[Customer type]:[Customer type]]=OP_Rates!$E73)*(Calc_TUR_Net_1[[Rate type]:[Rate type]]=OP_Rates!$C73),0),MATCH(OP_Rates!J$65,Calc_TUR_Net_1[[#Headers],[Ausnet]:[United Energy]],0)),8),
ROUND(INDEX(Calc_TUR_NetCL_1[[Ausnet]:[United Energy]],MATCH(OP_Rates!$E73,Calc_TUR_Net_1[[Customer type]:[Customer type]],0),MATCH(OP_Rates!J$65,Calc_TUR_Net_1[[#Headers],[Ausnet]:[United Energy]],0)),8)),
IF($F73="Environmental",
ROUND(SUMIFS(Calc_TUR_Env_1[Powercor],Calc_TUR_Env_1[[Customer type]:[Customer type]],OP_Rates!$E73,Calc_TUR_Env_1[[Rate type]:[Rate type]],OP_Rates!$C73),8))),0,1))</f>
        <v>0</v>
      </c>
      <c r="K73" s="239" cm="1">
        <f t="array" ref="K73">IF(K38="-","-",
IF(ROUND(K38,8)=
IF($F73="Network",
IF($C73&lt;&gt;"Controlled load",
ROUND(INDEX(Calc_TUR_Net_1[[Ausnet]:[United Energy]],MATCH(1,(Calc_TUR_Net_1[[Customer type]:[Customer type]]=OP_Rates!$E73)*(Calc_TUR_Net_1[[Rate type]:[Rate type]]=OP_Rates!$C73),0),MATCH(OP_Rates!K$65,Calc_TUR_Net_1[[#Headers],[Ausnet]:[United Energy]],0)),8),
ROUND(INDEX(Calc_TUR_NetCL_1[[Ausnet]:[United Energy]],MATCH(OP_Rates!$E73,Calc_TUR_Net_1[[Customer type]:[Customer type]],0),MATCH(OP_Rates!K$65,Calc_TUR_Net_1[[#Headers],[Ausnet]:[United Energy]],0)),8)),
IF($F73="Environmental",
ROUND(SUMIFS(Calc_TUR_Env_1[United Energy],Calc_TUR_Env_1[[Customer type]:[Customer type]],OP_Rates!$E73,Calc_TUR_Env_1[[Rate type]:[Rate type]],OP_Rates!$C73),8))),0,1))</f>
        <v>0</v>
      </c>
      <c r="M73" s="59" t="s">
        <v>609</v>
      </c>
      <c r="N73" s="59" t="s">
        <v>282</v>
      </c>
      <c r="O73" s="59" t="s">
        <v>93</v>
      </c>
      <c r="P73" s="23" t="s">
        <v>151</v>
      </c>
      <c r="Q73" s="239" cm="1">
        <f t="array" ref="Q73">IF(Q38="-","-",
IF(ROUND(Q38,8)=
IF($P73="Network",
ROUND(INDEX(Calc_TUR_Net_1[[Ausnet]:[United Energy]],MATCH(1,(Calc_TUR_Net_1[[Customer type]:[Customer type]]=OP_Rates!$O73)*(Calc_TUR_Net_1[[Rate type]:[Rate type]]=OP_Rates!$C73),0),MATCH(OP_Rates!Q$65,Calc_TUR_Net_1[[#Headers],[Ausnet]:[United Energy]],0)),8),
IF($P73="Environmental",
ROUND(SUMIFS(Calc_TUR_Env_1[Ausnet],Calc_TUR_Env_1[[Customer type]:[Customer type]],OP_Rates!$O73,Calc_TUR_Env_1[[Rate type]:[Rate type]],OP_Rates!$C73),8))),0,1))</f>
        <v>0</v>
      </c>
      <c r="R73" s="239" cm="1">
        <f t="array" ref="R73">IF(R38="-","-",
IF(ROUND(R38,8)=
IF($P73="Network",
ROUND(INDEX(Calc_TUR_Net_1[[Ausnet]:[United Energy]],MATCH(1,(Calc_TUR_Net_1[[Customer type]:[Customer type]]=OP_Rates!$O73)*(Calc_TUR_Net_1[[Rate type]:[Rate type]]=OP_Rates!$C73),0),MATCH(OP_Rates!R$65,Calc_TUR_Net_1[[#Headers],[Ausnet]:[United Energy]],0)),8),
IF($P73="Environmental",
ROUND(SUMIFS(Calc_TUR_Env_1[Citipower],Calc_TUR_Env_1[[Customer type]:[Customer type]],OP_Rates!$O73,Calc_TUR_Env_1[[Rate type]:[Rate type]],OP_Rates!$C73),8))),0,1))</f>
        <v>0</v>
      </c>
      <c r="S73" s="239" cm="1">
        <f t="array" ref="S73">IF(S38="-","-",
IF(ROUND(S38,8)=
IF($P73="Network",
ROUND(INDEX(Calc_TUR_Net_1[[Ausnet]:[United Energy]],MATCH(1,(Calc_TUR_Net_1[[Customer type]:[Customer type]]=OP_Rates!$O73)*(Calc_TUR_Net_1[[Rate type]:[Rate type]]=OP_Rates!$C73),0),MATCH(OP_Rates!S$65,Calc_TUR_Net_1[[#Headers],[Ausnet]:[United Energy]],0)),8),
IF($P73="Environmental",
ROUND(SUMIFS(Calc_TUR_Env_1[Jemena],Calc_TUR_Env_1[[Customer type]:[Customer type]],OP_Rates!$O73,Calc_TUR_Env_1[[Rate type]:[Rate type]],OP_Rates!$C73),8))),0,1))</f>
        <v>0</v>
      </c>
      <c r="T73" s="239" cm="1">
        <f t="array" ref="T73">IF(T38="-","-",
IF(ROUND(T38,8)=
IF($P73="Network",
ROUND(INDEX(Calc_TUR_Net_1[[Ausnet]:[United Energy]],MATCH(1,(Calc_TUR_Net_1[[Customer type]:[Customer type]]=OP_Rates!$O73)*(Calc_TUR_Net_1[[Rate type]:[Rate type]]=OP_Rates!$C73),0),MATCH(OP_Rates!T$65,Calc_TUR_Net_1[[#Headers],[Ausnet]:[United Energy]],0)),8),
IF($P73="Environmental",
ROUND(SUMIFS(Calc_TUR_Env_1[Powercor],Calc_TUR_Env_1[[Customer type]:[Customer type]],OP_Rates!$O73,Calc_TUR_Env_1[[Rate type]:[Rate type]],OP_Rates!$C73),8))),0,1))</f>
        <v>0</v>
      </c>
      <c r="U73" s="239" cm="1">
        <f t="array" ref="U73">IF(U38="-","-",
IF(ROUND(U38,8)=
IF($P73="Network",
ROUND(INDEX(Calc_TUR_Net_1[[Ausnet]:[United Energy]],MATCH(1,(Calc_TUR_Net_1[[Customer type]:[Customer type]]=OP_Rates!$O73)*(Calc_TUR_Net_1[[Rate type]:[Rate type]]=OP_Rates!$C73),0),MATCH(OP_Rates!U$65,Calc_TUR_Net_1[[#Headers],[Ausnet]:[United Energy]],0)),8),
IF($P73="Environmental",
ROUND(SUMIFS(Calc_TUR_Env_1[United Energy],Calc_TUR_Env_1[[Customer type]:[Customer type]],OP_Rates!$O73,Calc_TUR_Env_1[[Rate type]:[Rate type]],OP_Rates!$C73),8))),0,1))</f>
        <v>0</v>
      </c>
    </row>
    <row r="74" spans="2:22" ht="15.75" hidden="1" outlineLevel="2" x14ac:dyDescent="0.25">
      <c r="C74" s="59" t="s">
        <v>287</v>
      </c>
      <c r="D74" s="59" t="s">
        <v>282</v>
      </c>
      <c r="E74" s="59" t="s">
        <v>92</v>
      </c>
      <c r="F74" s="23" t="s">
        <v>151</v>
      </c>
      <c r="G74" s="239" cm="1">
        <f t="array" ref="G74">IF(G39="-","-",
IF(ROUND(G39,8)=
IF($F74="Network",
IF($C74&lt;&gt;"Controlled load",
ROUND(INDEX(Calc_TUR_Net_1[[Ausnet]:[United Energy]],MATCH(1,(Calc_TUR_Net_1[[Customer type]:[Customer type]]=OP_Rates!$E74)*(Calc_TUR_Net_1[[Rate type]:[Rate type]]=OP_Rates!$C74),0),MATCH(OP_Rates!G$65,Calc_TUR_Net_1[[#Headers],[Ausnet]:[United Energy]],0)),8),
ROUND(INDEX(Calc_TUR_NetCL_1[[Ausnet]:[United Energy]],MATCH(OP_Rates!$E74,Calc_TUR_Net_1[[Customer type]:[Customer type]],0),MATCH(OP_Rates!G$65,Calc_TUR_Net_1[[#Headers],[Ausnet]:[United Energy]],0)),8)),
IF($F74="Environmental",
ROUND(SUMIFS(Calc_TUR_Env_1[Ausnet],Calc_TUR_Env_1[[Customer type]:[Customer type]],OP_Rates!$E74,Calc_TUR_Env_1[[Rate type]:[Rate type]],OP_Rates!$C74),8))),0,1))</f>
        <v>0</v>
      </c>
      <c r="H74" s="239" cm="1">
        <f t="array" ref="H74">IF(H39="-","-",
IF(ROUND(H39,8)=
IF($F74="Network",
IF($C74&lt;&gt;"Controlled load",
ROUND(INDEX(Calc_TUR_Net_1[[Ausnet]:[United Energy]],MATCH(1,(Calc_TUR_Net_1[[Customer type]:[Customer type]]=OP_Rates!$E74)*(Calc_TUR_Net_1[[Rate type]:[Rate type]]=OP_Rates!$C74),0),MATCH(OP_Rates!H$65,Calc_TUR_Net_1[[#Headers],[Ausnet]:[United Energy]],0)),8),
ROUND(INDEX(Calc_TUR_NetCL_1[[Ausnet]:[United Energy]],MATCH(OP_Rates!$E74,Calc_TUR_Net_1[[Customer type]:[Customer type]],0),MATCH(OP_Rates!H$65,Calc_TUR_Net_1[[#Headers],[Ausnet]:[United Energy]],0)),8)),
IF($F74="Environmental",
ROUND(SUMIFS(Calc_TUR_Env_1[Citipower],Calc_TUR_Env_1[[Customer type]:[Customer type]],OP_Rates!$E74,Calc_TUR_Env_1[[Rate type]:[Rate type]],OP_Rates!$C74),8))),0,1))</f>
        <v>0</v>
      </c>
      <c r="I74" s="239" cm="1">
        <f t="array" ref="I74">IF(I39="-","-",
IF(ROUND(I39,8)=
IF($F74="Network",
IF($C74&lt;&gt;"Controlled load",
ROUND(INDEX(Calc_TUR_Net_1[[Ausnet]:[United Energy]],MATCH(1,(Calc_TUR_Net_1[[Customer type]:[Customer type]]=OP_Rates!$E74)*(Calc_TUR_Net_1[[Rate type]:[Rate type]]=OP_Rates!$C74),0),MATCH(OP_Rates!I$65,Calc_TUR_Net_1[[#Headers],[Ausnet]:[United Energy]],0)),8),
ROUND(INDEX(Calc_TUR_NetCL_1[[Ausnet]:[United Energy]],MATCH(OP_Rates!$E74,Calc_TUR_Net_1[[Customer type]:[Customer type]],0),MATCH(OP_Rates!I$65,Calc_TUR_Net_1[[#Headers],[Ausnet]:[United Energy]],0)),8)),
IF($F74="Environmental",
ROUND(SUMIFS(Calc_TUR_Env_1[Jemena],Calc_TUR_Env_1[[Customer type]:[Customer type]],OP_Rates!$E74,Calc_TUR_Env_1[[Rate type]:[Rate type]],OP_Rates!$C74),8))),0,1))</f>
        <v>0</v>
      </c>
      <c r="J74" s="239" cm="1">
        <f t="array" ref="J74">IF(J39="-","-",
IF(ROUND(J39,8)=
IF($F74="Network",
IF($C74&lt;&gt;"Controlled load",
ROUND(INDEX(Calc_TUR_Net_1[[Ausnet]:[United Energy]],MATCH(1,(Calc_TUR_Net_1[[Customer type]:[Customer type]]=OP_Rates!$E74)*(Calc_TUR_Net_1[[Rate type]:[Rate type]]=OP_Rates!$C74),0),MATCH(OP_Rates!J$65,Calc_TUR_Net_1[[#Headers],[Ausnet]:[United Energy]],0)),8),
ROUND(INDEX(Calc_TUR_NetCL_1[[Ausnet]:[United Energy]],MATCH(OP_Rates!$E74,Calc_TUR_Net_1[[Customer type]:[Customer type]],0),MATCH(OP_Rates!J$65,Calc_TUR_Net_1[[#Headers],[Ausnet]:[United Energy]],0)),8)),
IF($F74="Environmental",
ROUND(SUMIFS(Calc_TUR_Env_1[Powercor],Calc_TUR_Env_1[[Customer type]:[Customer type]],OP_Rates!$E74,Calc_TUR_Env_1[[Rate type]:[Rate type]],OP_Rates!$C74),8))),0,1))</f>
        <v>0</v>
      </c>
      <c r="K74" s="239" cm="1">
        <f t="array" ref="K74">IF(K39="-","-",
IF(ROUND(K39,8)=
IF($F74="Network",
IF($C74&lt;&gt;"Controlled load",
ROUND(INDEX(Calc_TUR_Net_1[[Ausnet]:[United Energy]],MATCH(1,(Calc_TUR_Net_1[[Customer type]:[Customer type]]=OP_Rates!$E74)*(Calc_TUR_Net_1[[Rate type]:[Rate type]]=OP_Rates!$C74),0),MATCH(OP_Rates!K$65,Calc_TUR_Net_1[[#Headers],[Ausnet]:[United Energy]],0)),8),
ROUND(INDEX(Calc_TUR_NetCL_1[[Ausnet]:[United Energy]],MATCH(OP_Rates!$E74,Calc_TUR_Net_1[[Customer type]:[Customer type]],0),MATCH(OP_Rates!K$65,Calc_TUR_Net_1[[#Headers],[Ausnet]:[United Energy]],0)),8)),
IF($F74="Environmental",
ROUND(SUMIFS(Calc_TUR_Env_1[United Energy],Calc_TUR_Env_1[[Customer type]:[Customer type]],OP_Rates!$E74,Calc_TUR_Env_1[[Rate type]:[Rate type]],OP_Rates!$C74),8))),0,1))</f>
        <v>0</v>
      </c>
      <c r="M74" s="59"/>
      <c r="N74" s="59"/>
      <c r="O74" s="59"/>
      <c r="P74" s="23"/>
      <c r="Q74" s="239"/>
      <c r="R74" s="239"/>
      <c r="S74" s="239"/>
      <c r="T74" s="239"/>
      <c r="U74" s="239"/>
    </row>
    <row r="75" spans="2:22" outlineLevel="1" collapsed="1" x14ac:dyDescent="0.25"/>
    <row r="78" spans="2:22" ht="16.5" thickBot="1" x14ac:dyDescent="0.3">
      <c r="B78" s="9">
        <f ca="1">MAX(B$3:B77)+0.1</f>
        <v>10.199999999999999</v>
      </c>
      <c r="C78" s="28" t="str">
        <f>"VDO rates - "&amp;Calc_Rates!$D$254</f>
        <v>VDO rates - VDO 2022 - Final</v>
      </c>
      <c r="D78" s="28"/>
      <c r="E78" s="28"/>
      <c r="F78" s="28"/>
      <c r="G78" s="28"/>
      <c r="H78" s="28"/>
      <c r="I78" s="28"/>
      <c r="J78" s="28"/>
      <c r="K78" s="28"/>
      <c r="L78" s="28"/>
      <c r="M78" s="28"/>
      <c r="N78" s="28"/>
      <c r="O78" s="28"/>
      <c r="P78" s="28"/>
      <c r="Q78" s="28"/>
      <c r="R78" s="28"/>
      <c r="S78" s="28"/>
      <c r="T78" s="28"/>
      <c r="U78" s="28"/>
      <c r="V78" s="28"/>
    </row>
    <row r="79" spans="2:22" outlineLevel="1" x14ac:dyDescent="0.25"/>
    <row r="80" spans="2:22" ht="15.75" outlineLevel="1" x14ac:dyDescent="0.25">
      <c r="C80" s="29" t="s">
        <v>623</v>
      </c>
      <c r="M80" s="29" t="s">
        <v>624</v>
      </c>
      <c r="P80" s="87"/>
      <c r="Q80" s="87"/>
      <c r="R80" s="87"/>
    </row>
    <row r="81" spans="1:24" ht="15.75" outlineLevel="1" x14ac:dyDescent="0.25">
      <c r="C81" s="168" t="s">
        <v>331</v>
      </c>
      <c r="D81" s="168" t="s">
        <v>103</v>
      </c>
      <c r="E81" s="168" t="s">
        <v>91</v>
      </c>
      <c r="F81" s="168" t="s">
        <v>9</v>
      </c>
      <c r="G81" s="169" t="s">
        <v>268</v>
      </c>
      <c r="H81" s="169" t="s">
        <v>269</v>
      </c>
      <c r="I81" s="169" t="s">
        <v>270</v>
      </c>
      <c r="J81" s="169" t="s">
        <v>271</v>
      </c>
      <c r="K81" s="169" t="s">
        <v>272</v>
      </c>
      <c r="M81" s="168" t="s">
        <v>331</v>
      </c>
      <c r="N81" s="168" t="s">
        <v>103</v>
      </c>
      <c r="O81" s="168" t="s">
        <v>91</v>
      </c>
      <c r="P81" s="168" t="s">
        <v>9</v>
      </c>
      <c r="Q81" s="169" t="s">
        <v>268</v>
      </c>
      <c r="R81" s="169" t="s">
        <v>269</v>
      </c>
      <c r="S81" s="169" t="s">
        <v>270</v>
      </c>
      <c r="T81" s="169" t="s">
        <v>271</v>
      </c>
      <c r="U81" s="169" t="s">
        <v>272</v>
      </c>
    </row>
    <row r="82" spans="1:24" outlineLevel="1" x14ac:dyDescent="0.25">
      <c r="C82" s="23" t="s">
        <v>550</v>
      </c>
      <c r="D82" s="23" t="s">
        <v>109</v>
      </c>
      <c r="E82" s="23" t="s">
        <v>92</v>
      </c>
      <c r="F82" s="23" t="s">
        <v>9</v>
      </c>
      <c r="G82" s="209" cm="1">
        <f t="array" ref="G82">ROUND(
SUMIFS(OP_Rates_RES_2[Ausnet],OP_Rates_RES_2[[Rate name]:[Rate name]],OP_TotalRates_RES_2[[#This Row],[Rate name]:[Rate name]])+
SUMIFS(OP_RatesTU_RES_2[Ausnet],
OP_RatesTU_RES_2[[Rate name]:[Rate name]],
IF(OP_TotalRates_RES_2[[#This Row],[Unit]:[Unit]]&lt;&gt;"$",OP_TotalRates_RES_2[[#This Row],[Rate name]:[Rate name]],
IF(OP_TotalRates_RES_2[[#This Row],[Rate name]:[Rate name]]="Anytime - supply","Anytime","TOU"))),4)</f>
        <v>1.26</v>
      </c>
      <c r="H82" s="209" cm="1">
        <f t="array" ref="H82">ROUND(
SUMIFS(OP_Rates_RES_2[Citipower],OP_Rates_RES_2[[Rate name]:[Rate name]],OP_TotalRates_RES_2[[#This Row],[Rate name]:[Rate name]])+
SUMIFS(OP_RatesTU_RES_2[Citipower],
OP_RatesTU_RES_2[[Rate name]:[Rate name]],
IF(OP_TotalRates_RES_2[[#This Row],[Unit]:[Unit]]&lt;&gt;"$",OP_TotalRates_RES_2[[#This Row],[Rate name]:[Rate name]],
IF(OP_TotalRates_RES_2[[#This Row],[Rate name]:[Rate name]]="Anytime - supply","Anytime","TOU"))),4)</f>
        <v>1.2022999999999999</v>
      </c>
      <c r="I82" s="209" cm="1">
        <f t="array" ref="I82">ROUND(
SUMIFS(OP_Rates_RES_2[Jemena],OP_Rates_RES_2[[Rate name]:[Rate name]],OP_TotalRates_RES_2[[#This Row],[Rate name]:[Rate name]])+
SUMIFS(OP_RatesTU_RES_2[Jemena],
OP_RatesTU_RES_2[[Rate name]:[Rate name]],
IF(OP_TotalRates_RES_2[[#This Row],[Unit]:[Unit]]&lt;&gt;"$",OP_TotalRates_RES_2[[#This Row],[Rate name]:[Rate name]],
IF(OP_TotalRates_RES_2[[#This Row],[Rate name]:[Rate name]]="Anytime - supply","Anytime","TOU"))),4)</f>
        <v>1.1491</v>
      </c>
      <c r="J82" s="209" cm="1">
        <f t="array" ref="J82">ROUND(
SUMIFS(OP_Rates_RES_2[Powercor],OP_Rates_RES_2[[Rate name]:[Rate name]],OP_TotalRates_RES_2[[#This Row],[Rate name]:[Rate name]])+
SUMIFS(OP_RatesTU_RES_2[Powercor],
OP_RatesTU_RES_2[[Rate name]:[Rate name]],
IF(OP_TotalRates_RES_2[[#This Row],[Unit]:[Unit]]&lt;&gt;"$",OP_TotalRates_RES_2[[#This Row],[Rate name]:[Rate name]],
IF(OP_TotalRates_RES_2[[#This Row],[Rate name]:[Rate name]]="Anytime - supply","Anytime","TOU"))),4)</f>
        <v>1.3459000000000001</v>
      </c>
      <c r="K82" s="209" cm="1">
        <f t="array" ref="K82">ROUND(
SUMIFS(OP_Rates_RES_2[United Energy],OP_Rates_RES_2[[Rate name]:[Rate name]],OP_TotalRates_RES_2[[#This Row],[Rate name]:[Rate name]])+
SUMIFS(OP_RatesTU_RES_2[United Energy],
OP_RatesTU_RES_2[[Rate name]:[Rate name]],
IF(OP_TotalRates_RES_2[[#This Row],[Unit]:[Unit]]&lt;&gt;"$",OP_TotalRates_RES_2[[#This Row],[Rate name]:[Rate name]],
IF(OP_TotalRates_RES_2[[#This Row],[Rate name]:[Rate name]]="Anytime - supply","Anytime","TOU"))),4)</f>
        <v>1.0633999999999999</v>
      </c>
      <c r="M82" s="23" t="s">
        <v>550</v>
      </c>
      <c r="N82" s="23" t="s">
        <v>109</v>
      </c>
      <c r="O82" s="23" t="s">
        <v>93</v>
      </c>
      <c r="P82" s="23" t="s">
        <v>9</v>
      </c>
      <c r="Q82" s="209" cm="1">
        <f t="array" ref="Q82">ROUND(
SUMIFS(OP_Rates_SME_2[Ausnet],OP_Rates_SME_2[[Rate name]:[Rate name]],OP_TotalRates_SME_2[[#This Row],[Rate name]:[Rate name]])+
SUMIFS(OP_RatesTU_SME_2[Ausnet],
OP_RatesTU_SME_2[[Rate name]:[Rate name]],
IF(OP_TotalRates_SME_2[[#This Row],[Unit]:[Unit]]&lt;&gt;"$",OP_TotalRates_SME_2[[#This Row],[Rate name]:[Rate name]],
IF(OP_TotalRates_SME_2[[#This Row],[Rate name]:[Rate name]]="Anytime - supply","Anytime","TOU"))),4)</f>
        <v>1.3355999999999999</v>
      </c>
      <c r="R82" s="209" cm="1">
        <f t="array" ref="R82">ROUND(
SUMIFS(OP_Rates_SME_2[Citipower],OP_Rates_SME_2[[Rate name]:[Rate name]],OP_TotalRates_SME_2[[#This Row],[Rate name]:[Rate name]])+
SUMIFS(OP_RatesTU_SME_2[Citipower],
OP_RatesTU_SME_2[[Rate name]:[Rate name]],
IF(OP_TotalRates_SME_2[[#This Row],[Unit]:[Unit]]&lt;&gt;"$",OP_TotalRates_SME_2[[#This Row],[Rate name]:[Rate name]],
IF(OP_TotalRates_SME_2[[#This Row],[Rate name]:[Rate name]]="Anytime - supply","Anytime","TOU"))),4)</f>
        <v>1.3875999999999999</v>
      </c>
      <c r="S82" s="209" cm="1">
        <f t="array" ref="S82">ROUND(
SUMIFS(OP_Rates_SME_2[Jemena],OP_Rates_SME_2[[Rate name]:[Rate name]],OP_TotalRates_SME_2[[#This Row],[Rate name]:[Rate name]])+
SUMIFS(OP_RatesTU_SME_2[Jemena],
OP_RatesTU_SME_2[[Rate name]:[Rate name]],
IF(OP_TotalRates_SME_2[[#This Row],[Unit]:[Unit]]&lt;&gt;"$",OP_TotalRates_SME_2[[#This Row],[Rate name]:[Rate name]],
IF(OP_TotalRates_SME_2[[#This Row],[Rate name]:[Rate name]]="Anytime - supply","Anytime","TOU"))),4)</f>
        <v>1.3848</v>
      </c>
      <c r="T82" s="209" cm="1">
        <f t="array" ref="T82">ROUND(
SUMIFS(OP_Rates_SME_2[Powercor],OP_Rates_SME_2[[Rate name]:[Rate name]],OP_TotalRates_SME_2[[#This Row],[Rate name]:[Rate name]])+
SUMIFS(OP_RatesTU_SME_2[Powercor],
OP_RatesTU_SME_2[[Rate name]:[Rate name]],
IF(OP_TotalRates_SME_2[[#This Row],[Unit]:[Unit]]&lt;&gt;"$",OP_TotalRates_SME_2[[#This Row],[Rate name]:[Rate name]],
IF(OP_TotalRates_SME_2[[#This Row],[Rate name]:[Rate name]]="Anytime - supply","Anytime","TOU"))),4)</f>
        <v>1.4613</v>
      </c>
      <c r="U82" s="209" cm="1">
        <f t="array" ref="U82">ROUND(
SUMIFS(OP_Rates_SME_2[United Energy],OP_Rates_SME_2[[Rate name]:[Rate name]],OP_TotalRates_SME_2[[#This Row],[Rate name]:[Rate name]])+
SUMIFS(OP_RatesTU_SME_2[United Energy],
OP_RatesTU_SME_2[[Rate name]:[Rate name]],
IF(OP_TotalRates_SME_2[[#This Row],[Unit]:[Unit]]&lt;&gt;"$",OP_TotalRates_SME_2[[#This Row],[Rate name]:[Rate name]],
IF(OP_TotalRates_SME_2[[#This Row],[Rate name]:[Rate name]]="Anytime - supply","Anytime","TOU"))),4)</f>
        <v>1.1520999999999999</v>
      </c>
    </row>
    <row r="83" spans="1:24" outlineLevel="1" x14ac:dyDescent="0.25">
      <c r="C83" s="23" t="s">
        <v>221</v>
      </c>
      <c r="D83" s="23" t="s">
        <v>282</v>
      </c>
      <c r="E83" s="23" t="s">
        <v>92</v>
      </c>
      <c r="F83" s="23" t="s">
        <v>9</v>
      </c>
      <c r="G83" s="209" cm="1">
        <f t="array" ref="G83">ROUND(
SUMIFS(OP_Rates_RES_2[Ausnet],OP_Rates_RES_2[[Rate name]:[Rate name]],OP_TotalRates_RES_2[[#This Row],[Rate name]:[Rate name]])+
SUMIFS(OP_RatesTU_RES_2[Ausnet],
OP_RatesTU_RES_2[[Rate name]:[Rate name]],
IF(OP_TotalRates_RES_2[[#This Row],[Unit]:[Unit]]&lt;&gt;"$",OP_TotalRates_RES_2[[#This Row],[Rate name]:[Rate name]],
IF(OP_TotalRates_RES_2[[#This Row],[Rate name]:[Rate name]]="Anytime - supply","Anytime","TOU"))),4)</f>
        <v>0.26490000000000002</v>
      </c>
      <c r="H83" s="209" cm="1">
        <f t="array" ref="H83">ROUND(
SUMIFS(OP_Rates_RES_2[Citipower],OP_Rates_RES_2[[Rate name]:[Rate name]],OP_TotalRates_RES_2[[#This Row],[Rate name]:[Rate name]])+
SUMIFS(OP_RatesTU_RES_2[Citipower],
OP_RatesTU_RES_2[[Rate name]:[Rate name]],
IF(OP_TotalRates_RES_2[[#This Row],[Unit]:[Unit]]&lt;&gt;"$",OP_TotalRates_RES_2[[#This Row],[Rate name]:[Rate name]],
IF(OP_TotalRates_RES_2[[#This Row],[Rate name]:[Rate name]]="Anytime - supply","Anytime","TOU"))),4)</f>
        <v>0</v>
      </c>
      <c r="I83" s="209" cm="1">
        <f t="array" ref="I83">ROUND(
SUMIFS(OP_Rates_RES_2[Jemena],OP_Rates_RES_2[[Rate name]:[Rate name]],OP_TotalRates_RES_2[[#This Row],[Rate name]:[Rate name]])+
SUMIFS(OP_RatesTU_RES_2[Jemena],
OP_RatesTU_RES_2[[Rate name]:[Rate name]],
IF(OP_TotalRates_RES_2[[#This Row],[Unit]:[Unit]]&lt;&gt;"$",OP_TotalRates_RES_2[[#This Row],[Rate name]:[Rate name]],
IF(OP_TotalRates_RES_2[[#This Row],[Rate name]:[Rate name]]="Anytime - supply","Anytime","TOU"))),4)</f>
        <v>0</v>
      </c>
      <c r="J83" s="209" cm="1">
        <f t="array" ref="J83">ROUND(
SUMIFS(OP_Rates_RES_2[Powercor],OP_Rates_RES_2[[Rate name]:[Rate name]],OP_TotalRates_RES_2[[#This Row],[Rate name]:[Rate name]])+
SUMIFS(OP_RatesTU_RES_2[Powercor],
OP_RatesTU_RES_2[[Rate name]:[Rate name]],
IF(OP_TotalRates_RES_2[[#This Row],[Unit]:[Unit]]&lt;&gt;"$",OP_TotalRates_RES_2[[#This Row],[Rate name]:[Rate name]],
IF(OP_TotalRates_RES_2[[#This Row],[Rate name]:[Rate name]]="Anytime - supply","Anytime","TOU"))),4)</f>
        <v>0</v>
      </c>
      <c r="K83" s="209" cm="1">
        <f t="array" ref="K83">ROUND(
SUMIFS(OP_Rates_RES_2[United Energy],OP_Rates_RES_2[[Rate name]:[Rate name]],OP_TotalRates_RES_2[[#This Row],[Rate name]:[Rate name]])+
SUMIFS(OP_RatesTU_RES_2[United Energy],
OP_RatesTU_RES_2[[Rate name]:[Rate name]],
IF(OP_TotalRates_RES_2[[#This Row],[Unit]:[Unit]]&lt;&gt;"$",OP_TotalRates_RES_2[[#This Row],[Rate name]:[Rate name]],
IF(OP_TotalRates_RES_2[[#This Row],[Rate name]:[Rate name]]="Anytime - supply","Anytime","TOU"))),4)</f>
        <v>0</v>
      </c>
      <c r="M83" s="23" t="s">
        <v>221</v>
      </c>
      <c r="N83" s="23" t="s">
        <v>282</v>
      </c>
      <c r="O83" s="23" t="s">
        <v>93</v>
      </c>
      <c r="P83" s="23" t="s">
        <v>9</v>
      </c>
      <c r="Q83" s="209" cm="1">
        <f t="array" ref="Q83">ROUND(
SUMIFS(OP_Rates_SME_2[Ausnet],OP_Rates_SME_2[[Rate name]:[Rate name]],OP_TotalRates_SME_2[[#This Row],[Rate name]:[Rate name]])+
SUMIFS(OP_RatesTU_SME_2[Ausnet],
OP_RatesTU_SME_2[[Rate name]:[Rate name]],
IF(OP_TotalRates_SME_2[[#This Row],[Unit]:[Unit]]&lt;&gt;"$",OP_TotalRates_SME_2[[#This Row],[Rate name]:[Rate name]],
IF(OP_TotalRates_SME_2[[#This Row],[Rate name]:[Rate name]]="Anytime - supply","Anytime","TOU"))),4)</f>
        <v>0.30159999999999998</v>
      </c>
      <c r="R83" s="209" cm="1">
        <f t="array" ref="R83">ROUND(
SUMIFS(OP_Rates_SME_2[Citipower],OP_Rates_SME_2[[Rate name]:[Rate name]],OP_TotalRates_SME_2[[#This Row],[Rate name]:[Rate name]])+
SUMIFS(OP_RatesTU_SME_2[Citipower],
OP_RatesTU_SME_2[[Rate name]:[Rate name]],
IF(OP_TotalRates_SME_2[[#This Row],[Unit]:[Unit]]&lt;&gt;"$",OP_TotalRates_SME_2[[#This Row],[Rate name]:[Rate name]],
IF(OP_TotalRates_SME_2[[#This Row],[Rate name]:[Rate name]]="Anytime - supply","Anytime","TOU"))),4)</f>
        <v>0</v>
      </c>
      <c r="S83" s="209" cm="1">
        <f t="array" ref="S83">ROUND(
SUMIFS(OP_Rates_SME_2[Jemena],OP_Rates_SME_2[[Rate name]:[Rate name]],OP_TotalRates_SME_2[[#This Row],[Rate name]:[Rate name]])+
SUMIFS(OP_RatesTU_SME_2[Jemena],
OP_RatesTU_SME_2[[Rate name]:[Rate name]],
IF(OP_TotalRates_SME_2[[#This Row],[Unit]:[Unit]]&lt;&gt;"$",OP_TotalRates_SME_2[[#This Row],[Rate name]:[Rate name]],
IF(OP_TotalRates_SME_2[[#This Row],[Rate name]:[Rate name]]="Anytime - supply","Anytime","TOU"))),4)</f>
        <v>0</v>
      </c>
      <c r="T83" s="209" cm="1">
        <f t="array" ref="T83">ROUND(
SUMIFS(OP_Rates_SME_2[Powercor],OP_Rates_SME_2[[Rate name]:[Rate name]],OP_TotalRates_SME_2[[#This Row],[Rate name]:[Rate name]])+
SUMIFS(OP_RatesTU_SME_2[Powercor],
OP_RatesTU_SME_2[[Rate name]:[Rate name]],
IF(OP_TotalRates_SME_2[[#This Row],[Unit]:[Unit]]&lt;&gt;"$",OP_TotalRates_SME_2[[#This Row],[Rate name]:[Rate name]],
IF(OP_TotalRates_SME_2[[#This Row],[Rate name]:[Rate name]]="Anytime - supply","Anytime","TOU"))),4)</f>
        <v>0</v>
      </c>
      <c r="U83" s="209" cm="1">
        <f t="array" ref="U83">ROUND(
SUMIFS(OP_Rates_SME_2[United Energy],OP_Rates_SME_2[[Rate name]:[Rate name]],OP_TotalRates_SME_2[[#This Row],[Rate name]:[Rate name]])+
SUMIFS(OP_RatesTU_SME_2[United Energy],
OP_RatesTU_SME_2[[Rate name]:[Rate name]],
IF(OP_TotalRates_SME_2[[#This Row],[Unit]:[Unit]]&lt;&gt;"$",OP_TotalRates_SME_2[[#This Row],[Rate name]:[Rate name]],
IF(OP_TotalRates_SME_2[[#This Row],[Rate name]:[Rate name]]="Anytime - supply","Anytime","TOU"))),4)</f>
        <v>0</v>
      </c>
    </row>
    <row r="84" spans="1:24" ht="15.75" outlineLevel="1" x14ac:dyDescent="0.25">
      <c r="A84" s="1" t="s">
        <v>23</v>
      </c>
      <c r="C84" s="23" t="s">
        <v>228</v>
      </c>
      <c r="D84" s="23" t="s">
        <v>282</v>
      </c>
      <c r="E84" s="23" t="s">
        <v>92</v>
      </c>
      <c r="F84" s="23" t="s">
        <v>9</v>
      </c>
      <c r="G84" s="209" cm="1">
        <f t="array" ref="G84">ROUND(
SUMIFS(OP_Rates_RES_2[Ausnet],OP_Rates_RES_2[[Rate name]:[Rate name]],OP_TotalRates_RES_2[[#This Row],[Rate name]:[Rate name]])+
SUMIFS(OP_RatesTU_RES_2[Ausnet],
OP_RatesTU_RES_2[[Rate name]:[Rate name]],
IF(OP_TotalRates_RES_2[[#This Row],[Unit]:[Unit]]&lt;&gt;"$",OP_TotalRates_RES_2[[#This Row],[Rate name]:[Rate name]],
IF(OP_TotalRates_RES_2[[#This Row],[Rate name]:[Rate name]]="Anytime - supply","Anytime","TOU"))),4)</f>
        <v>0.28110000000000002</v>
      </c>
      <c r="H84" s="209" cm="1">
        <f t="array" ref="H84">ROUND(
SUMIFS(OP_Rates_RES_2[Citipower],OP_Rates_RES_2[[Rate name]:[Rate name]],OP_TotalRates_RES_2[[#This Row],[Rate name]:[Rate name]])+
SUMIFS(OP_RatesTU_RES_2[Citipower],
OP_RatesTU_RES_2[[Rate name]:[Rate name]],
IF(OP_TotalRates_RES_2[[#This Row],[Unit]:[Unit]]&lt;&gt;"$",OP_TotalRates_RES_2[[#This Row],[Rate name]:[Rate name]],
IF(OP_TotalRates_RES_2[[#This Row],[Rate name]:[Rate name]]="Anytime - supply","Anytime","TOU"))),4)</f>
        <v>0</v>
      </c>
      <c r="I84" s="209" cm="1">
        <f t="array" ref="I84">ROUND(
SUMIFS(OP_Rates_RES_2[Jemena],OP_Rates_RES_2[[Rate name]:[Rate name]],OP_TotalRates_RES_2[[#This Row],[Rate name]:[Rate name]])+
SUMIFS(OP_RatesTU_RES_2[Jemena],
OP_RatesTU_RES_2[[Rate name]:[Rate name]],
IF(OP_TotalRates_RES_2[[#This Row],[Unit]:[Unit]]&lt;&gt;"$",OP_TotalRates_RES_2[[#This Row],[Rate name]:[Rate name]],
IF(OP_TotalRates_RES_2[[#This Row],[Rate name]:[Rate name]]="Anytime - supply","Anytime","TOU"))),4)</f>
        <v>0</v>
      </c>
      <c r="J84" s="209" cm="1">
        <f t="array" ref="J84">ROUND(
SUMIFS(OP_Rates_RES_2[Powercor],OP_Rates_RES_2[[Rate name]:[Rate name]],OP_TotalRates_RES_2[[#This Row],[Rate name]:[Rate name]])+
SUMIFS(OP_RatesTU_RES_2[Powercor],
OP_RatesTU_RES_2[[Rate name]:[Rate name]],
IF(OP_TotalRates_RES_2[[#This Row],[Unit]:[Unit]]&lt;&gt;"$",OP_TotalRates_RES_2[[#This Row],[Rate name]:[Rate name]],
IF(OP_TotalRates_RES_2[[#This Row],[Rate name]:[Rate name]]="Anytime - supply","Anytime","TOU"))),4)</f>
        <v>0</v>
      </c>
      <c r="K84" s="209" cm="1">
        <f t="array" ref="K84">ROUND(
SUMIFS(OP_Rates_RES_2[United Energy],OP_Rates_RES_2[[Rate name]:[Rate name]],OP_TotalRates_RES_2[[#This Row],[Rate name]:[Rate name]])+
SUMIFS(OP_RatesTU_RES_2[United Energy],
OP_RatesTU_RES_2[[Rate name]:[Rate name]],
IF(OP_TotalRates_RES_2[[#This Row],[Unit]:[Unit]]&lt;&gt;"$",OP_TotalRates_RES_2[[#This Row],[Rate name]:[Rate name]],
IF(OP_TotalRates_RES_2[[#This Row],[Rate name]:[Rate name]]="Anytime - supply","Anytime","TOU"))),4)</f>
        <v>0</v>
      </c>
      <c r="M84" s="23" t="s">
        <v>228</v>
      </c>
      <c r="N84" s="23" t="s">
        <v>282</v>
      </c>
      <c r="O84" s="23" t="s">
        <v>93</v>
      </c>
      <c r="P84" s="23" t="s">
        <v>9</v>
      </c>
      <c r="Q84" s="209" cm="1">
        <f t="array" ref="Q84">ROUND(
SUMIFS(OP_Rates_SME_2[Ausnet],OP_Rates_SME_2[[Rate name]:[Rate name]],OP_TotalRates_SME_2[[#This Row],[Rate name]:[Rate name]])+
SUMIFS(OP_RatesTU_SME_2[Ausnet],
OP_RatesTU_SME_2[[Rate name]:[Rate name]],
IF(OP_TotalRates_SME_2[[#This Row],[Unit]:[Unit]]&lt;&gt;"$",OP_TotalRates_SME_2[[#This Row],[Rate name]:[Rate name]],
IF(OP_TotalRates_SME_2[[#This Row],[Rate name]:[Rate name]]="Anytime - supply","Anytime","TOU"))),4)</f>
        <v>0.33350000000000002</v>
      </c>
      <c r="R84" s="209" cm="1">
        <f t="array" ref="R84">ROUND(
SUMIFS(OP_Rates_SME_2[Citipower],OP_Rates_SME_2[[Rate name]:[Rate name]],OP_TotalRates_SME_2[[#This Row],[Rate name]:[Rate name]])+
SUMIFS(OP_RatesTU_SME_2[Citipower],
OP_RatesTU_SME_2[[Rate name]:[Rate name]],
IF(OP_TotalRates_SME_2[[#This Row],[Unit]:[Unit]]&lt;&gt;"$",OP_TotalRates_SME_2[[#This Row],[Rate name]:[Rate name]],
IF(OP_TotalRates_SME_2[[#This Row],[Rate name]:[Rate name]]="Anytime - supply","Anytime","TOU"))),4)</f>
        <v>0</v>
      </c>
      <c r="S84" s="209" cm="1">
        <f t="array" ref="S84">ROUND(
SUMIFS(OP_Rates_SME_2[Jemena],OP_Rates_SME_2[[Rate name]:[Rate name]],OP_TotalRates_SME_2[[#This Row],[Rate name]:[Rate name]])+
SUMIFS(OP_RatesTU_SME_2[Jemena],
OP_RatesTU_SME_2[[Rate name]:[Rate name]],
IF(OP_TotalRates_SME_2[[#This Row],[Unit]:[Unit]]&lt;&gt;"$",OP_TotalRates_SME_2[[#This Row],[Rate name]:[Rate name]],
IF(OP_TotalRates_SME_2[[#This Row],[Rate name]:[Rate name]]="Anytime - supply","Anytime","TOU"))),4)</f>
        <v>0</v>
      </c>
      <c r="T84" s="209" cm="1">
        <f t="array" ref="T84">ROUND(
SUMIFS(OP_Rates_SME_2[Powercor],OP_Rates_SME_2[[Rate name]:[Rate name]],OP_TotalRates_SME_2[[#This Row],[Rate name]:[Rate name]])+
SUMIFS(OP_RatesTU_SME_2[Powercor],
OP_RatesTU_SME_2[[Rate name]:[Rate name]],
IF(OP_TotalRates_SME_2[[#This Row],[Unit]:[Unit]]&lt;&gt;"$",OP_TotalRates_SME_2[[#This Row],[Rate name]:[Rate name]],
IF(OP_TotalRates_SME_2[[#This Row],[Rate name]:[Rate name]]="Anytime - supply","Anytime","TOU"))),4)</f>
        <v>0</v>
      </c>
      <c r="U84" s="209" cm="1">
        <f t="array" ref="U84">ROUND(
SUMIFS(OP_Rates_SME_2[United Energy],OP_Rates_SME_2[[Rate name]:[Rate name]],OP_TotalRates_SME_2[[#This Row],[Rate name]:[Rate name]])+
SUMIFS(OP_RatesTU_SME_2[United Energy],
OP_RatesTU_SME_2[[Rate name]:[Rate name]],
IF(OP_TotalRates_SME_2[[#This Row],[Unit]:[Unit]]&lt;&gt;"$",OP_TotalRates_SME_2[[#This Row],[Rate name]:[Rate name]],
IF(OP_TotalRates_SME_2[[#This Row],[Rate name]:[Rate name]]="Anytime - supply","Anytime","TOU"))),4)</f>
        <v>0</v>
      </c>
    </row>
    <row r="85" spans="1:24" ht="15.75" outlineLevel="1" x14ac:dyDescent="0.25">
      <c r="A85" s="1"/>
      <c r="C85" s="23" t="s">
        <v>549</v>
      </c>
      <c r="D85" s="23" t="s">
        <v>282</v>
      </c>
      <c r="E85" s="23" t="s">
        <v>92</v>
      </c>
      <c r="F85" s="23" t="s">
        <v>9</v>
      </c>
      <c r="G85" s="209" cm="1">
        <f t="array" ref="G85">ROUND(
SUMIFS(OP_Rates_RES_2[Ausnet],OP_Rates_RES_2[[Rate name]:[Rate name]],OP_TotalRates_RES_2[[#This Row],[Rate name]:[Rate name]])+
SUMIFS(OP_RatesTU_RES_2[Ausnet],
OP_RatesTU_RES_2[[Rate name]:[Rate name]],
IF(OP_TotalRates_RES_2[[#This Row],[Unit]:[Unit]]&lt;&gt;"$",OP_TotalRates_RES_2[[#This Row],[Rate name]:[Rate name]],
IF(OP_TotalRates_RES_2[[#This Row],[Rate name]:[Rate name]]="Anytime - supply","Anytime","TOU"))),4)</f>
        <v>0</v>
      </c>
      <c r="H85" s="209" cm="1">
        <f t="array" ref="H85">ROUND(
SUMIFS(OP_Rates_RES_2[Citipower],OP_Rates_RES_2[[Rate name]:[Rate name]],OP_TotalRates_RES_2[[#This Row],[Rate name]:[Rate name]])+
SUMIFS(OP_RatesTU_RES_2[Citipower],
OP_RatesTU_RES_2[[Rate name]:[Rate name]],
IF(OP_TotalRates_RES_2[[#This Row],[Unit]:[Unit]]&lt;&gt;"$",OP_TotalRates_RES_2[[#This Row],[Rate name]:[Rate name]],
IF(OP_TotalRates_RES_2[[#This Row],[Rate name]:[Rate name]]="Anytime - supply","Anytime","TOU"))),4)</f>
        <v>0.21709999999999999</v>
      </c>
      <c r="I85" s="209" cm="1">
        <f t="array" ref="I85">ROUND(
SUMIFS(OP_Rates_RES_2[Jemena],OP_Rates_RES_2[[Rate name]:[Rate name]],OP_TotalRates_RES_2[[#This Row],[Rate name]:[Rate name]])+
SUMIFS(OP_RatesTU_RES_2[Jemena],
OP_RatesTU_RES_2[[Rate name]:[Rate name]],
IF(OP_TotalRates_RES_2[[#This Row],[Unit]:[Unit]]&lt;&gt;"$",OP_TotalRates_RES_2[[#This Row],[Rate name]:[Rate name]],
IF(OP_TotalRates_RES_2[[#This Row],[Rate name]:[Rate name]]="Anytime - supply","Anytime","TOU"))),4)</f>
        <v>0.23069999999999999</v>
      </c>
      <c r="J85" s="209" cm="1">
        <f t="array" ref="J85">ROUND(
SUMIFS(OP_Rates_RES_2[Powercor],OP_Rates_RES_2[[Rate name]:[Rate name]],OP_TotalRates_RES_2[[#This Row],[Rate name]:[Rate name]])+
SUMIFS(OP_RatesTU_RES_2[Powercor],
OP_RatesTU_RES_2[[Rate name]:[Rate name]],
IF(OP_TotalRates_RES_2[[#This Row],[Unit]:[Unit]]&lt;&gt;"$",OP_TotalRates_RES_2[[#This Row],[Rate name]:[Rate name]],
IF(OP_TotalRates_RES_2[[#This Row],[Rate name]:[Rate name]]="Anytime - supply","Anytime","TOU"))),4)</f>
        <v>0.2235</v>
      </c>
      <c r="K85" s="209" cm="1">
        <f t="array" ref="K85">ROUND(
SUMIFS(OP_Rates_RES_2[United Energy],OP_Rates_RES_2[[Rate name]:[Rate name]],OP_TotalRates_RES_2[[#This Row],[Rate name]:[Rate name]])+
SUMIFS(OP_RatesTU_RES_2[United Energy],
OP_RatesTU_RES_2[[Rate name]:[Rate name]],
IF(OP_TotalRates_RES_2[[#This Row],[Unit]:[Unit]]&lt;&gt;"$",OP_TotalRates_RES_2[[#This Row],[Rate name]:[Rate name]],
IF(OP_TotalRates_RES_2[[#This Row],[Rate name]:[Rate name]]="Anytime - supply","Anytime","TOU"))),4)</f>
        <v>0.22420000000000001</v>
      </c>
      <c r="M85" s="23" t="s">
        <v>549</v>
      </c>
      <c r="N85" s="23" t="s">
        <v>282</v>
      </c>
      <c r="O85" s="23" t="s">
        <v>93</v>
      </c>
      <c r="P85" s="23" t="s">
        <v>9</v>
      </c>
      <c r="Q85" s="209" cm="1">
        <f t="array" ref="Q85">ROUND(
SUMIFS(OP_Rates_SME_2[Ausnet],OP_Rates_SME_2[[Rate name]:[Rate name]],OP_TotalRates_SME_2[[#This Row],[Rate name]:[Rate name]])+
SUMIFS(OP_RatesTU_SME_2[Ausnet],
OP_RatesTU_SME_2[[Rate name]:[Rate name]],
IF(OP_TotalRates_SME_2[[#This Row],[Unit]:[Unit]]&lt;&gt;"$",OP_TotalRates_SME_2[[#This Row],[Rate name]:[Rate name]],
IF(OP_TotalRates_SME_2[[#This Row],[Rate name]:[Rate name]]="Anytime - supply","Anytime","TOU"))),4)</f>
        <v>0</v>
      </c>
      <c r="R85" s="209" cm="1">
        <f t="array" ref="R85">ROUND(
SUMIFS(OP_Rates_SME_2[Citipower],OP_Rates_SME_2[[Rate name]:[Rate name]],OP_TotalRates_SME_2[[#This Row],[Rate name]:[Rate name]])+
SUMIFS(OP_RatesTU_SME_2[Citipower],
OP_RatesTU_SME_2[[Rate name]:[Rate name]],
IF(OP_TotalRates_SME_2[[#This Row],[Unit]:[Unit]]&lt;&gt;"$",OP_TotalRates_SME_2[[#This Row],[Rate name]:[Rate name]],
IF(OP_TotalRates_SME_2[[#This Row],[Rate name]:[Rate name]]="Anytime - supply","Anytime","TOU"))),4)</f>
        <v>0.21410000000000001</v>
      </c>
      <c r="S85" s="209" cm="1">
        <f t="array" ref="S85">ROUND(
SUMIFS(OP_Rates_SME_2[Jemena],OP_Rates_SME_2[[Rate name]:[Rate name]],OP_TotalRates_SME_2[[#This Row],[Rate name]:[Rate name]])+
SUMIFS(OP_RatesTU_SME_2[Jemena],
OP_RatesTU_SME_2[[Rate name]:[Rate name]],
IF(OP_TotalRates_SME_2[[#This Row],[Unit]:[Unit]]&lt;&gt;"$",OP_TotalRates_SME_2[[#This Row],[Rate name]:[Rate name]],
IF(OP_TotalRates_SME_2[[#This Row],[Rate name]:[Rate name]]="Anytime - supply","Anytime","TOU"))),4)</f>
        <v>0.2457</v>
      </c>
      <c r="T85" s="209" cm="1">
        <f t="array" ref="T85">ROUND(
SUMIFS(OP_Rates_SME_2[Powercor],OP_Rates_SME_2[[Rate name]:[Rate name]],OP_TotalRates_SME_2[[#This Row],[Rate name]:[Rate name]])+
SUMIFS(OP_RatesTU_SME_2[Powercor],
OP_RatesTU_SME_2[[Rate name]:[Rate name]],
IF(OP_TotalRates_SME_2[[#This Row],[Unit]:[Unit]]&lt;&gt;"$",OP_TotalRates_SME_2[[#This Row],[Rate name]:[Rate name]],
IF(OP_TotalRates_SME_2[[#This Row],[Rate name]:[Rate name]]="Anytime - supply","Anytime","TOU"))),4)</f>
        <v>0.22570000000000001</v>
      </c>
      <c r="U85" s="209" cm="1">
        <f t="array" ref="U85">ROUND(
SUMIFS(OP_Rates_SME_2[United Energy],OP_Rates_SME_2[[Rate name]:[Rate name]],OP_TotalRates_SME_2[[#This Row],[Rate name]:[Rate name]])+
SUMIFS(OP_RatesTU_SME_2[United Energy],
OP_RatesTU_SME_2[[Rate name]:[Rate name]],
IF(OP_TotalRates_SME_2[[#This Row],[Unit]:[Unit]]&lt;&gt;"$",OP_TotalRates_SME_2[[#This Row],[Rate name]:[Rate name]],
IF(OP_TotalRates_SME_2[[#This Row],[Rate name]:[Rate name]]="Anytime - supply","Anytime","TOU"))),4)</f>
        <v>0.2225</v>
      </c>
    </row>
    <row r="86" spans="1:24" ht="15.75" outlineLevel="1" x14ac:dyDescent="0.25">
      <c r="A86" s="1"/>
      <c r="C86" s="23" t="s">
        <v>551</v>
      </c>
      <c r="D86" s="23" t="s">
        <v>109</v>
      </c>
      <c r="E86" s="23" t="s">
        <v>92</v>
      </c>
      <c r="F86" s="23" t="s">
        <v>9</v>
      </c>
      <c r="G86" s="209" cm="1">
        <f t="array" ref="G86">ROUND(
SUMIFS(OP_Rates_RES_2[Ausnet],OP_Rates_RES_2[[Rate name]:[Rate name]],OP_TotalRates_RES_2[[#This Row],[Rate name]:[Rate name]])+
SUMIFS(OP_RatesTU_RES_2[Ausnet],
OP_RatesTU_RES_2[[Rate name]:[Rate name]],
IF(OP_TotalRates_RES_2[[#This Row],[Unit]:[Unit]]&lt;&gt;"$",OP_TotalRates_RES_2[[#This Row],[Rate name]:[Rate name]],
IF(OP_TotalRates_RES_2[[#This Row],[Rate name]:[Rate name]]="Anytime - supply","Anytime","TOU"))),4)</f>
        <v>1.1587000000000001</v>
      </c>
      <c r="H86" s="209" cm="1">
        <f t="array" ref="H86">ROUND(
SUMIFS(OP_Rates_RES_2[Citipower],OP_Rates_RES_2[[Rate name]:[Rate name]],OP_TotalRates_RES_2[[#This Row],[Rate name]:[Rate name]])+
SUMIFS(OP_RatesTU_RES_2[Citipower],
OP_RatesTU_RES_2[[Rate name]:[Rate name]],
IF(OP_TotalRates_RES_2[[#This Row],[Unit]:[Unit]]&lt;&gt;"$",OP_TotalRates_RES_2[[#This Row],[Rate name]:[Rate name]],
IF(OP_TotalRates_RES_2[[#This Row],[Rate name]:[Rate name]]="Anytime - supply","Anytime","TOU"))),4)</f>
        <v>1.1948000000000001</v>
      </c>
      <c r="I86" s="209" cm="1">
        <f t="array" ref="I86">ROUND(
SUMIFS(OP_Rates_RES_2[Jemena],OP_Rates_RES_2[[Rate name]:[Rate name]],OP_TotalRates_RES_2[[#This Row],[Rate name]:[Rate name]])+
SUMIFS(OP_RatesTU_RES_2[Jemena],
OP_RatesTU_RES_2[[Rate name]:[Rate name]],
IF(OP_TotalRates_RES_2[[#This Row],[Unit]:[Unit]]&lt;&gt;"$",OP_TotalRates_RES_2[[#This Row],[Rate name]:[Rate name]],
IF(OP_TotalRates_RES_2[[#This Row],[Rate name]:[Rate name]]="Anytime - supply","Anytime","TOU"))),4)</f>
        <v>1.0508</v>
      </c>
      <c r="J86" s="209" cm="1">
        <f t="array" ref="J86">ROUND(
SUMIFS(OP_Rates_RES_2[Powercor],OP_Rates_RES_2[[Rate name]:[Rate name]],OP_TotalRates_RES_2[[#This Row],[Rate name]:[Rate name]])+
SUMIFS(OP_RatesTU_RES_2[Powercor],
OP_RatesTU_RES_2[[Rate name]:[Rate name]],
IF(OP_TotalRates_RES_2[[#This Row],[Unit]:[Unit]]&lt;&gt;"$",OP_TotalRates_RES_2[[#This Row],[Rate name]:[Rate name]],
IF(OP_TotalRates_RES_2[[#This Row],[Rate name]:[Rate name]]="Anytime - supply","Anytime","TOU"))),4)</f>
        <v>1.3301000000000001</v>
      </c>
      <c r="K86" s="209" cm="1">
        <f t="array" ref="K86">ROUND(
SUMIFS(OP_Rates_RES_2[United Energy],OP_Rates_RES_2[[Rate name]:[Rate name]],OP_TotalRates_RES_2[[#This Row],[Rate name]:[Rate name]])+
SUMIFS(OP_RatesTU_RES_2[United Energy],
OP_RatesTU_RES_2[[Rate name]:[Rate name]],
IF(OP_TotalRates_RES_2[[#This Row],[Unit]:[Unit]]&lt;&gt;"$",OP_TotalRates_RES_2[[#This Row],[Rate name]:[Rate name]],
IF(OP_TotalRates_RES_2[[#This Row],[Rate name]:[Rate name]]="Anytime - supply","Anytime","TOU"))),4)</f>
        <v>1.0552999999999999</v>
      </c>
      <c r="M86" s="23" t="s">
        <v>551</v>
      </c>
      <c r="N86" s="23" t="s">
        <v>109</v>
      </c>
      <c r="O86" s="23" t="s">
        <v>93</v>
      </c>
      <c r="P86" s="23" t="s">
        <v>9</v>
      </c>
      <c r="Q86" s="209" cm="1">
        <f t="array" ref="Q86">ROUND(
SUMIFS(OP_Rates_SME_2[Ausnet],OP_Rates_SME_2[[Rate name]:[Rate name]],OP_TotalRates_SME_2[[#This Row],[Rate name]:[Rate name]])+
SUMIFS(OP_RatesTU_SME_2[Ausnet],
OP_RatesTU_SME_2[[Rate name]:[Rate name]],
IF(OP_TotalRates_SME_2[[#This Row],[Unit]:[Unit]]&lt;&gt;"$",OP_TotalRates_SME_2[[#This Row],[Rate name]:[Rate name]],
IF(OP_TotalRates_SME_2[[#This Row],[Rate name]:[Rate name]]="Anytime - supply","Anytime","TOU"))),4)</f>
        <v>0.86480000000000001</v>
      </c>
      <c r="R86" s="209" cm="1">
        <f t="array" ref="R86">ROUND(
SUMIFS(OP_Rates_SME_2[Citipower],OP_Rates_SME_2[[Rate name]:[Rate name]],OP_TotalRates_SME_2[[#This Row],[Rate name]:[Rate name]])+
SUMIFS(OP_RatesTU_SME_2[Citipower],
OP_RatesTU_SME_2[[Rate name]:[Rate name]],
IF(OP_TotalRates_SME_2[[#This Row],[Unit]:[Unit]]&lt;&gt;"$",OP_TotalRates_SME_2[[#This Row],[Rate name]:[Rate name]],
IF(OP_TotalRates_SME_2[[#This Row],[Rate name]:[Rate name]]="Anytime - supply","Anytime","TOU"))),4)</f>
        <v>1.3568</v>
      </c>
      <c r="S86" s="209" cm="1">
        <f t="array" ref="S86">ROUND(
SUMIFS(OP_Rates_SME_2[Jemena],OP_Rates_SME_2[[Rate name]:[Rate name]],OP_TotalRates_SME_2[[#This Row],[Rate name]:[Rate name]])+
SUMIFS(OP_RatesTU_SME_2[Jemena],
OP_RatesTU_SME_2[[Rate name]:[Rate name]],
IF(OP_TotalRates_SME_2[[#This Row],[Unit]:[Unit]]&lt;&gt;"$",OP_TotalRates_SME_2[[#This Row],[Rate name]:[Rate name]],
IF(OP_TotalRates_SME_2[[#This Row],[Rate name]:[Rate name]]="Anytime - supply","Anytime","TOU"))),4)</f>
        <v>1.6395</v>
      </c>
      <c r="T86" s="209" cm="1">
        <f t="array" ref="T86">ROUND(
SUMIFS(OP_Rates_SME_2[Powercor],OP_Rates_SME_2[[Rate name]:[Rate name]],OP_TotalRates_SME_2[[#This Row],[Rate name]:[Rate name]])+
SUMIFS(OP_RatesTU_SME_2[Powercor],
OP_RatesTU_SME_2[[Rate name]:[Rate name]],
IF(OP_TotalRates_SME_2[[#This Row],[Unit]:[Unit]]&lt;&gt;"$",OP_TotalRates_SME_2[[#This Row],[Rate name]:[Rate name]],
IF(OP_TotalRates_SME_2[[#This Row],[Rate name]:[Rate name]]="Anytime - supply","Anytime","TOU"))),4)</f>
        <v>1.4275</v>
      </c>
      <c r="U86" s="209" cm="1">
        <f t="array" ref="U86">ROUND(
SUMIFS(OP_Rates_SME_2[United Energy],OP_Rates_SME_2[[Rate name]:[Rate name]],OP_TotalRates_SME_2[[#This Row],[Rate name]:[Rate name]])+
SUMIFS(OP_RatesTU_SME_2[United Energy],
OP_RatesTU_SME_2[[Rate name]:[Rate name]],
IF(OP_TotalRates_SME_2[[#This Row],[Unit]:[Unit]]&lt;&gt;"$",OP_TotalRates_SME_2[[#This Row],[Rate name]:[Rate name]],
IF(OP_TotalRates_SME_2[[#This Row],[Rate name]:[Rate name]]="Anytime - supply","Anytime","TOU"))),4)</f>
        <v>1.1218999999999999</v>
      </c>
    </row>
    <row r="87" spans="1:24" ht="15.75" outlineLevel="1" x14ac:dyDescent="0.25">
      <c r="A87" s="1"/>
      <c r="C87" s="23" t="s">
        <v>230</v>
      </c>
      <c r="D87" s="23" t="s">
        <v>282</v>
      </c>
      <c r="E87" s="23" t="s">
        <v>92</v>
      </c>
      <c r="F87" s="23" t="s">
        <v>9</v>
      </c>
      <c r="G87" s="209" cm="1">
        <f t="array" ref="G87">ROUND(
SUMIFS(OP_Rates_RES_2[Ausnet],OP_Rates_RES_2[[Rate name]:[Rate name]],OP_TotalRates_RES_2[[#This Row],[Rate name]:[Rate name]])+
SUMIFS(OP_RatesTU_RES_2[Ausnet],
OP_RatesTU_RES_2[[Rate name]:[Rate name]],
IF(OP_TotalRates_RES_2[[#This Row],[Unit]:[Unit]]&lt;&gt;"$",OP_TotalRates_RES_2[[#This Row],[Rate name]:[Rate name]],
IF(OP_TotalRates_RES_2[[#This Row],[Rate name]:[Rate name]]="Anytime - supply","Anytime","TOU"))),4)</f>
        <v>0.37459999999999999</v>
      </c>
      <c r="H87" s="209" cm="1">
        <f t="array" ref="H87">ROUND(
SUMIFS(OP_Rates_RES_2[Citipower],OP_Rates_RES_2[[Rate name]:[Rate name]],OP_TotalRates_RES_2[[#This Row],[Rate name]:[Rate name]])+
SUMIFS(OP_RatesTU_RES_2[Citipower],
OP_RatesTU_RES_2[[Rate name]:[Rate name]],
IF(OP_TotalRates_RES_2[[#This Row],[Unit]:[Unit]]&lt;&gt;"$",OP_TotalRates_RES_2[[#This Row],[Rate name]:[Rate name]],
IF(OP_TotalRates_RES_2[[#This Row],[Rate name]:[Rate name]]="Anytime - supply","Anytime","TOU"))),4)</f>
        <v>0.30909999999999999</v>
      </c>
      <c r="I87" s="209" cm="1">
        <f t="array" ref="I87">ROUND(
SUMIFS(OP_Rates_RES_2[Jemena],OP_Rates_RES_2[[Rate name]:[Rate name]],OP_TotalRates_RES_2[[#This Row],[Rate name]:[Rate name]])+
SUMIFS(OP_RatesTU_RES_2[Jemena],
OP_RatesTU_RES_2[[Rate name]:[Rate name]],
IF(OP_TotalRates_RES_2[[#This Row],[Unit]:[Unit]]&lt;&gt;"$",OP_TotalRates_RES_2[[#This Row],[Rate name]:[Rate name]],
IF(OP_TotalRates_RES_2[[#This Row],[Rate name]:[Rate name]]="Anytime - supply","Anytime","TOU"))),4)</f>
        <v>0.28699999999999998</v>
      </c>
      <c r="J87" s="209" cm="1">
        <f t="array" ref="J87">ROUND(
SUMIFS(OP_Rates_RES_2[Powercor],OP_Rates_RES_2[[Rate name]:[Rate name]],OP_TotalRates_RES_2[[#This Row],[Rate name]:[Rate name]])+
SUMIFS(OP_RatesTU_RES_2[Powercor],
OP_RatesTU_RES_2[[Rate name]:[Rate name]],
IF(OP_TotalRates_RES_2[[#This Row],[Unit]:[Unit]]&lt;&gt;"$",OP_TotalRates_RES_2[[#This Row],[Rate name]:[Rate name]],
IF(OP_TotalRates_RES_2[[#This Row],[Rate name]:[Rate name]]="Anytime - supply","Anytime","TOU"))),4)</f>
        <v>0.3135</v>
      </c>
      <c r="K87" s="209" cm="1">
        <f t="array" ref="K87">ROUND(
SUMIFS(OP_Rates_RES_2[United Energy],OP_Rates_RES_2[[Rate name]:[Rate name]],OP_TotalRates_RES_2[[#This Row],[Rate name]:[Rate name]])+
SUMIFS(OP_RatesTU_RES_2[United Energy],
OP_RatesTU_RES_2[[Rate name]:[Rate name]],
IF(OP_TotalRates_RES_2[[#This Row],[Unit]:[Unit]]&lt;&gt;"$",OP_TotalRates_RES_2[[#This Row],[Rate name]:[Rate name]],
IF(OP_TotalRates_RES_2[[#This Row],[Rate name]:[Rate name]]="Anytime - supply","Anytime","TOU"))),4)</f>
        <v>0.31519999999999998</v>
      </c>
      <c r="M87" s="23" t="s">
        <v>230</v>
      </c>
      <c r="N87" s="23" t="s">
        <v>282</v>
      </c>
      <c r="O87" s="23" t="s">
        <v>93</v>
      </c>
      <c r="P87" s="23" t="s">
        <v>9</v>
      </c>
      <c r="Q87" s="209" cm="1">
        <f t="array" ref="Q87">ROUND(
SUMIFS(OP_Rates_SME_2[Ausnet],OP_Rates_SME_2[[Rate name]:[Rate name]],OP_TotalRates_SME_2[[#This Row],[Rate name]:[Rate name]])+
SUMIFS(OP_RatesTU_SME_2[Ausnet],
OP_RatesTU_SME_2[[Rate name]:[Rate name]],
IF(OP_TotalRates_SME_2[[#This Row],[Unit]:[Unit]]&lt;&gt;"$",OP_TotalRates_SME_2[[#This Row],[Rate name]:[Rate name]],
IF(OP_TotalRates_SME_2[[#This Row],[Rate name]:[Rate name]]="Anytime - supply","Anytime","TOU"))),4)</f>
        <v>0.3246</v>
      </c>
      <c r="R87" s="209" cm="1">
        <f t="array" ref="R87">ROUND(
SUMIFS(OP_Rates_SME_2[Citipower],OP_Rates_SME_2[[Rate name]:[Rate name]],OP_TotalRates_SME_2[[#This Row],[Rate name]:[Rate name]])+
SUMIFS(OP_RatesTU_SME_2[Citipower],
OP_RatesTU_SME_2[[Rate name]:[Rate name]],
IF(OP_TotalRates_SME_2[[#This Row],[Unit]:[Unit]]&lt;&gt;"$",OP_TotalRates_SME_2[[#This Row],[Rate name]:[Rate name]],
IF(OP_TotalRates_SME_2[[#This Row],[Rate name]:[Rate name]]="Anytime - supply","Anytime","TOU"))),4)</f>
        <v>0.2702</v>
      </c>
      <c r="S87" s="209" cm="1">
        <f t="array" ref="S87">ROUND(
SUMIFS(OP_Rates_SME_2[Jemena],OP_Rates_SME_2[[Rate name]:[Rate name]],OP_TotalRates_SME_2[[#This Row],[Rate name]:[Rate name]])+
SUMIFS(OP_RatesTU_SME_2[Jemena],
OP_RatesTU_SME_2[[Rate name]:[Rate name]],
IF(OP_TotalRates_SME_2[[#This Row],[Unit]:[Unit]]&lt;&gt;"$",OP_TotalRates_SME_2[[#This Row],[Rate name]:[Rate name]],
IF(OP_TotalRates_SME_2[[#This Row],[Rate name]:[Rate name]]="Anytime - supply","Anytime","TOU"))),4)</f>
        <v>0.28489999999999999</v>
      </c>
      <c r="T87" s="209" cm="1">
        <f t="array" ref="T87">ROUND(
SUMIFS(OP_Rates_SME_2[Powercor],OP_Rates_SME_2[[Rate name]:[Rate name]],OP_TotalRates_SME_2[[#This Row],[Rate name]:[Rate name]])+
SUMIFS(OP_RatesTU_SME_2[Powercor],
OP_RatesTU_SME_2[[Rate name]:[Rate name]],
IF(OP_TotalRates_SME_2[[#This Row],[Unit]:[Unit]]&lt;&gt;"$",OP_TotalRates_SME_2[[#This Row],[Rate name]:[Rate name]],
IF(OP_TotalRates_SME_2[[#This Row],[Rate name]:[Rate name]]="Anytime - supply","Anytime","TOU"))),4)</f>
        <v>0.28939999999999999</v>
      </c>
      <c r="U87" s="209" cm="1">
        <f t="array" ref="U87">ROUND(
SUMIFS(OP_Rates_SME_2[United Energy],OP_Rates_SME_2[[Rate name]:[Rate name]],OP_TotalRates_SME_2[[#This Row],[Rate name]:[Rate name]])+
SUMIFS(OP_RatesTU_SME_2[United Energy],
OP_RatesTU_SME_2[[Rate name]:[Rate name]],
IF(OP_TotalRates_SME_2[[#This Row],[Unit]:[Unit]]&lt;&gt;"$",OP_TotalRates_SME_2[[#This Row],[Rate name]:[Rate name]],
IF(OP_TotalRates_SME_2[[#This Row],[Rate name]:[Rate name]]="Anytime - supply","Anytime","TOU"))),4)</f>
        <v>0.28320000000000001</v>
      </c>
    </row>
    <row r="88" spans="1:24" ht="15.75" outlineLevel="1" x14ac:dyDescent="0.25">
      <c r="A88" s="1"/>
      <c r="C88" s="23" t="s">
        <v>609</v>
      </c>
      <c r="D88" s="23" t="s">
        <v>282</v>
      </c>
      <c r="E88" s="23" t="s">
        <v>92</v>
      </c>
      <c r="F88" s="23" t="s">
        <v>9</v>
      </c>
      <c r="G88" s="209" cm="1">
        <f t="array" ref="G88">ROUND(
SUMIFS(OP_Rates_RES_2[Ausnet],OP_Rates_RES_2[[Rate name]:[Rate name]],OP_TotalRates_RES_2[[#This Row],[Rate name]:[Rate name]])+
SUMIFS(OP_RatesTU_RES_2[Ausnet],
OP_RatesTU_RES_2[[Rate name]:[Rate name]],
IF(OP_TotalRates_RES_2[[#This Row],[Unit]:[Unit]]&lt;&gt;"$",OP_TotalRates_RES_2[[#This Row],[Rate name]:[Rate name]],
IF(OP_TotalRates_RES_2[[#This Row],[Rate name]:[Rate name]]="Anytime - supply","Anytime","TOU"))),4)</f>
        <v>0.182</v>
      </c>
      <c r="H88" s="209" cm="1">
        <f t="array" ref="H88">ROUND(
SUMIFS(OP_Rates_RES_2[Citipower],OP_Rates_RES_2[[Rate name]:[Rate name]],OP_TotalRates_RES_2[[#This Row],[Rate name]:[Rate name]])+
SUMIFS(OP_RatesTU_RES_2[Citipower],
OP_RatesTU_RES_2[[Rate name]:[Rate name]],
IF(OP_TotalRates_RES_2[[#This Row],[Unit]:[Unit]]&lt;&gt;"$",OP_TotalRates_RES_2[[#This Row],[Rate name]:[Rate name]],
IF(OP_TotalRates_RES_2[[#This Row],[Rate name]:[Rate name]]="Anytime - supply","Anytime","TOU"))),4)</f>
        <v>0.1696</v>
      </c>
      <c r="I88" s="209" cm="1">
        <f t="array" ref="I88">ROUND(
SUMIFS(OP_Rates_RES_2[Jemena],OP_Rates_RES_2[[Rate name]:[Rate name]],OP_TotalRates_RES_2[[#This Row],[Rate name]:[Rate name]])+
SUMIFS(OP_RatesTU_RES_2[Jemena],
OP_RatesTU_RES_2[[Rate name]:[Rate name]],
IF(OP_TotalRates_RES_2[[#This Row],[Unit]:[Unit]]&lt;&gt;"$",OP_TotalRates_RES_2[[#This Row],[Rate name]:[Rate name]],
IF(OP_TotalRates_RES_2[[#This Row],[Rate name]:[Rate name]]="Anytime - supply","Anytime","TOU"))),4)</f>
        <v>0.17499999999999999</v>
      </c>
      <c r="J88" s="209" cm="1">
        <f t="array" ref="J88">ROUND(
SUMIFS(OP_Rates_RES_2[Powercor],OP_Rates_RES_2[[Rate name]:[Rate name]],OP_TotalRates_RES_2[[#This Row],[Rate name]:[Rate name]])+
SUMIFS(OP_RatesTU_RES_2[Powercor],
OP_RatesTU_RES_2[[Rate name]:[Rate name]],
IF(OP_TotalRates_RES_2[[#This Row],[Unit]:[Unit]]&lt;&gt;"$",OP_TotalRates_RES_2[[#This Row],[Rate name]:[Rate name]],
IF(OP_TotalRates_RES_2[[#This Row],[Rate name]:[Rate name]]="Anytime - supply","Anytime","TOU"))),4)</f>
        <v>0.17460000000000001</v>
      </c>
      <c r="K88" s="209" cm="1">
        <f t="array" ref="K88">ROUND(
SUMIFS(OP_Rates_RES_2[United Energy],OP_Rates_RES_2[[Rate name]:[Rate name]],OP_TotalRates_RES_2[[#This Row],[Rate name]:[Rate name]])+
SUMIFS(OP_RatesTU_RES_2[United Energy],
OP_RatesTU_RES_2[[Rate name]:[Rate name]],
IF(OP_TotalRates_RES_2[[#This Row],[Unit]:[Unit]]&lt;&gt;"$",OP_TotalRates_RES_2[[#This Row],[Rate name]:[Rate name]],
IF(OP_TotalRates_RES_2[[#This Row],[Rate name]:[Rate name]]="Anytime - supply","Anytime","TOU"))),4)</f>
        <v>0.17710000000000001</v>
      </c>
      <c r="M88" s="23" t="s">
        <v>609</v>
      </c>
      <c r="N88" s="23" t="s">
        <v>282</v>
      </c>
      <c r="O88" s="23" t="s">
        <v>93</v>
      </c>
      <c r="P88" s="23" t="s">
        <v>9</v>
      </c>
      <c r="Q88" s="209" cm="1">
        <f t="array" ref="Q88">ROUND(
SUMIFS(OP_Rates_SME_2[Ausnet],OP_Rates_SME_2[[Rate name]:[Rate name]],OP_TotalRates_SME_2[[#This Row],[Rate name]:[Rate name]])+
SUMIFS(OP_RatesTU_SME_2[Ausnet],
OP_RatesTU_SME_2[[Rate name]:[Rate name]],
IF(OP_TotalRates_SME_2[[#This Row],[Unit]:[Unit]]&lt;&gt;"$",OP_TotalRates_SME_2[[#This Row],[Rate name]:[Rate name]],
IF(OP_TotalRates_SME_2[[#This Row],[Rate name]:[Rate name]]="Anytime - supply","Anytime","TOU"))),4)</f>
        <v>0.1701</v>
      </c>
      <c r="R88" s="209" cm="1">
        <f t="array" ref="R88">ROUND(
SUMIFS(OP_Rates_SME_2[Citipower],OP_Rates_SME_2[[Rate name]:[Rate name]],OP_TotalRates_SME_2[[#This Row],[Rate name]:[Rate name]])+
SUMIFS(OP_RatesTU_SME_2[Citipower],
OP_RatesTU_SME_2[[Rate name]:[Rate name]],
IF(OP_TotalRates_SME_2[[#This Row],[Unit]:[Unit]]&lt;&gt;"$",OP_TotalRates_SME_2[[#This Row],[Rate name]:[Rate name]],
IF(OP_TotalRates_SME_2[[#This Row],[Rate name]:[Rate name]]="Anytime - supply","Anytime","TOU"))),4)</f>
        <v>0.152</v>
      </c>
      <c r="S88" s="209" cm="1">
        <f t="array" ref="S88">ROUND(
SUMIFS(OP_Rates_SME_2[Jemena],OP_Rates_SME_2[[Rate name]:[Rate name]],OP_TotalRates_SME_2[[#This Row],[Rate name]:[Rate name]])+
SUMIFS(OP_RatesTU_SME_2[Jemena],
OP_RatesTU_SME_2[[Rate name]:[Rate name]],
IF(OP_TotalRates_SME_2[[#This Row],[Unit]:[Unit]]&lt;&gt;"$",OP_TotalRates_SME_2[[#This Row],[Rate name]:[Rate name]],
IF(OP_TotalRates_SME_2[[#This Row],[Rate name]:[Rate name]]="Anytime - supply","Anytime","TOU"))),4)</f>
        <v>0.15329999999999999</v>
      </c>
      <c r="T88" s="209" cm="1">
        <f t="array" ref="T88">ROUND(
SUMIFS(OP_Rates_SME_2[Powercor],OP_Rates_SME_2[[Rate name]:[Rate name]],OP_TotalRates_SME_2[[#This Row],[Rate name]:[Rate name]])+
SUMIFS(OP_RatesTU_SME_2[Powercor],
OP_RatesTU_SME_2[[Rate name]:[Rate name]],
IF(OP_TotalRates_SME_2[[#This Row],[Unit]:[Unit]]&lt;&gt;"$",OP_TotalRates_SME_2[[#This Row],[Rate name]:[Rate name]],
IF(OP_TotalRates_SME_2[[#This Row],[Rate name]:[Rate name]]="Anytime - supply","Anytime","TOU"))),4)</f>
        <v>0.15559999999999999</v>
      </c>
      <c r="U88" s="209" cm="1">
        <f t="array" ref="U88">ROUND(
SUMIFS(OP_Rates_SME_2[United Energy],OP_Rates_SME_2[[Rate name]:[Rate name]],OP_TotalRates_SME_2[[#This Row],[Rate name]:[Rate name]])+
SUMIFS(OP_RatesTU_SME_2[United Energy],
OP_RatesTU_SME_2[[Rate name]:[Rate name]],
IF(OP_TotalRates_SME_2[[#This Row],[Unit]:[Unit]]&lt;&gt;"$",OP_TotalRates_SME_2[[#This Row],[Rate name]:[Rate name]],
IF(OP_TotalRates_SME_2[[#This Row],[Rate name]:[Rate name]]="Anytime - supply","Anytime","TOU"))),4)</f>
        <v>0.15629999999999999</v>
      </c>
    </row>
    <row r="89" spans="1:24" ht="15.75" outlineLevel="1" x14ac:dyDescent="0.25">
      <c r="A89" s="1"/>
      <c r="C89" s="23" t="s">
        <v>287</v>
      </c>
      <c r="D89" s="23" t="s">
        <v>282</v>
      </c>
      <c r="E89" s="23" t="s">
        <v>92</v>
      </c>
      <c r="F89" s="23" t="s">
        <v>9</v>
      </c>
      <c r="G89" s="209" cm="1">
        <f t="array" ref="G89">ROUND(
SUMIFS(OP_Rates_RES_2[Ausnet],OP_Rates_RES_2[[Rate name]:[Rate name]],OP_TotalRates_RES_2[[#This Row],[Rate name]:[Rate name]])+
SUMIFS(OP_RatesTU_RES_2[Ausnet],
OP_RatesTU_RES_2[[Rate name]:[Rate name]],
IF(OP_TotalRates_RES_2[[#This Row],[Unit]:[Unit]]&lt;&gt;"$",OP_TotalRates_RES_2[[#This Row],[Rate name]:[Rate name]],
IF(OP_TotalRates_RES_2[[#This Row],[Rate name]:[Rate name]]="Anytime - supply","Anytime","TOU"))),4)</f>
        <v>0.18340000000000001</v>
      </c>
      <c r="H89" s="209" cm="1">
        <f t="array" ref="H89">ROUND(
SUMIFS(OP_Rates_RES_2[Citipower],OP_Rates_RES_2[[Rate name]:[Rate name]],OP_TotalRates_RES_2[[#This Row],[Rate name]:[Rate name]])+
SUMIFS(OP_RatesTU_RES_2[Citipower],
OP_RatesTU_RES_2[[Rate name]:[Rate name]],
IF(OP_TotalRates_RES_2[[#This Row],[Unit]:[Unit]]&lt;&gt;"$",OP_TotalRates_RES_2[[#This Row],[Rate name]:[Rate name]],
IF(OP_TotalRates_RES_2[[#This Row],[Rate name]:[Rate name]]="Anytime - supply","Anytime","TOU"))),4)</f>
        <v>0.1542</v>
      </c>
      <c r="I89" s="209" cm="1">
        <f t="array" ref="I89">ROUND(
SUMIFS(OP_Rates_RES_2[Jemena],OP_Rates_RES_2[[Rate name]:[Rate name]],OP_TotalRates_RES_2[[#This Row],[Rate name]:[Rate name]])+
SUMIFS(OP_RatesTU_RES_2[Jemena],
OP_RatesTU_RES_2[[Rate name]:[Rate name]],
IF(OP_TotalRates_RES_2[[#This Row],[Unit]:[Unit]]&lt;&gt;"$",OP_TotalRates_RES_2[[#This Row],[Rate name]:[Rate name]],
IF(OP_TotalRates_RES_2[[#This Row],[Rate name]:[Rate name]]="Anytime - supply","Anytime","TOU"))),4)</f>
        <v>0.17560000000000001</v>
      </c>
      <c r="J89" s="209" cm="1">
        <f t="array" ref="J89">ROUND(
SUMIFS(OP_Rates_RES_2[Powercor],OP_Rates_RES_2[[Rate name]:[Rate name]],OP_TotalRates_RES_2[[#This Row],[Rate name]:[Rate name]])+
SUMIFS(OP_RatesTU_RES_2[Powercor],
OP_RatesTU_RES_2[[Rate name]:[Rate name]],
IF(OP_TotalRates_RES_2[[#This Row],[Unit]:[Unit]]&lt;&gt;"$",OP_TotalRates_RES_2[[#This Row],[Rate name]:[Rate name]],
IF(OP_TotalRates_RES_2[[#This Row],[Rate name]:[Rate name]]="Anytime - supply","Anytime","TOU"))),4)</f>
        <v>0.1578</v>
      </c>
      <c r="K89" s="209" cm="1">
        <f t="array" ref="K89">ROUND(
SUMIFS(OP_Rates_RES_2[United Energy],OP_Rates_RES_2[[Rate name]:[Rate name]],OP_TotalRates_RES_2[[#This Row],[Rate name]:[Rate name]])+
SUMIFS(OP_RatesTU_RES_2[United Energy],
OP_RatesTU_RES_2[[Rate name]:[Rate name]],
IF(OP_TotalRates_RES_2[[#This Row],[Unit]:[Unit]]&lt;&gt;"$",OP_TotalRates_RES_2[[#This Row],[Rate name]:[Rate name]],
IF(OP_TotalRates_RES_2[[#This Row],[Rate name]:[Rate name]]="Anytime - supply","Anytime","TOU"))),4)</f>
        <v>0.159</v>
      </c>
      <c r="M89" s="44"/>
      <c r="N89" s="44"/>
      <c r="O89" s="23"/>
      <c r="P89" s="59" t="s">
        <v>9</v>
      </c>
      <c r="Q89" s="209" cm="1">
        <f t="array" ref="Q89">ROUND(
SUMIFS(OP_Rates_SME_2[Ausnet],OP_Rates_SME_2[[Rate name]:[Rate name]],OP_TotalRates_SME_2[[#This Row],[Rate name]:[Rate name]])+
SUMIFS(OP_RatesTU_SME_2[Ausnet],
OP_RatesTU_SME_2[[Rate name]:[Rate name]],
IF(OP_TotalRates_SME_2[[#This Row],[Unit]:[Unit]]&lt;&gt;"$",OP_TotalRates_SME_2[[#This Row],[Rate name]:[Rate name]],
IF(OP_TotalRates_SME_2[[#This Row],[Rate name]:[Rate name]]="Anytime - supply","Anytime","TOU"))),4)</f>
        <v>0</v>
      </c>
      <c r="R89" s="209" cm="1">
        <f t="array" ref="R89">ROUND(
SUMIFS(OP_Rates_SME_2[Citipower],OP_Rates_SME_2[[Rate name]:[Rate name]],OP_TotalRates_SME_2[[#This Row],[Rate name]:[Rate name]])+
SUMIFS(OP_RatesTU_SME_2[Citipower],
OP_RatesTU_SME_2[[Rate name]:[Rate name]],
IF(OP_TotalRates_SME_2[[#This Row],[Unit]:[Unit]]&lt;&gt;"$",OP_TotalRates_SME_2[[#This Row],[Rate name]:[Rate name]],
IF(OP_TotalRates_SME_2[[#This Row],[Rate name]:[Rate name]]="Anytime - supply","Anytime","TOU"))),4)</f>
        <v>0</v>
      </c>
      <c r="S89" s="209" cm="1">
        <f t="array" ref="S89">ROUND(
SUMIFS(OP_Rates_SME_2[Jemena],OP_Rates_SME_2[[Rate name]:[Rate name]],OP_TotalRates_SME_2[[#This Row],[Rate name]:[Rate name]])+
SUMIFS(OP_RatesTU_SME_2[Jemena],
OP_RatesTU_SME_2[[Rate name]:[Rate name]],
IF(OP_TotalRates_SME_2[[#This Row],[Unit]:[Unit]]&lt;&gt;"$",OP_TotalRates_SME_2[[#This Row],[Rate name]:[Rate name]],
IF(OP_TotalRates_SME_2[[#This Row],[Rate name]:[Rate name]]="Anytime - supply","Anytime","TOU"))),4)</f>
        <v>0</v>
      </c>
      <c r="T89" s="209" cm="1">
        <f t="array" ref="T89">ROUND(
SUMIFS(OP_Rates_SME_2[Powercor],OP_Rates_SME_2[[Rate name]:[Rate name]],OP_TotalRates_SME_2[[#This Row],[Rate name]:[Rate name]])+
SUMIFS(OP_RatesTU_SME_2[Powercor],
OP_RatesTU_SME_2[[Rate name]:[Rate name]],
IF(OP_TotalRates_SME_2[[#This Row],[Unit]:[Unit]]&lt;&gt;"$",OP_TotalRates_SME_2[[#This Row],[Rate name]:[Rate name]],
IF(OP_TotalRates_SME_2[[#This Row],[Rate name]:[Rate name]]="Anytime - supply","Anytime","TOU"))),4)</f>
        <v>0</v>
      </c>
      <c r="U89" s="209" cm="1">
        <f t="array" ref="U89">ROUND(
SUMIFS(OP_Rates_SME_2[United Energy],OP_Rates_SME_2[[Rate name]:[Rate name]],OP_TotalRates_SME_2[[#This Row],[Rate name]:[Rate name]])+
SUMIFS(OP_RatesTU_SME_2[United Energy],
OP_RatesTU_SME_2[[Rate name]:[Rate name]],
IF(OP_TotalRates_SME_2[[#This Row],[Unit]:[Unit]]&lt;&gt;"$",OP_TotalRates_SME_2[[#This Row],[Rate name]:[Rate name]],
IF(OP_TotalRates_SME_2[[#This Row],[Rate name]:[Rate name]]="Anytime - supply","Anytime","TOU"))),4)</f>
        <v>0</v>
      </c>
    </row>
    <row r="90" spans="1:24" ht="15.75" outlineLevel="1" x14ac:dyDescent="0.25">
      <c r="A90" s="1"/>
    </row>
    <row r="91" spans="1:24" ht="15.75" outlineLevel="1" x14ac:dyDescent="0.25">
      <c r="A91" s="1"/>
      <c r="C91" s="29" t="s">
        <v>669</v>
      </c>
      <c r="H91" s="87"/>
      <c r="M91" s="29" t="s">
        <v>670</v>
      </c>
      <c r="R91" s="87"/>
      <c r="X91" s="78"/>
    </row>
    <row r="92" spans="1:24" ht="15.75" outlineLevel="2" x14ac:dyDescent="0.25">
      <c r="A92" s="1"/>
      <c r="C92" s="237" t="s">
        <v>331</v>
      </c>
      <c r="D92" s="237" t="s">
        <v>103</v>
      </c>
      <c r="E92" s="237" t="s">
        <v>91</v>
      </c>
      <c r="F92" s="43" t="s">
        <v>9</v>
      </c>
      <c r="G92" s="60" t="s">
        <v>268</v>
      </c>
      <c r="H92" s="60" t="s">
        <v>269</v>
      </c>
      <c r="I92" s="60" t="s">
        <v>270</v>
      </c>
      <c r="J92" s="60" t="s">
        <v>271</v>
      </c>
      <c r="K92" s="85" t="s">
        <v>272</v>
      </c>
      <c r="M92" s="237" t="s">
        <v>331</v>
      </c>
      <c r="N92" s="237" t="s">
        <v>103</v>
      </c>
      <c r="O92" s="237" t="s">
        <v>91</v>
      </c>
      <c r="P92" s="43" t="s">
        <v>9</v>
      </c>
      <c r="Q92" s="60" t="s">
        <v>268</v>
      </c>
      <c r="R92" s="60" t="s">
        <v>269</v>
      </c>
      <c r="S92" s="60" t="s">
        <v>270</v>
      </c>
      <c r="T92" s="60" t="s">
        <v>271</v>
      </c>
      <c r="U92" s="85" t="s">
        <v>272</v>
      </c>
    </row>
    <row r="93" spans="1:24" ht="15.75" outlineLevel="2" x14ac:dyDescent="0.25">
      <c r="A93" s="1"/>
      <c r="C93" s="23" t="s">
        <v>550</v>
      </c>
      <c r="D93" s="23" t="s">
        <v>109</v>
      </c>
      <c r="E93" s="23" t="s">
        <v>92</v>
      </c>
      <c r="F93" s="23" t="s">
        <v>9</v>
      </c>
      <c r="G93" s="62">
        <f>IF(SUMIFS(Calc_Rates!G$266:G$296,Calc_Rates!$C$266:$C$296,OP_Rates!$C93,Calc_Rates!$F$266:$F$296,OP_Rates!$E93)=0,"-",SUMIFS(Calc_Rates!G$266:G$296,Calc_Rates!$C$266:$C$296,OP_Rates!$C93,Calc_Rates!$F$266:$F$296,OP_Rates!$E93))</f>
        <v>1.1940616018401751</v>
      </c>
      <c r="H93" s="62">
        <f>IF(SUMIFS(Calc_Rates!H$266:H$296,Calc_Rates!$C$266:$C$296,OP_Rates!$C93,Calc_Rates!$F$266:$F$296,OP_Rates!$E93)=0,"-",SUMIFS(Calc_Rates!H$266:H$296,Calc_Rates!$C$266:$C$296,OP_Rates!$C93,Calc_Rates!$F$266:$F$296,OP_Rates!$E93))</f>
        <v>1.1128869650182571</v>
      </c>
      <c r="I93" s="62">
        <f>IF(SUMIFS(Calc_Rates!I$266:I$296,Calc_Rates!$C$266:$C$296,OP_Rates!$C93,Calc_Rates!$F$266:$F$296,OP_Rates!$E93)=0,"-",SUMIFS(Calc_Rates!I$266:I$296,Calc_Rates!$C$266:$C$296,OP_Rates!$C93,Calc_Rates!$F$266:$F$296,OP_Rates!$E93))</f>
        <v>1.0712690249634627</v>
      </c>
      <c r="J93" s="62">
        <f>IF(SUMIFS(Calc_Rates!J$266:J$296,Calc_Rates!$C$266:$C$296,OP_Rates!$C93,Calc_Rates!$F$266:$F$296,OP_Rates!$E93)=0,"-",SUMIFS(Calc_Rates!J$266:J$296,Calc_Rates!$C$266:$C$296,OP_Rates!$C93,Calc_Rates!$F$266:$F$296,OP_Rates!$E93))</f>
        <v>1.2680985845799009</v>
      </c>
      <c r="K93" s="62">
        <f>IF(SUMIFS(Calc_Rates!K$266:K$296,Calc_Rates!$C$266:$C$296,OP_Rates!$C93,Calc_Rates!$F$266:$F$296,OP_Rates!$E93)=0,"-",SUMIFS(Calc_Rates!K$266:K$296,Calc_Rates!$C$266:$C$296,OP_Rates!$C93,Calc_Rates!$F$266:$F$296,OP_Rates!$E93))</f>
        <v>1.0282609440867503</v>
      </c>
      <c r="M93" s="23" t="s">
        <v>550</v>
      </c>
      <c r="N93" s="23" t="s">
        <v>109</v>
      </c>
      <c r="O93" s="23" t="s">
        <v>93</v>
      </c>
      <c r="P93" s="23" t="s">
        <v>9</v>
      </c>
      <c r="Q93" s="62">
        <f>IF(SUMIFS(Calc_Rates!G$266:G$296,Calc_Rates!$C$266:$C$296,OP_Rates!$M93,Calc_Rates!$F$266:$F$296,OP_Rates!$O93)=0,"-",SUMIFS(Calc_Rates!G$266:G$296,Calc_Rates!$C$266:$C$296,OP_Rates!$M93,Calc_Rates!$F$266:$F$296,OP_Rates!$O93))</f>
        <v>1.1940616018401751</v>
      </c>
      <c r="R93" s="62">
        <f>IF(SUMIFS(Calc_Rates!H$266:H$296,Calc_Rates!$C$266:$C$296,OP_Rates!$M93,Calc_Rates!$F$266:$F$296,OP_Rates!$O93)=0,"-",SUMIFS(Calc_Rates!H$266:H$296,Calc_Rates!$C$266:$C$296,OP_Rates!$M93,Calc_Rates!$F$266:$F$296,OP_Rates!$O93))</f>
        <v>1.3366101570182571</v>
      </c>
      <c r="S93" s="62">
        <f>IF(SUMIFS(Calc_Rates!I$266:I$296,Calc_Rates!$C$266:$C$296,OP_Rates!$M93,Calc_Rates!$F$266:$F$296,OP_Rates!$O93)=0,"-",SUMIFS(Calc_Rates!I$266:I$296,Calc_Rates!$C$266:$C$296,OP_Rates!$M93,Calc_Rates!$F$266:$F$296,OP_Rates!$O93))</f>
        <v>1.2383096244155174</v>
      </c>
      <c r="T93" s="62">
        <f>IF(SUMIFS(Calc_Rates!J$266:J$296,Calc_Rates!$C$266:$C$296,OP_Rates!$M93,Calc_Rates!$F$266:$F$296,OP_Rates!$O93)=0,"-",SUMIFS(Calc_Rates!J$266:J$296,Calc_Rates!$C$266:$C$296,OP_Rates!$M93,Calc_Rates!$F$266:$F$296,OP_Rates!$O93))</f>
        <v>1.3959404085799008</v>
      </c>
      <c r="U93" s="62">
        <f>IF(SUMIFS(Calc_Rates!K$266:K$296,Calc_Rates!$C$266:$C$296,OP_Rates!$M93,Calc_Rates!$F$266:$F$296,OP_Rates!$O93)=0,"-",SUMIFS(Calc_Rates!K$266:K$296,Calc_Rates!$C$266:$C$296,OP_Rates!$M93,Calc_Rates!$F$266:$F$296,OP_Rates!$O93))</f>
        <v>1.1561027680867502</v>
      </c>
    </row>
    <row r="94" spans="1:24" ht="15.75" outlineLevel="2" x14ac:dyDescent="0.25">
      <c r="A94" s="1"/>
      <c r="C94" s="23" t="s">
        <v>221</v>
      </c>
      <c r="D94" s="23" t="s">
        <v>282</v>
      </c>
      <c r="E94" s="23" t="s">
        <v>92</v>
      </c>
      <c r="F94" s="23" t="s">
        <v>9</v>
      </c>
      <c r="G94" s="62">
        <f>IF(SUMIFS(Calc_Rates!G$310:G$388,Calc_Rates!$C$310:$C$388,OP_Rates!$C94&amp;" charge",Calc_Rates!$F$310:$F$388,OP_Rates!$E94)=0,"-",SUMIFS(Calc_Rates!G$310:G$388,Calc_Rates!$C$310:$C$388,OP_Rates!$C94&amp;" charge",Calc_Rates!$F$310:$F$388,OP_Rates!$E94))</f>
        <v>0.25823302380932078</v>
      </c>
      <c r="H94" s="62" t="str">
        <f>IF(SUMIFS(Calc_Rates!H$310:H$388,Calc_Rates!$C$310:$C$388,OP_Rates!$C94&amp;" charge",Calc_Rates!$F$310:$F$388,OP_Rates!$E94)=0,"-",SUMIFS(Calc_Rates!H$310:H$388,Calc_Rates!$C$310:$C$388,OP_Rates!$C94&amp;" charge",Calc_Rates!$F$310:$F$388,OP_Rates!$E94))</f>
        <v>-</v>
      </c>
      <c r="I94" s="62" t="str">
        <f>IF(SUMIFS(Calc_Rates!I$310:I$388,Calc_Rates!$C$310:$C$388,OP_Rates!$C94&amp;" charge",Calc_Rates!$F$310:$F$388,OP_Rates!$E94)=0,"-",SUMIFS(Calc_Rates!I$310:I$388,Calc_Rates!$C$310:$C$388,OP_Rates!$C94&amp;" charge",Calc_Rates!$F$310:$F$388,OP_Rates!$E94))</f>
        <v>-</v>
      </c>
      <c r="J94" s="62" t="str">
        <f>IF(SUMIFS(Calc_Rates!J$310:J$388,Calc_Rates!$C$310:$C$388,OP_Rates!$C94&amp;" charge",Calc_Rates!$F$310:$F$388,OP_Rates!$E94)=0,"-",SUMIFS(Calc_Rates!J$310:J$388,Calc_Rates!$C$310:$C$388,OP_Rates!$C94&amp;" charge",Calc_Rates!$F$310:$F$388,OP_Rates!$E94))</f>
        <v>-</v>
      </c>
      <c r="K94" s="62" t="str">
        <f>IF(SUMIFS(Calc_Rates!K$310:K$388,Calc_Rates!$C$310:$C$388,OP_Rates!$C94&amp;" charge",Calc_Rates!$F$310:$F$388,OP_Rates!$E94)=0,"-",SUMIFS(Calc_Rates!K$310:K$388,Calc_Rates!$C$310:$C$388,OP_Rates!$C94&amp;" charge",Calc_Rates!$F$310:$F$388,OP_Rates!$E94))</f>
        <v>-</v>
      </c>
      <c r="M94" s="23" t="s">
        <v>221</v>
      </c>
      <c r="N94" s="23" t="s">
        <v>282</v>
      </c>
      <c r="O94" s="23" t="s">
        <v>93</v>
      </c>
      <c r="P94" s="23" t="s">
        <v>9</v>
      </c>
      <c r="Q94" s="62">
        <f>IF(SUMIFS(Calc_Rates!G$310:G$388,Calc_Rates!$C$310:$C$388,OP_Rates!$M94&amp;" charge",Calc_Rates!$F$310:$F$388,OP_Rates!$O94)=0,"-",SUMIFS(Calc_Rates!G$310:G$388,Calc_Rates!$C$310:$C$388,OP_Rates!$M94&amp;" charge",Calc_Rates!$F$310:$F$388,OP_Rates!$O94))</f>
        <v>0.29496627233989919</v>
      </c>
      <c r="R94" s="62" t="str">
        <f>IF(SUMIFS(Calc_Rates!H$310:H$388,Calc_Rates!$C$310:$C$388,OP_Rates!$M94&amp;" charge",Calc_Rates!$F$310:$F$388,OP_Rates!$O94)=0,"-",SUMIFS(Calc_Rates!H$310:H$388,Calc_Rates!$C$310:$C$388,OP_Rates!$M94&amp;" charge",Calc_Rates!$F$310:$F$388,OP_Rates!$O94))</f>
        <v>-</v>
      </c>
      <c r="S94" s="62" t="str">
        <f>IF(SUMIFS(Calc_Rates!I$310:I$388,Calc_Rates!$C$310:$C$388,OP_Rates!$M94&amp;" charge",Calc_Rates!$F$310:$F$388,OP_Rates!$O94)=0,"-",SUMIFS(Calc_Rates!I$310:I$388,Calc_Rates!$C$310:$C$388,OP_Rates!$M94&amp;" charge",Calc_Rates!$F$310:$F$388,OP_Rates!$O94))</f>
        <v>-</v>
      </c>
      <c r="T94" s="62" t="str">
        <f>IF(SUMIFS(Calc_Rates!J$310:J$388,Calc_Rates!$C$310:$C$388,OP_Rates!$M94&amp;" charge",Calc_Rates!$F$310:$F$388,OP_Rates!$O94)=0,"-",SUMIFS(Calc_Rates!J$310:J$388,Calc_Rates!$C$310:$C$388,OP_Rates!$M94&amp;" charge",Calc_Rates!$F$310:$F$388,OP_Rates!$O94))</f>
        <v>-</v>
      </c>
      <c r="U94" s="62" t="str">
        <f>IF(SUMIFS(Calc_Rates!K$310:K$388,Calc_Rates!$C$310:$C$388,OP_Rates!$M94&amp;" charge",Calc_Rates!$F$310:$F$388,OP_Rates!$O94)=0,"-",SUMIFS(Calc_Rates!K$310:K$388,Calc_Rates!$C$310:$C$388,OP_Rates!$M94&amp;" charge",Calc_Rates!$F$310:$F$388,OP_Rates!$O94))</f>
        <v>-</v>
      </c>
    </row>
    <row r="95" spans="1:24" ht="15.75" outlineLevel="2" x14ac:dyDescent="0.25">
      <c r="A95" s="1"/>
      <c r="C95" s="23" t="s">
        <v>228</v>
      </c>
      <c r="D95" s="23" t="s">
        <v>282</v>
      </c>
      <c r="E95" s="23" t="s">
        <v>92</v>
      </c>
      <c r="F95" s="23" t="s">
        <v>9</v>
      </c>
      <c r="G95" s="62">
        <f>IF(SUMIFS(Calc_Rates!G$310:G$388,Calc_Rates!$C$310:$C$388,OP_Rates!$C95&amp;" charge",Calc_Rates!$F$310:$F$388,OP_Rates!$E95)=0,"-",SUMIFS(Calc_Rates!G$310:G$388,Calc_Rates!$C$310:$C$388,OP_Rates!$C95&amp;" charge",Calc_Rates!$F$310:$F$388,OP_Rates!$E95))</f>
        <v>0.27442204456932073</v>
      </c>
      <c r="H95" s="62" t="str">
        <f>IF(SUMIFS(Calc_Rates!H$310:H$388,Calc_Rates!$C$310:$C$388,OP_Rates!$C95&amp;" charge",Calc_Rates!$F$310:$F$388,OP_Rates!$E95)=0,"-",SUMIFS(Calc_Rates!H$310:H$388,Calc_Rates!$C$310:$C$388,OP_Rates!$C95&amp;" charge",Calc_Rates!$F$310:$F$388,OP_Rates!$E95))</f>
        <v>-</v>
      </c>
      <c r="I95" s="62" t="str">
        <f>IF(SUMIFS(Calc_Rates!I$310:I$388,Calc_Rates!$C$310:$C$388,OP_Rates!$C95&amp;" charge",Calc_Rates!$F$310:$F$388,OP_Rates!$E95)=0,"-",SUMIFS(Calc_Rates!I$310:I$388,Calc_Rates!$C$310:$C$388,OP_Rates!$C95&amp;" charge",Calc_Rates!$F$310:$F$388,OP_Rates!$E95))</f>
        <v>-</v>
      </c>
      <c r="J95" s="62" t="str">
        <f>IF(SUMIFS(Calc_Rates!J$310:J$388,Calc_Rates!$C$310:$C$388,OP_Rates!$C95&amp;" charge",Calc_Rates!$F$310:$F$388,OP_Rates!$E95)=0,"-",SUMIFS(Calc_Rates!J$310:J$388,Calc_Rates!$C$310:$C$388,OP_Rates!$C95&amp;" charge",Calc_Rates!$F$310:$F$388,OP_Rates!$E95))</f>
        <v>-</v>
      </c>
      <c r="K95" s="62" t="str">
        <f>IF(SUMIFS(Calc_Rates!K$310:K$388,Calc_Rates!$C$310:$C$388,OP_Rates!$C95&amp;" charge",Calc_Rates!$F$310:$F$388,OP_Rates!$E95)=0,"-",SUMIFS(Calc_Rates!K$310:K$388,Calc_Rates!$C$310:$C$388,OP_Rates!$C95&amp;" charge",Calc_Rates!$F$310:$F$388,OP_Rates!$E95))</f>
        <v>-</v>
      </c>
      <c r="M95" s="23" t="s">
        <v>228</v>
      </c>
      <c r="N95" s="23" t="s">
        <v>282</v>
      </c>
      <c r="O95" s="23" t="s">
        <v>93</v>
      </c>
      <c r="P95" s="23" t="s">
        <v>9</v>
      </c>
      <c r="Q95" s="62">
        <f>IF(SUMIFS(Calc_Rates!G$310:G$388,Calc_Rates!$C$310:$C$388,OP_Rates!$M95&amp;" charge",Calc_Rates!$F$310:$F$388,OP_Rates!$O95)=0,"-",SUMIFS(Calc_Rates!G$310:G$388,Calc_Rates!$C$310:$C$388,OP_Rates!$M95&amp;" charge",Calc_Rates!$F$310:$F$388,OP_Rates!$O95))</f>
        <v>0.3267879219798992</v>
      </c>
      <c r="R95" s="62" t="str">
        <f>IF(SUMIFS(Calc_Rates!H$310:H$388,Calc_Rates!$C$310:$C$388,OP_Rates!$M95&amp;" charge",Calc_Rates!$F$310:$F$388,OP_Rates!$O95)=0,"-",SUMIFS(Calc_Rates!H$310:H$388,Calc_Rates!$C$310:$C$388,OP_Rates!$M95&amp;" charge",Calc_Rates!$F$310:$F$388,OP_Rates!$O95))</f>
        <v>-</v>
      </c>
      <c r="S95" s="62" t="str">
        <f>IF(SUMIFS(Calc_Rates!I$310:I$388,Calc_Rates!$C$310:$C$388,OP_Rates!$M95&amp;" charge",Calc_Rates!$F$310:$F$388,OP_Rates!$O95)=0,"-",SUMIFS(Calc_Rates!I$310:I$388,Calc_Rates!$C$310:$C$388,OP_Rates!$M95&amp;" charge",Calc_Rates!$F$310:$F$388,OP_Rates!$O95))</f>
        <v>-</v>
      </c>
      <c r="T95" s="62" t="str">
        <f>IF(SUMIFS(Calc_Rates!J$310:J$388,Calc_Rates!$C$310:$C$388,OP_Rates!$M95&amp;" charge",Calc_Rates!$F$310:$F$388,OP_Rates!$O95)=0,"-",SUMIFS(Calc_Rates!J$310:J$388,Calc_Rates!$C$310:$C$388,OP_Rates!$M95&amp;" charge",Calc_Rates!$F$310:$F$388,OP_Rates!$O95))</f>
        <v>-</v>
      </c>
      <c r="U95" s="62" t="str">
        <f>IF(SUMIFS(Calc_Rates!K$310:K$388,Calc_Rates!$C$310:$C$388,OP_Rates!$M95&amp;" charge",Calc_Rates!$F$310:$F$388,OP_Rates!$O95)=0,"-",SUMIFS(Calc_Rates!K$310:K$388,Calc_Rates!$C$310:$C$388,OP_Rates!$M95&amp;" charge",Calc_Rates!$F$310:$F$388,OP_Rates!$O95))</f>
        <v>-</v>
      </c>
    </row>
    <row r="96" spans="1:24" outlineLevel="2" x14ac:dyDescent="0.25">
      <c r="C96" s="23" t="s">
        <v>549</v>
      </c>
      <c r="D96" s="23" t="s">
        <v>282</v>
      </c>
      <c r="E96" s="23" t="s">
        <v>92</v>
      </c>
      <c r="F96" s="23" t="s">
        <v>9</v>
      </c>
      <c r="G96" s="62" t="str">
        <f>IF(SUMIFS(Calc_Rates!G$310:G$388,Calc_Rates!$C$310:$C$388,OP_Rates!$C96&amp;" charge",Calc_Rates!$F$310:$F$388,OP_Rates!$E96)=0,"-",SUMIFS(Calc_Rates!G$310:G$388,Calc_Rates!$C$310:$C$388,OP_Rates!$C96&amp;" charge",Calc_Rates!$F$310:$F$388,OP_Rates!$E96))</f>
        <v>-</v>
      </c>
      <c r="H96" s="62">
        <f>IF(SUMIFS(Calc_Rates!H$310:H$388,Calc_Rates!$C$310:$C$388,OP_Rates!$C96&amp;" charge",Calc_Rates!$F$310:$F$388,OP_Rates!$E96)=0,"-",SUMIFS(Calc_Rates!H$310:H$388,Calc_Rates!$C$310:$C$388,OP_Rates!$C96&amp;" charge",Calc_Rates!$F$310:$F$388,OP_Rates!$E96))</f>
        <v>0.21049951424288196</v>
      </c>
      <c r="I96" s="62">
        <f>IF(SUMIFS(Calc_Rates!I$310:I$388,Calc_Rates!$C$310:$C$388,OP_Rates!$C96&amp;" charge",Calc_Rates!$F$310:$F$388,OP_Rates!$E96)=0,"-",SUMIFS(Calc_Rates!I$310:I$388,Calc_Rates!$C$310:$C$388,OP_Rates!$C96&amp;" charge",Calc_Rates!$F$310:$F$388,OP_Rates!$E96))</f>
        <v>0.22425868427313167</v>
      </c>
      <c r="J96" s="62">
        <f>IF(SUMIFS(Calc_Rates!J$310:J$388,Calc_Rates!$C$310:$C$388,OP_Rates!$C96&amp;" charge",Calc_Rates!$F$310:$F$388,OP_Rates!$E96)=0,"-",SUMIFS(Calc_Rates!J$310:J$388,Calc_Rates!$C$310:$C$388,OP_Rates!$C96&amp;" charge",Calc_Rates!$F$310:$F$388,OP_Rates!$E96))</f>
        <v>0.21678437815771656</v>
      </c>
      <c r="K96" s="62">
        <f>IF(SUMIFS(Calc_Rates!K$310:K$388,Calc_Rates!$C$310:$C$388,OP_Rates!$C96&amp;" charge",Calc_Rates!$F$310:$F$388,OP_Rates!$E96)=0,"-",SUMIFS(Calc_Rates!K$310:K$388,Calc_Rates!$C$310:$C$388,OP_Rates!$C96&amp;" charge",Calc_Rates!$F$310:$F$388,OP_Rates!$E96))</f>
        <v>0.21765322749005236</v>
      </c>
      <c r="M96" s="23" t="s">
        <v>549</v>
      </c>
      <c r="N96" s="23" t="s">
        <v>282</v>
      </c>
      <c r="O96" s="23" t="s">
        <v>93</v>
      </c>
      <c r="P96" s="23" t="s">
        <v>9</v>
      </c>
      <c r="Q96" s="62" t="str">
        <f>IF(SUMIFS(Calc_Rates!G$310:G$388,Calc_Rates!$C$310:$C$388,OP_Rates!$M96&amp;" charge",Calc_Rates!$F$310:$F$388,OP_Rates!$O96)=0,"-",SUMIFS(Calc_Rates!G$310:G$388,Calc_Rates!$C$310:$C$388,OP_Rates!$M96&amp;" charge",Calc_Rates!$F$310:$F$388,OP_Rates!$O96))</f>
        <v>-</v>
      </c>
      <c r="R96" s="62">
        <f>IF(SUMIFS(Calc_Rates!H$310:H$388,Calc_Rates!$C$310:$C$388,OP_Rates!$M96&amp;" charge",Calc_Rates!$F$310:$F$388,OP_Rates!$O96)=0,"-",SUMIFS(Calc_Rates!H$310:H$388,Calc_Rates!$C$310:$C$388,OP_Rates!$M96&amp;" charge",Calc_Rates!$F$310:$F$388,OP_Rates!$O96))</f>
        <v>0.20751383199490131</v>
      </c>
      <c r="S96" s="62">
        <f>IF(SUMIFS(Calc_Rates!I$310:I$388,Calc_Rates!$C$310:$C$388,OP_Rates!$M96&amp;" charge",Calc_Rates!$F$310:$F$388,OP_Rates!$O96)=0,"-",SUMIFS(Calc_Rates!I$310:I$388,Calc_Rates!$C$310:$C$388,OP_Rates!$M96&amp;" charge",Calc_Rates!$F$310:$F$388,OP_Rates!$O96))</f>
        <v>0.23924366871726979</v>
      </c>
      <c r="T96" s="62">
        <f>IF(SUMIFS(Calc_Rates!J$310:J$388,Calc_Rates!$C$310:$C$388,OP_Rates!$M96&amp;" charge",Calc_Rates!$F$310:$F$388,OP_Rates!$O96)=0,"-",SUMIFS(Calc_Rates!J$310:J$388,Calc_Rates!$C$310:$C$388,OP_Rates!$M96&amp;" charge",Calc_Rates!$F$310:$F$388,OP_Rates!$O96))</f>
        <v>0.21904541853424805</v>
      </c>
      <c r="U96" s="62">
        <f>IF(SUMIFS(Calc_Rates!K$310:K$388,Calc_Rates!$C$310:$C$388,OP_Rates!$M96&amp;" charge",Calc_Rates!$F$310:$F$388,OP_Rates!$O96)=0,"-",SUMIFS(Calc_Rates!K$310:K$388,Calc_Rates!$C$310:$C$388,OP_Rates!$M96&amp;" charge",Calc_Rates!$F$310:$F$388,OP_Rates!$O96))</f>
        <v>0.21593466334042918</v>
      </c>
    </row>
    <row r="97" spans="3:23" outlineLevel="2" x14ac:dyDescent="0.25">
      <c r="C97" s="23" t="s">
        <v>551</v>
      </c>
      <c r="D97" s="23" t="s">
        <v>109</v>
      </c>
      <c r="E97" s="23" t="s">
        <v>92</v>
      </c>
      <c r="F97" s="23" t="s">
        <v>9</v>
      </c>
      <c r="G97" s="62">
        <f>IF(SUMIFS(Calc_Rates!G$266:G$296,Calc_Rates!$C$266:$C$296,OP_Rates!$C97,Calc_Rates!$F$266:$F$296,OP_Rates!$E97)=0,"-",SUMIFS(Calc_Rates!G$266:G$296,Calc_Rates!$C$266:$C$296,OP_Rates!$C97,Calc_Rates!$F$266:$F$296,OP_Rates!$E97))</f>
        <v>1.1940616018401751</v>
      </c>
      <c r="H97" s="62">
        <f>IF(SUMIFS(Calc_Rates!H$266:H$296,Calc_Rates!$C$266:$C$296,OP_Rates!$C97,Calc_Rates!$F$266:$F$296,OP_Rates!$E97)=0,"-",SUMIFS(Calc_Rates!H$266:H$296,Calc_Rates!$C$266:$C$296,OP_Rates!$C97,Calc_Rates!$F$266:$F$296,OP_Rates!$E97))</f>
        <v>1.1128869650182571</v>
      </c>
      <c r="I97" s="62">
        <f>IF(SUMIFS(Calc_Rates!I$266:I$296,Calc_Rates!$C$266:$C$296,OP_Rates!$C97,Calc_Rates!$F$266:$F$296,OP_Rates!$E97)=0,"-",SUMIFS(Calc_Rates!I$266:I$296,Calc_Rates!$C$266:$C$296,OP_Rates!$C97,Calc_Rates!$F$266:$F$296,OP_Rates!$E97))</f>
        <v>1.0712690249634627</v>
      </c>
      <c r="J97" s="62">
        <f>IF(SUMIFS(Calc_Rates!J$266:J$296,Calc_Rates!$C$266:$C$296,OP_Rates!$C97,Calc_Rates!$F$266:$F$296,OP_Rates!$E97)=0,"-",SUMIFS(Calc_Rates!J$266:J$296,Calc_Rates!$C$266:$C$296,OP_Rates!$C97,Calc_Rates!$F$266:$F$296,OP_Rates!$E97))</f>
        <v>1.2680985845799009</v>
      </c>
      <c r="K97" s="62">
        <f>IF(SUMIFS(Calc_Rates!K$266:K$296,Calc_Rates!$C$266:$C$296,OP_Rates!$C97,Calc_Rates!$F$266:$F$296,OP_Rates!$E97)=0,"-",SUMIFS(Calc_Rates!K$266:K$296,Calc_Rates!$C$266:$C$296,OP_Rates!$C97,Calc_Rates!$F$266:$F$296,OP_Rates!$E97))</f>
        <v>1.0282609440867503</v>
      </c>
      <c r="M97" s="23" t="s">
        <v>551</v>
      </c>
      <c r="N97" s="23" t="s">
        <v>109</v>
      </c>
      <c r="O97" s="23" t="s">
        <v>93</v>
      </c>
      <c r="P97" s="23" t="s">
        <v>9</v>
      </c>
      <c r="Q97" s="62">
        <f>IF(SUMIFS(Calc_Rates!G$266:G$296,Calc_Rates!$C$266:$C$296,OP_Rates!$M97,Calc_Rates!$F$266:$F$296,OP_Rates!$O97)=0,"-",SUMIFS(Calc_Rates!G$266:G$296,Calc_Rates!$C$266:$C$296,OP_Rates!$M97,Calc_Rates!$F$266:$F$296,OP_Rates!$O97))</f>
        <v>1.1940616018401751</v>
      </c>
      <c r="R97" s="62">
        <f>IF(SUMIFS(Calc_Rates!H$266:H$296,Calc_Rates!$C$266:$C$296,OP_Rates!$M97,Calc_Rates!$F$266:$F$296,OP_Rates!$O97)=0,"-",SUMIFS(Calc_Rates!H$266:H$296,Calc_Rates!$C$266:$C$296,OP_Rates!$M97,Calc_Rates!$F$266:$F$296,OP_Rates!$O97))</f>
        <v>1.3366101570182571</v>
      </c>
      <c r="S97" s="62">
        <f>IF(SUMIFS(Calc_Rates!I$266:I$296,Calc_Rates!$C$266:$C$296,OP_Rates!$M97,Calc_Rates!$F$266:$F$296,OP_Rates!$O97)=0,"-",SUMIFS(Calc_Rates!I$266:I$296,Calc_Rates!$C$266:$C$296,OP_Rates!$M97,Calc_Rates!$F$266:$F$296,OP_Rates!$O97))</f>
        <v>1.5823550970730516</v>
      </c>
      <c r="T97" s="62">
        <f>IF(SUMIFS(Calc_Rates!J$266:J$296,Calc_Rates!$C$266:$C$296,OP_Rates!$M97,Calc_Rates!$F$266:$F$296,OP_Rates!$O97)=0,"-",SUMIFS(Calc_Rates!J$266:J$296,Calc_Rates!$C$266:$C$296,OP_Rates!$M97,Calc_Rates!$F$266:$F$296,OP_Rates!$O97))</f>
        <v>1.3959404085799008</v>
      </c>
      <c r="U97" s="62">
        <f>IF(SUMIFS(Calc_Rates!K$266:K$296,Calc_Rates!$C$266:$C$296,OP_Rates!$M97,Calc_Rates!$F$266:$F$296,OP_Rates!$O97)=0,"-",SUMIFS(Calc_Rates!K$266:K$296,Calc_Rates!$C$266:$C$296,OP_Rates!$M97,Calc_Rates!$F$266:$F$296,OP_Rates!$O97))</f>
        <v>1.1561027680867502</v>
      </c>
    </row>
    <row r="98" spans="3:23" outlineLevel="2" x14ac:dyDescent="0.25">
      <c r="C98" s="23" t="s">
        <v>230</v>
      </c>
      <c r="D98" s="23" t="s">
        <v>282</v>
      </c>
      <c r="E98" s="23" t="s">
        <v>92</v>
      </c>
      <c r="F98" s="23" t="s">
        <v>9</v>
      </c>
      <c r="G98" s="62">
        <f>IF(SUMIFS(Calc_Rates!G$310:G$388,Calc_Rates!$C$310:$C$388,OP_Rates!$C98&amp;" charge",Calc_Rates!$F$310:$F$388,OP_Rates!$E98)=0,"-",SUMIFS(Calc_Rates!G$310:G$388,Calc_Rates!$C$310:$C$388,OP_Rates!$C98&amp;" charge",Calc_Rates!$F$310:$F$388,OP_Rates!$E98))</f>
        <v>0.36791221056932072</v>
      </c>
      <c r="H98" s="62">
        <f>IF(SUMIFS(Calc_Rates!H$310:H$388,Calc_Rates!$C$310:$C$388,OP_Rates!$C98&amp;" charge",Calc_Rates!$F$310:$F$388,OP_Rates!$E98)=0,"-",SUMIFS(Calc_Rates!H$310:H$388,Calc_Rates!$C$310:$C$388,OP_Rates!$C98&amp;" charge",Calc_Rates!$F$310:$F$388,OP_Rates!$E98))</f>
        <v>0.30253163024288193</v>
      </c>
      <c r="I98" s="62">
        <f>IF(SUMIFS(Calc_Rates!I$310:I$388,Calc_Rates!$C$310:$C$388,OP_Rates!$C98&amp;" charge",Calc_Rates!$F$310:$F$388,OP_Rates!$E98)=0,"-",SUMIFS(Calc_Rates!I$310:I$388,Calc_Rates!$C$310:$C$388,OP_Rates!$C98&amp;" charge",Calc_Rates!$F$310:$F$388,OP_Rates!$E98))</f>
        <v>0.28050442107313167</v>
      </c>
      <c r="J98" s="62">
        <f>IF(SUMIFS(Calc_Rates!J$310:J$388,Calc_Rates!$C$310:$C$388,OP_Rates!$C98&amp;" charge",Calc_Rates!$F$310:$F$388,OP_Rates!$E98)=0,"-",SUMIFS(Calc_Rates!J$310:J$388,Calc_Rates!$C$310:$C$388,OP_Rates!$C98&amp;" charge",Calc_Rates!$F$310:$F$388,OP_Rates!$E98))</f>
        <v>0.30683354615771652</v>
      </c>
      <c r="K98" s="62">
        <f>IF(SUMIFS(Calc_Rates!K$310:K$388,Calc_Rates!$C$310:$C$388,OP_Rates!$C98&amp;" charge",Calc_Rates!$F$310:$F$388,OP_Rates!$E98)=0,"-",SUMIFS(Calc_Rates!K$310:K$388,Calc_Rates!$C$310:$C$388,OP_Rates!$C98&amp;" charge",Calc_Rates!$F$310:$F$388,OP_Rates!$E98))</f>
        <v>0.30863554749005234</v>
      </c>
      <c r="M98" s="23" t="s">
        <v>230</v>
      </c>
      <c r="N98" s="23" t="s">
        <v>282</v>
      </c>
      <c r="O98" s="23" t="s">
        <v>93</v>
      </c>
      <c r="P98" s="23" t="s">
        <v>9</v>
      </c>
      <c r="Q98" s="62">
        <f>IF(SUMIFS(Calc_Rates!G$310:G$388,Calc_Rates!$C$310:$C$388,OP_Rates!$M98&amp;" charge",Calc_Rates!$F$310:$F$388,OP_Rates!$O98)=0,"-",SUMIFS(Calc_Rates!G$310:G$388,Calc_Rates!$C$310:$C$388,OP_Rates!$M98&amp;" charge",Calc_Rates!$F$310:$F$388,OP_Rates!$O98))</f>
        <v>0.31794630677989932</v>
      </c>
      <c r="R98" s="62">
        <f>IF(SUMIFS(Calc_Rates!H$310:H$388,Calc_Rates!$C$310:$C$388,OP_Rates!$M98&amp;" charge",Calc_Rates!$F$310:$F$388,OP_Rates!$O98)=0,"-",SUMIFS(Calc_Rates!H$310:H$388,Calc_Rates!$C$310:$C$388,OP_Rates!$M98&amp;" charge",Calc_Rates!$F$310:$F$388,OP_Rates!$O98))</f>
        <v>0.26361959599490126</v>
      </c>
      <c r="S98" s="62">
        <f>IF(SUMIFS(Calc_Rates!I$310:I$388,Calc_Rates!$C$310:$C$388,OP_Rates!$M98&amp;" charge",Calc_Rates!$F$310:$F$388,OP_Rates!$O98)=0,"-",SUMIFS(Calc_Rates!I$310:I$388,Calc_Rates!$C$310:$C$388,OP_Rates!$M98&amp;" charge",Calc_Rates!$F$310:$F$388,OP_Rates!$O98))</f>
        <v>0.27841272391726979</v>
      </c>
      <c r="T98" s="62">
        <f>IF(SUMIFS(Calc_Rates!J$310:J$388,Calc_Rates!$C$310:$C$388,OP_Rates!$M98&amp;" charge",Calc_Rates!$F$310:$F$388,OP_Rates!$O98)=0,"-",SUMIFS(Calc_Rates!J$310:J$388,Calc_Rates!$C$310:$C$388,OP_Rates!$M98&amp;" charge",Calc_Rates!$F$310:$F$388,OP_Rates!$O98))</f>
        <v>0.28273304253424808</v>
      </c>
      <c r="U98" s="62">
        <f>IF(SUMIFS(Calc_Rates!K$310:K$388,Calc_Rates!$C$310:$C$388,OP_Rates!$M98&amp;" charge",Calc_Rates!$F$310:$F$388,OP_Rates!$O98)=0,"-",SUMIFS(Calc_Rates!K$310:K$388,Calc_Rates!$C$310:$C$388,OP_Rates!$M98&amp;" charge",Calc_Rates!$F$310:$F$388,OP_Rates!$O98))</f>
        <v>0.27658954334042918</v>
      </c>
    </row>
    <row r="99" spans="3:23" outlineLevel="2" x14ac:dyDescent="0.25">
      <c r="C99" s="23" t="s">
        <v>609</v>
      </c>
      <c r="D99" s="23" t="s">
        <v>282</v>
      </c>
      <c r="E99" s="23" t="s">
        <v>92</v>
      </c>
      <c r="F99" s="23" t="s">
        <v>9</v>
      </c>
      <c r="G99" s="62">
        <f>IF(SUMIFS(Calc_Rates!G$310:G$388,Calc_Rates!$C$310:$C$388,OP_Rates!$C99&amp;" charge",Calc_Rates!$F$310:$F$388,OP_Rates!$E99)=0,"-",SUMIFS(Calc_Rates!G$310:G$388,Calc_Rates!$C$310:$C$388,OP_Rates!$C99&amp;" charge",Calc_Rates!$F$310:$F$388,OP_Rates!$E99))</f>
        <v>0.17531780284932075</v>
      </c>
      <c r="H99" s="62">
        <f>IF(SUMIFS(Calc_Rates!H$310:H$388,Calc_Rates!$C$310:$C$388,OP_Rates!$C99&amp;" charge",Calc_Rates!$F$310:$F$388,OP_Rates!$E99)=0,"-",SUMIFS(Calc_Rates!H$310:H$388,Calc_Rates!$C$310:$C$388,OP_Rates!$C99&amp;" charge",Calc_Rates!$F$310:$F$388,OP_Rates!$E99))</f>
        <v>0.16302540624288198</v>
      </c>
      <c r="I99" s="62">
        <f>IF(SUMIFS(Calc_Rates!I$310:I$388,Calc_Rates!$C$310:$C$388,OP_Rates!$C99&amp;" charge",Calc_Rates!$F$310:$F$388,OP_Rates!$E99)=0,"-",SUMIFS(Calc_Rates!I$310:I$388,Calc_Rates!$C$310:$C$388,OP_Rates!$C99&amp;" charge",Calc_Rates!$F$310:$F$388,OP_Rates!$E99))</f>
        <v>0.16850285227313166</v>
      </c>
      <c r="J99" s="62">
        <f>IF(SUMIFS(Calc_Rates!J$310:J$388,Calc_Rates!$C$310:$C$388,OP_Rates!$C99&amp;" charge",Calc_Rates!$F$310:$F$388,OP_Rates!$E99)=0,"-",SUMIFS(Calc_Rates!J$310:J$388,Calc_Rates!$C$310:$C$388,OP_Rates!$C99&amp;" charge",Calc_Rates!$F$310:$F$388,OP_Rates!$E99))</f>
        <v>0.16791054215771656</v>
      </c>
      <c r="K99" s="62">
        <f>IF(SUMIFS(Calc_Rates!K$310:K$388,Calc_Rates!$C$310:$C$388,OP_Rates!$C99&amp;" charge",Calc_Rates!$F$310:$F$388,OP_Rates!$E99)=0,"-",SUMIFS(Calc_Rates!K$310:K$388,Calc_Rates!$C$310:$C$388,OP_Rates!$C99&amp;" charge",Calc_Rates!$F$310:$F$388,OP_Rates!$E99))</f>
        <v>0.17052905149005237</v>
      </c>
      <c r="M99" s="23" t="s">
        <v>609</v>
      </c>
      <c r="N99" s="23" t="s">
        <v>282</v>
      </c>
      <c r="O99" s="23" t="s">
        <v>93</v>
      </c>
      <c r="P99" s="23" t="s">
        <v>9</v>
      </c>
      <c r="Q99" s="62">
        <f>IF(SUMIFS(Calc_Rates!G$310:G$388,Calc_Rates!$C$310:$C$388,OP_Rates!$M99&amp;" charge",Calc_Rates!$F$310:$F$388,OP_Rates!$O99)=0,"-",SUMIFS(Calc_Rates!G$310:G$388,Calc_Rates!$C$310:$C$388,OP_Rates!$M99&amp;" charge",Calc_Rates!$F$310:$F$388,OP_Rates!$O99))</f>
        <v>0.16347349113989923</v>
      </c>
      <c r="R99" s="62">
        <f>IF(SUMIFS(Calc_Rates!H$310:H$388,Calc_Rates!$C$310:$C$388,OP_Rates!$M99&amp;" charge",Calc_Rates!$F$310:$F$388,OP_Rates!$O99)=0,"-",SUMIFS(Calc_Rates!H$310:H$388,Calc_Rates!$C$310:$C$388,OP_Rates!$M99&amp;" charge",Calc_Rates!$F$310:$F$388,OP_Rates!$O99))</f>
        <v>0.1454592239949013</v>
      </c>
      <c r="S99" s="62">
        <f>IF(SUMIFS(Calc_Rates!I$310:I$388,Calc_Rates!$C$310:$C$388,OP_Rates!$M99&amp;" charge",Calc_Rates!$F$310:$F$388,OP_Rates!$O99)=0,"-",SUMIFS(Calc_Rates!I$310:I$388,Calc_Rates!$C$310:$C$388,OP_Rates!$M99&amp;" charge",Calc_Rates!$F$310:$F$388,OP_Rates!$O99))</f>
        <v>0.1468499563172698</v>
      </c>
      <c r="T99" s="62">
        <f>IF(SUMIFS(Calc_Rates!J$310:J$388,Calc_Rates!$C$310:$C$388,OP_Rates!$M99&amp;" charge",Calc_Rates!$F$310:$F$388,OP_Rates!$O99)=0,"-",SUMIFS(Calc_Rates!J$310:J$388,Calc_Rates!$C$310:$C$388,OP_Rates!$M99&amp;" charge",Calc_Rates!$F$310:$F$388,OP_Rates!$O99))</f>
        <v>0.14894237453424808</v>
      </c>
      <c r="U99" s="62">
        <f>IF(SUMIFS(Calc_Rates!K$310:K$388,Calc_Rates!$C$310:$C$388,OP_Rates!$M99&amp;" charge",Calc_Rates!$F$310:$F$388,OP_Rates!$O99)=0,"-",SUMIFS(Calc_Rates!K$310:K$388,Calc_Rates!$C$310:$C$388,OP_Rates!$M99&amp;" charge",Calc_Rates!$F$310:$F$388,OP_Rates!$O99))</f>
        <v>0.14968087134042918</v>
      </c>
    </row>
    <row r="100" spans="3:23" outlineLevel="2" x14ac:dyDescent="0.25">
      <c r="C100" s="23" t="s">
        <v>287</v>
      </c>
      <c r="D100" s="23" t="s">
        <v>282</v>
      </c>
      <c r="E100" s="23" t="s">
        <v>92</v>
      </c>
      <c r="F100" s="23" t="s">
        <v>9</v>
      </c>
      <c r="G100" s="62">
        <f>IF(SUMIFS(Calc_Rates!G$310:G$388,Calc_Rates!$C$310:$C$388,OP_Rates!$C100&amp;" charge",Calc_Rates!$F$310:$F$388,OP_Rates!$E100)=0,"-",SUMIFS(Calc_Rates!G$310:G$388,Calc_Rates!$C$310:$C$388,OP_Rates!$C100&amp;" charge",Calc_Rates!$F$310:$F$388,OP_Rates!$E100))</f>
        <v>0.17438931660932072</v>
      </c>
      <c r="H100" s="62">
        <f>IF(SUMIFS(Calc_Rates!H$310:H$388,Calc_Rates!$C$310:$C$388,OP_Rates!$C100&amp;" charge",Calc_Rates!$F$310:$F$388,OP_Rates!$E100)=0,"-",SUMIFS(Calc_Rates!H$310:H$388,Calc_Rates!$C$310:$C$388,OP_Rates!$C100&amp;" charge",Calc_Rates!$F$310:$F$388,OP_Rates!$E100))</f>
        <v>0.14541216224288195</v>
      </c>
      <c r="I100" s="62">
        <f>IF(SUMIFS(Calc_Rates!I$310:I$388,Calc_Rates!$C$310:$C$388,OP_Rates!$C100&amp;" charge",Calc_Rates!$F$310:$F$388,OP_Rates!$E100)=0,"-",SUMIFS(Calc_Rates!I$310:I$388,Calc_Rates!$C$310:$C$388,OP_Rates!$C100&amp;" charge",Calc_Rates!$F$310:$F$388,OP_Rates!$E100))</f>
        <v>0.16510851187313164</v>
      </c>
      <c r="J100" s="62">
        <f>IF(SUMIFS(Calc_Rates!J$310:J$388,Calc_Rates!$C$310:$C$388,OP_Rates!$C100&amp;" charge",Calc_Rates!$F$310:$F$388,OP_Rates!$E100)=0,"-",SUMIFS(Calc_Rates!J$310:J$388,Calc_Rates!$C$310:$C$388,OP_Rates!$C100&amp;" charge",Calc_Rates!$F$310:$F$388,OP_Rates!$E100))</f>
        <v>0.14959743415771656</v>
      </c>
      <c r="K100" s="62">
        <f>IF(SUMIFS(Calc_Rates!K$310:K$388,Calc_Rates!$C$310:$C$388,OP_Rates!$C100&amp;" charge",Calc_Rates!$F$310:$F$388,OP_Rates!$E100)=0,"-",SUMIFS(Calc_Rates!K$310:K$388,Calc_Rates!$C$310:$C$388,OP_Rates!$C100&amp;" charge",Calc_Rates!$F$310:$F$388,OP_Rates!$E100))</f>
        <v>0.14976641949005237</v>
      </c>
      <c r="M100" s="23"/>
      <c r="N100" s="23"/>
      <c r="O100" s="23"/>
      <c r="P100" s="23" t="s">
        <v>9</v>
      </c>
      <c r="Q100" s="62"/>
      <c r="R100" s="62"/>
      <c r="S100" s="62"/>
      <c r="T100" s="62"/>
      <c r="U100" s="62"/>
    </row>
    <row r="101" spans="3:23" outlineLevel="1" x14ac:dyDescent="0.25"/>
    <row r="102" spans="3:23" ht="15.75" outlineLevel="1" x14ac:dyDescent="0.25">
      <c r="C102" s="29" t="s">
        <v>668</v>
      </c>
      <c r="M102" s="29" t="s">
        <v>671</v>
      </c>
    </row>
    <row r="103" spans="3:23" ht="15.75" outlineLevel="2" x14ac:dyDescent="0.25">
      <c r="C103" s="237" t="s">
        <v>331</v>
      </c>
      <c r="D103" s="237" t="s">
        <v>103</v>
      </c>
      <c r="E103" s="237" t="s">
        <v>91</v>
      </c>
      <c r="F103" s="43" t="s">
        <v>45</v>
      </c>
      <c r="G103" s="60" t="s">
        <v>268</v>
      </c>
      <c r="H103" s="60" t="s">
        <v>269</v>
      </c>
      <c r="I103" s="60" t="s">
        <v>270</v>
      </c>
      <c r="J103" s="60" t="s">
        <v>271</v>
      </c>
      <c r="K103" s="85" t="s">
        <v>272</v>
      </c>
      <c r="M103" s="237" t="s">
        <v>331</v>
      </c>
      <c r="N103" s="237" t="s">
        <v>103</v>
      </c>
      <c r="O103" s="237" t="s">
        <v>91</v>
      </c>
      <c r="P103" s="43" t="s">
        <v>45</v>
      </c>
      <c r="Q103" s="60" t="s">
        <v>268</v>
      </c>
      <c r="R103" s="60" t="s">
        <v>269</v>
      </c>
      <c r="S103" s="60" t="s">
        <v>270</v>
      </c>
      <c r="T103" s="60" t="s">
        <v>271</v>
      </c>
      <c r="U103" s="85" t="s">
        <v>272</v>
      </c>
    </row>
    <row r="104" spans="3:23" outlineLevel="2" x14ac:dyDescent="0.25">
      <c r="C104" s="59" t="s">
        <v>556</v>
      </c>
      <c r="D104" s="59" t="s">
        <v>109</v>
      </c>
      <c r="E104" s="59" t="s">
        <v>92</v>
      </c>
      <c r="F104" s="59" t="s">
        <v>121</v>
      </c>
      <c r="G104" s="238" cm="1">
        <f t="array" ref="G104">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name]]),0),MATCH(OP_RatesTU_RES_2[[#Headers],[Ausnet]],Calc_TUR_Net_2[[#Headers],[Ausnet]:[United Energy]],0)),
INDEX(Calc_TUR_NetCL_2[[Ausnet]:[United Energy]],MATCH(OP_RatesTU_RES_2[[#This Row],[Customer type]:[Customer type]],Calc_TUR_NetCL_2[[Customer type]:[Customer type]],0),MATCH(OP_RatesTU_RES_2[[#Headers],[Ausnet]],Calc_TUR_NetCL_2[[#Headers],[Ausnet]:[United Energy]],0))),
IF(OP_RatesTU_RES_2[[#This Row],[Cost element]:[Cost element]]="Environmental",
SUMIFS(INDEX(Calc_TUR_ENV_2[[Ausnet]:[United Energy]],0,MATCH(OP_RatesTU_RES_2[[#Headers],[Ausnet]],Calc_TUR_ENV_2[[#Headers],[Ausnet]:[United Energy]],0)),
Calc_TUR_ENV_2[[Customer type]:[Customer type]],OP_RatesTU_RES_2[[#This Row],[Customer type]:[Customer type]],Calc_TUR_ENV_2[[Rate type]:[Rate type]],OP_RatesTU_RES_2[[#This Row],[Rate name]:[Rate name]]),
"-")),"-")</f>
        <v>6.5942940910810238E-2</v>
      </c>
      <c r="H104" s="238" cm="1">
        <f t="array" ref="H104">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name]]),0),MATCH(OP_RatesTU_RES_2[[#Headers],[Citipower]],Calc_TUR_Net_2[[#Headers],[Ausnet]:[United Energy]],0)),
INDEX(Calc_TUR_NetCL_2[[Ausnet]:[United Energy]],MATCH(OP_RatesTU_RES_2[[#This Row],[Customer type]:[Customer type]],Calc_TUR_NetCL_2[[Customer type]:[Customer type]],0),MATCH(OP_RatesTU_RES_2[[#Headers],[Citipower]],Calc_TUR_NetCL_2[[#Headers],[Ausnet]:[United Energy]],0))),
IF(OP_RatesTU_RES_2[[#This Row],[Cost element]:[Cost element]]="Environmental",
SUMIFS(INDEX(Calc_TUR_ENV_2[[Ausnet]:[United Energy]],0,MATCH(OP_RatesTU_RES_2[[#Headers],[Citipower]],Calc_TUR_ENV_2[[#Headers],[Ausnet]:[United Energy]],0)),
Calc_TUR_ENV_2[[Customer type]:[Customer type]],OP_RatesTU_RES_2[[#This Row],[Customer type]:[Customer type]],Calc_TUR_ENV_2[[Rate type]:[Rate type]],OP_RatesTU_RES_2[[#This Row],[Rate name]:[Rate name]]),
"-")),"-")</f>
        <v>8.9431863759251856E-2</v>
      </c>
      <c r="I104" s="238" cm="1">
        <f t="array" ref="I104">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name]]),0),MATCH(OP_RatesTU_RES_2[[#Headers],[Jemena]],Calc_TUR_Net_2[[#Headers],[Ausnet]:[United Energy]],0)),
INDEX(Calc_TUR_NetCL_2[[Ausnet]:[United Energy]],MATCH(OP_RatesTU_RES_2[[#This Row],[Customer type]:[Customer type]],Calc_TUR_NetCL_2[[Customer type]:[Customer type]],0),MATCH(OP_RatesTU_RES_2[[#Headers],[Jemena]],Calc_TUR_NetCL_2[[#Headers],[Ausnet]:[United Energy]],0))),
IF(OP_RatesTU_RES_2[[#This Row],[Cost element]:[Cost element]]="Environmental",
SUMIFS(INDEX(Calc_TUR_ENV_2[[Ausnet]:[United Energy]],0,MATCH(OP_RatesTU_RES_2[[#Headers],[Jemena]],Calc_TUR_ENV_2[[#Headers],[Ausnet]:[United Energy]],0)),
Calc_TUR_ENV_2[[Customer type]:[Customer type]],OP_RatesTU_RES_2[[#This Row],[Customer type]:[Customer type]],Calc_TUR_ENV_2[[Rate type]:[Rate type]],OP_RatesTU_RES_2[[#This Row],[Rate name]:[Rate name]]),
"-")),"-")</f>
        <v>7.7831933455424371E-2</v>
      </c>
      <c r="J104" s="238" cm="1">
        <f t="array" ref="J104">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name]]),0),MATCH(OP_RatesTU_RES_2[[#Headers],[Powercor]],Calc_TUR_Net_2[[#Headers],[Ausnet]:[United Energy]],0)),
INDEX(Calc_TUR_NetCL_2[[Ausnet]:[United Energy]],MATCH(OP_RatesTU_RES_2[[#This Row],[Customer type]:[Customer type]],Calc_TUR_NetCL_2[[Customer type]:[Customer type]],0),MATCH(OP_RatesTU_RES_2[[#Headers],[Powercor]],Calc_TUR_NetCL_2[[#Headers],[Ausnet]:[United Energy]],0))),
IF(OP_RatesTU_RES_2[[#This Row],[Cost element]:[Cost element]]="Environmental",
SUMIFS(INDEX(Calc_TUR_ENV_2[[Ausnet]:[United Energy]],0,MATCH(OP_RatesTU_RES_2[[#Headers],[Powercor]],Calc_TUR_ENV_2[[#Headers],[Ausnet]:[United Energy]],0)),
Calc_TUR_ENV_2[[Customer type]:[Customer type]],OP_RatesTU_RES_2[[#This Row],[Customer type]:[Customer type]],Calc_TUR_ENV_2[[Rate type]:[Rate type]],OP_RatesTU_RES_2[[#This Row],[Rate name]:[Rate name]]),
"-")),"-")</f>
        <v>7.7818093461869797E-2</v>
      </c>
      <c r="K104" s="238" cm="1">
        <f t="array" ref="K104">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name]]),0),MATCH(OP_RatesTU_RES_2[[#Headers],[United Energy]],Calc_TUR_Net_2[[#Headers],[Ausnet]:[United Energy]],0)),
INDEX(Calc_TUR_NetCL_2[[Ausnet]:[United Energy]],MATCH(OP_RatesTU_RES_2[[#This Row],[Customer type]:[Customer type]],Calc_TUR_NetCL_2[[Customer type]:[Customer type]],0),MATCH(OP_RatesTU_RES_2[[#Headers],[United Energy]],Calc_TUR_NetCL_2[[#Headers],[Ausnet]:[United Energy]],0))),
IF(OP_RatesTU_RES_2[[#This Row],[Cost element]:[Cost element]]="Environmental",
SUMIFS(INDEX(Calc_TUR_ENV_2[[Ausnet]:[United Energy]],0,MATCH(OP_RatesTU_RES_2[[#Headers],[United Energy]],Calc_TUR_ENV_2[[#Headers],[Ausnet]:[United Energy]],0)),
Calc_TUR_ENV_2[[Customer type]:[Customer type]],OP_RatesTU_RES_2[[#This Row],[Customer type]:[Customer type]],Calc_TUR_ENV_2[[Rate type]:[Rate type]],OP_RatesTU_RES_2[[#This Row],[Rate name]:[Rate name]]),
"-")),"-")</f>
        <v>3.5126537362516849E-2</v>
      </c>
      <c r="M104" s="59" t="s">
        <v>556</v>
      </c>
      <c r="N104" s="59" t="s">
        <v>109</v>
      </c>
      <c r="O104" s="59" t="s">
        <v>93</v>
      </c>
      <c r="P104" s="59" t="s">
        <v>121</v>
      </c>
      <c r="Q104" s="238" cm="1">
        <f t="array" ref="Q104">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name]]),0),MATCH(OP_RatesTU_SME_2[[#Headers],[Ausnet]],Calc_TUR_Net_2[[#Headers],[Ausnet]:[United Energy]],0)),
IF(OP_RatesTU_SME_2[[#This Row],[Cost element]:[Cost element]]="Environmental",
SUMIFS(INDEX(Calc_TUR_ENV_2[[Ausnet]:[United Energy]],0,MATCH(OP_RatesTU_SME_2[[#Headers],[Ausnet]],Calc_TUR_ENV_2[[#Headers],[Ausnet]:[United Energy]],0)),
Calc_TUR_ENV_2[[Customer type]:[Customer type]],OP_RatesTU_SME_2[[#This Row],[Customer type]:[Customer type]],Calc_TUR_ENV_2[[Rate type]:[Rate type]],OP_RatesTU_SME_2[[#This Row],[Rate name]:[Rate name]]),"-")),
"-")</f>
        <v>0.14155426304843055</v>
      </c>
      <c r="R104" s="238" cm="1">
        <f t="array" ref="R104">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name]]),0),MATCH(OP_RatesTU_SME_2[[#Headers],[Citipower]],Calc_TUR_Net_2[[#Headers],[Ausnet]:[United Energy]],0)),
IF(OP_RatesTU_SME_2[[#This Row],[Cost element]:[Cost element]]="Environmental",
SUMIFS(INDEX(Calc_TUR_ENV_2[[Ausnet]:[United Energy]],0,MATCH(OP_RatesTU_SME_2[[#Headers],[Citipower]],Calc_TUR_ENV_2[[#Headers],[Ausnet]:[United Energy]],0)),
Calc_TUR_ENV_2[[Customer type]:[Customer type]],OP_RatesTU_SME_2[[#This Row],[Customer type]:[Customer type]],Calc_TUR_ENV_2[[Rate type]:[Rate type]],OP_RatesTU_SME_2[[#This Row],[Rate name]:[Rate name]]),"-")),
"-")</f>
        <v>5.0997769858831137E-2</v>
      </c>
      <c r="S104" s="238" cm="1">
        <f t="array" ref="S104">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name]]),0),MATCH(OP_RatesTU_SME_2[[#Headers],[Jemena]],Calc_TUR_Net_2[[#Headers],[Ausnet]:[United Energy]],0)),
IF(OP_RatesTU_SME_2[[#This Row],[Cost element]:[Cost element]]="Environmental",
SUMIFS(INDEX(Calc_TUR_ENV_2[[Ausnet]:[United Energy]],0,MATCH(OP_RatesTU_SME_2[[#Headers],[Jemena]],Calc_TUR_ENV_2[[#Headers],[Ausnet]:[United Energy]],0)),
Calc_TUR_ENV_2[[Customer type]:[Customer type]],OP_RatesTU_SME_2[[#This Row],[Customer type]:[Customer type]],Calc_TUR_ENV_2[[Rate type]:[Rate type]],OP_RatesTU_SME_2[[#This Row],[Rate name]:[Rate name]]),"-")),
"-")</f>
        <v>0.14652115442345531</v>
      </c>
      <c r="T104" s="238" cm="1">
        <f t="array" ref="T104">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name]]),0),MATCH(OP_RatesTU_SME_2[[#Headers],[Powercor]],Calc_TUR_Net_2[[#Headers],[Ausnet]:[United Energy]],0)),
IF(OP_RatesTU_SME_2[[#This Row],[Cost element]:[Cost element]]="Environmental",
SUMIFS(INDEX(Calc_TUR_ENV_2[[Ausnet]:[United Energy]],0,MATCH(OP_RatesTU_SME_2[[#Headers],[Powercor]],Calc_TUR_ENV_2[[#Headers],[Ausnet]:[United Energy]],0)),
Calc_TUR_ENV_2[[Customer type]:[Customer type]],OP_RatesTU_SME_2[[#This Row],[Customer type]:[Customer type]],Calc_TUR_ENV_2[[Rate type]:[Rate type]],OP_RatesTU_SME_2[[#This Row],[Rate name]:[Rate name]]),"-")),
"-")</f>
        <v>6.5334232735095366E-2</v>
      </c>
      <c r="U104" s="238" cm="1">
        <f t="array" ref="U104">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name]]),0),MATCH(OP_RatesTU_SME_2[[#Headers],[United Energy]],Calc_TUR_Net_2[[#Headers],[Ausnet]:[United Energy]],0)),
IF(OP_RatesTU_SME_2[[#This Row],[Cost element]:[Cost element]]="Environmental",
SUMIFS(INDEX(Calc_TUR_ENV_2[[Ausnet]:[United Energy]],0,MATCH(OP_RatesTU_SME_2[[#Headers],[United Energy]],Calc_TUR_ENV_2[[#Headers],[Ausnet]:[United Energy]],0)),
Calc_TUR_ENV_2[[Customer type]:[Customer type]],OP_RatesTU_SME_2[[#This Row],[Customer type]:[Customer type]],Calc_TUR_ENV_2[[Rate type]:[Rate type]],OP_RatesTU_SME_2[[#This Row],[Rate name]:[Rate name]]),"-")),
"-")</f>
        <v>-4.0499060250920585E-3</v>
      </c>
    </row>
    <row r="105" spans="3:23" outlineLevel="2" x14ac:dyDescent="0.25">
      <c r="C105" s="59" t="s">
        <v>557</v>
      </c>
      <c r="D105" s="59" t="s">
        <v>109</v>
      </c>
      <c r="E105" s="59" t="s">
        <v>92</v>
      </c>
      <c r="F105" s="59" t="s">
        <v>121</v>
      </c>
      <c r="G105" s="238" cm="1">
        <f t="array" ref="G105">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name]]),0),MATCH(OP_RatesTU_RES_2[[#Headers],[Ausnet]],Calc_TUR_Net_2[[#Headers],[Ausnet]:[United Energy]],0)),
INDEX(Calc_TUR_NetCL_2[[Ausnet]:[United Energy]],MATCH(OP_RatesTU_RES_2[[#This Row],[Customer type]:[Customer type]],Calc_TUR_NetCL_2[[Customer type]:[Customer type]],0),MATCH(OP_RatesTU_RES_2[[#Headers],[Ausnet]],Calc_TUR_NetCL_2[[#Headers],[Ausnet]:[United Energy]],0))),
IF(OP_RatesTU_RES_2[[#This Row],[Cost element]:[Cost element]]="Environmental",
SUMIFS(INDEX(Calc_TUR_ENV_2[[Ausnet]:[United Energy]],0,MATCH(OP_RatesTU_RES_2[[#Headers],[Ausnet]],Calc_TUR_ENV_2[[#Headers],[Ausnet]:[United Energy]],0)),
Calc_TUR_ENV_2[[Customer type]:[Customer type]],OP_RatesTU_RES_2[[#This Row],[Customer type]:[Customer type]],Calc_TUR_ENV_2[[Rate type]:[Rate type]],OP_RatesTU_RES_2[[#This Row],[Rate name]:[Rate name]]),
"-")),"-")</f>
        <v>-3.5347295640949759E-2</v>
      </c>
      <c r="H105" s="238" cm="1">
        <f t="array" ref="H105">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name]]),0),MATCH(OP_RatesTU_RES_2[[#Headers],[Citipower]],Calc_TUR_Net_2[[#Headers],[Ausnet]:[United Energy]],0)),
INDEX(Calc_TUR_NetCL_2[[Ausnet]:[United Energy]],MATCH(OP_RatesTU_RES_2[[#This Row],[Customer type]:[Customer type]],Calc_TUR_NetCL_2[[Customer type]:[Customer type]],0),MATCH(OP_RatesTU_RES_2[[#Headers],[Citipower]],Calc_TUR_NetCL_2[[#Headers],[Ausnet]:[United Energy]],0))),
IF(OP_RatesTU_RES_2[[#This Row],[Cost element]:[Cost element]]="Environmental",
SUMIFS(INDEX(Calc_TUR_ENV_2[[Ausnet]:[United Energy]],0,MATCH(OP_RatesTU_RES_2[[#Headers],[Citipower]],Calc_TUR_ENV_2[[#Headers],[Ausnet]:[United Energy]],0)),
Calc_TUR_ENV_2[[Customer type]:[Customer type]],OP_RatesTU_RES_2[[#This Row],[Customer type]:[Customer type]],Calc_TUR_ENV_2[[Rate type]:[Rate type]],OP_RatesTU_RES_2[[#This Row],[Rate name]:[Rate name]]),
"-")),"-")</f>
        <v>8.191292949868044E-2</v>
      </c>
      <c r="I105" s="238" cm="1">
        <f t="array" ref="I105">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name]]),0),MATCH(OP_RatesTU_RES_2[[#Headers],[Jemena]],Calc_TUR_Net_2[[#Headers],[Ausnet]:[United Energy]],0)),
INDEX(Calc_TUR_NetCL_2[[Ausnet]:[United Energy]],MATCH(OP_RatesTU_RES_2[[#This Row],[Customer type]:[Customer type]],Calc_TUR_NetCL_2[[Customer type]:[Customer type]],0),MATCH(OP_RatesTU_RES_2[[#Headers],[Jemena]],Calc_TUR_NetCL_2[[#Headers],[Ausnet]:[United Energy]],0))),
IF(OP_RatesTU_RES_2[[#This Row],[Cost element]:[Cost element]]="Environmental",
SUMIFS(INDEX(Calc_TUR_ENV_2[[Ausnet]:[United Energy]],0,MATCH(OP_RatesTU_RES_2[[#Headers],[Jemena]],Calc_TUR_ENV_2[[#Headers],[Ausnet]:[United Energy]],0)),
Calc_TUR_ENV_2[[Customer type]:[Customer type]],OP_RatesTU_RES_2[[#This Row],[Customer type]:[Customer type]],Calc_TUR_ENV_2[[Rate type]:[Rate type]],OP_RatesTU_RES_2[[#This Row],[Rate name]:[Rate name]]),
"-")),"-")</f>
        <v>-2.0508647156825287E-2</v>
      </c>
      <c r="J105" s="238" cm="1">
        <f t="array" ref="J105">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name]]),0),MATCH(OP_RatesTU_RES_2[[#Headers],[Powercor]],Calc_TUR_Net_2[[#Headers],[Ausnet]:[United Energy]],0)),
INDEX(Calc_TUR_NetCL_2[[Ausnet]:[United Energy]],MATCH(OP_RatesTU_RES_2[[#This Row],[Customer type]:[Customer type]],Calc_TUR_NetCL_2[[Customer type]:[Customer type]],0),MATCH(OP_RatesTU_RES_2[[#Headers],[Powercor]],Calc_TUR_NetCL_2[[#Headers],[Ausnet]:[United Energy]],0))),
IF(OP_RatesTU_RES_2[[#This Row],[Cost element]:[Cost element]]="Environmental",
SUMIFS(INDEX(Calc_TUR_ENV_2[[Ausnet]:[United Energy]],0,MATCH(OP_RatesTU_RES_2[[#Headers],[Powercor]],Calc_TUR_ENV_2[[#Headers],[Ausnet]:[United Energy]],0)),
Calc_TUR_ENV_2[[Customer type]:[Customer type]],OP_RatesTU_RES_2[[#This Row],[Customer type]:[Customer type]],Calc_TUR_ENV_2[[Rate type]:[Rate type]],OP_RatesTU_RES_2[[#This Row],[Rate name]:[Rate name]]),
"-")),"-")</f>
        <v>6.1968521810324292E-2</v>
      </c>
      <c r="K105" s="238" cm="1">
        <f t="array" ref="K105">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name]]),0),MATCH(OP_RatesTU_RES_2[[#Headers],[United Energy]],Calc_TUR_Net_2[[#Headers],[Ausnet]:[United Energy]],0)),
INDEX(Calc_TUR_NetCL_2[[Ausnet]:[United Energy]],MATCH(OP_RatesTU_RES_2[[#This Row],[Customer type]:[Customer type]],Calc_TUR_NetCL_2[[Customer type]:[Customer type]],0),MATCH(OP_RatesTU_RES_2[[#Headers],[United Energy]],Calc_TUR_NetCL_2[[#Headers],[Ausnet]:[United Energy]],0))),
IF(OP_RatesTU_RES_2[[#This Row],[Cost element]:[Cost element]]="Environmental",
SUMIFS(INDEX(Calc_TUR_ENV_2[[Ausnet]:[United Energy]],0,MATCH(OP_RatesTU_RES_2[[#Headers],[United Energy]],Calc_TUR_ENV_2[[#Headers],[Ausnet]:[United Energy]],0)),
Calc_TUR_ENV_2[[Customer type]:[Customer type]],OP_RatesTU_RES_2[[#This Row],[Customer type]:[Customer type]],Calc_TUR_ENV_2[[Rate type]:[Rate type]],OP_RatesTU_RES_2[[#This Row],[Rate name]:[Rate name]]),
"-")),"-")</f>
        <v>2.7021712120602229E-2</v>
      </c>
      <c r="M105" s="59" t="s">
        <v>557</v>
      </c>
      <c r="N105" s="59" t="s">
        <v>109</v>
      </c>
      <c r="O105" s="59" t="s">
        <v>93</v>
      </c>
      <c r="P105" s="59" t="s">
        <v>121</v>
      </c>
      <c r="Q105" s="238" cm="1">
        <f t="array" ref="Q105">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name]]),0),MATCH(OP_RatesTU_SME_2[[#Headers],[Ausnet]],Calc_TUR_Net_2[[#Headers],[Ausnet]:[United Energy]],0)),
IF(OP_RatesTU_SME_2[[#This Row],[Cost element]:[Cost element]]="Environmental",
SUMIFS(INDEX(Calc_TUR_ENV_2[[Ausnet]:[United Energy]],0,MATCH(OP_RatesTU_SME_2[[#Headers],[Ausnet]],Calc_TUR_ENV_2[[#Headers],[Ausnet]:[United Energy]],0)),
Calc_TUR_ENV_2[[Customer type]:[Customer type]],OP_RatesTU_SME_2[[#This Row],[Customer type]:[Customer type]],Calc_TUR_ENV_2[[Rate type]:[Rate type]],OP_RatesTU_SME_2[[#This Row],[Rate name]:[Rate name]]),"-")),
"-")</f>
        <v>-0.32925474284111511</v>
      </c>
      <c r="R105" s="238" cm="1">
        <f t="array" ref="R105">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name]]),0),MATCH(OP_RatesTU_SME_2[[#Headers],[Citipower]],Calc_TUR_Net_2[[#Headers],[Ausnet]:[United Energy]],0)),
IF(OP_RatesTU_SME_2[[#This Row],[Cost element]:[Cost element]]="Environmental",
SUMIFS(INDEX(Calc_TUR_ENV_2[[Ausnet]:[United Energy]],0,MATCH(OP_RatesTU_SME_2[[#Headers],[Citipower]],Calc_TUR_ENV_2[[#Headers],[Ausnet]:[United Energy]],0)),
Calc_TUR_ENV_2[[Customer type]:[Customer type]],OP_RatesTU_SME_2[[#This Row],[Customer type]:[Customer type]],Calc_TUR_ENV_2[[Rate type]:[Rate type]],OP_RatesTU_SME_2[[#This Row],[Rate name]:[Rate name]]),"-")),
"-")</f>
        <v>2.0161263023850056E-2</v>
      </c>
      <c r="S105" s="238" cm="1">
        <f t="array" ref="S105">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name]]),0),MATCH(OP_RatesTU_SME_2[[#Headers],[Jemena]],Calc_TUR_Net_2[[#Headers],[Ausnet]:[United Energy]],0)),
IF(OP_RatesTU_SME_2[[#This Row],[Cost element]:[Cost element]]="Environmental",
SUMIFS(INDEX(Calc_TUR_ENV_2[[Ausnet]:[United Energy]],0,MATCH(OP_RatesTU_SME_2[[#Headers],[Jemena]],Calc_TUR_ENV_2[[#Headers],[Ausnet]:[United Energy]],0)),
Calc_TUR_ENV_2[[Customer type]:[Customer type]],OP_RatesTU_SME_2[[#This Row],[Customer type]:[Customer type]],Calc_TUR_ENV_2[[Rate type]:[Rate type]],OP_RatesTU_SME_2[[#This Row],[Rate name]:[Rate name]]),"-")),
"-")</f>
        <v>5.7153640043026116E-2</v>
      </c>
      <c r="T105" s="238" cm="1">
        <f t="array" ref="T105">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name]]),0),MATCH(OP_RatesTU_SME_2[[#Headers],[Powercor]],Calc_TUR_Net_2[[#Headers],[Ausnet]:[United Energy]],0)),
IF(OP_RatesTU_SME_2[[#This Row],[Cost element]:[Cost element]]="Environmental",
SUMIFS(INDEX(Calc_TUR_ENV_2[[Ausnet]:[United Energy]],0,MATCH(OP_RatesTU_SME_2[[#Headers],[Powercor]],Calc_TUR_ENV_2[[#Headers],[Ausnet]:[United Energy]],0)),
Calc_TUR_ENV_2[[Customer type]:[Customer type]],OP_RatesTU_SME_2[[#This Row],[Customer type]:[Customer type]],Calc_TUR_ENV_2[[Rate type]:[Rate type]],OP_RatesTU_SME_2[[#This Row],[Rate name]:[Rate name]]),"-")),
"-")</f>
        <v>3.1607073842049929E-2</v>
      </c>
      <c r="U105" s="238" cm="1">
        <f t="array" ref="U105">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name]]),0),MATCH(OP_RatesTU_SME_2[[#Headers],[United Energy]],Calc_TUR_Net_2[[#Headers],[Ausnet]:[United Energy]],0)),
IF(OP_RatesTU_SME_2[[#This Row],[Cost element]:[Cost element]]="Environmental",
SUMIFS(INDEX(Calc_TUR_ENV_2[[Ausnet]:[United Energy]],0,MATCH(OP_RatesTU_SME_2[[#Headers],[United Energy]],Calc_TUR_ENV_2[[#Headers],[Ausnet]:[United Energy]],0)),
Calc_TUR_ENV_2[[Customer type]:[Customer type]],OP_RatesTU_SME_2[[#This Row],[Customer type]:[Customer type]],Calc_TUR_ENV_2[[Rate type]:[Rate type]],OP_RatesTU_SME_2[[#This Row],[Rate name]:[Rate name]]),"-")),
"-")</f>
        <v>-3.4237314344040502E-2</v>
      </c>
      <c r="W105" s="78"/>
    </row>
    <row r="106" spans="3:23" outlineLevel="2" x14ac:dyDescent="0.25">
      <c r="C106" s="59" t="s">
        <v>287</v>
      </c>
      <c r="D106" s="59" t="s">
        <v>282</v>
      </c>
      <c r="E106" s="59" t="s">
        <v>92</v>
      </c>
      <c r="F106" s="59" t="s">
        <v>121</v>
      </c>
      <c r="G106" s="238" cm="1">
        <f t="array" ref="G106">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name]]),0),MATCH(OP_RatesTU_RES_2[[#Headers],[Ausnet]],Calc_TUR_Net_2[[#Headers],[Ausnet]:[United Energy]],0)),
INDEX(Calc_TUR_NetCL_2[[Ausnet]:[United Energy]],MATCH(OP_RatesTU_RES_2[[#This Row],[Customer type]:[Customer type]],Calc_TUR_NetCL_2[[Customer type]:[Customer type]],0),MATCH(OP_RatesTU_RES_2[[#Headers],[Ausnet]],Calc_TUR_NetCL_2[[#Headers],[Ausnet]:[United Energy]],0))),
IF(OP_RatesTU_RES_2[[#This Row],[Cost element]:[Cost element]]="Environmental",
SUMIFS(INDEX(Calc_TUR_ENV_2[[Ausnet]:[United Energy]],0,MATCH(OP_RatesTU_RES_2[[#Headers],[Ausnet]],Calc_TUR_ENV_2[[#Headers],[Ausnet]:[United Energy]],0)),
Calc_TUR_ENV_2[[Customer type]:[Customer type]],OP_RatesTU_RES_2[[#This Row],[Customer type]:[Customer type]],Calc_TUR_ENV_2[[Rate type]:[Rate type]],OP_RatesTU_RES_2[[#This Row],[Rate name]:[Rate name]]),
"-")),"-")</f>
        <v>2.3791062236162628E-3</v>
      </c>
      <c r="H106" s="238" cm="1">
        <f t="array" ref="H106">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name]]),0),MATCH(OP_RatesTU_RES_2[[#Headers],[Citipower]],Calc_TUR_Net_2[[#Headers],[Ausnet]:[United Energy]],0)),
INDEX(Calc_TUR_NetCL_2[[Ausnet]:[United Energy]],MATCH(OP_RatesTU_RES_2[[#This Row],[Customer type]:[Customer type]],Calc_TUR_NetCL_2[[Customer type]:[Customer type]],0),MATCH(OP_RatesTU_RES_2[[#Headers],[Citipower]],Calc_TUR_NetCL_2[[#Headers],[Ausnet]:[United Energy]],0))),
IF(OP_RatesTU_RES_2[[#This Row],[Cost element]:[Cost element]]="Environmental",
SUMIFS(INDEX(Calc_TUR_ENV_2[[Ausnet]:[United Energy]],0,MATCH(OP_RatesTU_RES_2[[#Headers],[Citipower]],Calc_TUR_ENV_2[[#Headers],[Ausnet]:[United Energy]],0)),
Calc_TUR_ENV_2[[Customer type]:[Customer type]],OP_RatesTU_RES_2[[#This Row],[Customer type]:[Customer type]],Calc_TUR_ENV_2[[Rate type]:[Rate type]],OP_RatesTU_RES_2[[#This Row],[Rate name]:[Rate name]]),
"-")),"-")</f>
        <v>2.2539525429423595E-3</v>
      </c>
      <c r="I106" s="238" cm="1">
        <f t="array" ref="I106">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name]]),0),MATCH(OP_RatesTU_RES_2[[#Headers],[Jemena]],Calc_TUR_Net_2[[#Headers],[Ausnet]:[United Energy]],0)),
INDEX(Calc_TUR_NetCL_2[[Ausnet]:[United Energy]],MATCH(OP_RatesTU_RES_2[[#This Row],[Customer type]:[Customer type]],Calc_TUR_NetCL_2[[Customer type]:[Customer type]],0),MATCH(OP_RatesTU_RES_2[[#Headers],[Jemena]],Calc_TUR_NetCL_2[[#Headers],[Ausnet]:[United Energy]],0))),
IF(OP_RatesTU_RES_2[[#This Row],[Cost element]:[Cost element]]="Environmental",
SUMIFS(INDEX(Calc_TUR_ENV_2[[Ausnet]:[United Energy]],0,MATCH(OP_RatesTU_RES_2[[#Headers],[Jemena]],Calc_TUR_ENV_2[[#Headers],[Ausnet]:[United Energy]],0)),
Calc_TUR_ENV_2[[Customer type]:[Customer type]],OP_RatesTU_RES_2[[#This Row],[Customer type]:[Customer type]],Calc_TUR_ENV_2[[Rate type]:[Rate type]],OP_RatesTU_RES_2[[#This Row],[Rate name]:[Rate name]]),
"-")),"-")</f>
        <v>4.0511831232358702E-3</v>
      </c>
      <c r="J106" s="238" cm="1">
        <f t="array" ref="J106">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name]]),0),MATCH(OP_RatesTU_RES_2[[#Headers],[Powercor]],Calc_TUR_Net_2[[#Headers],[Ausnet]:[United Energy]],0)),
INDEX(Calc_TUR_NetCL_2[[Ausnet]:[United Energy]],MATCH(OP_RatesTU_RES_2[[#This Row],[Customer type]:[Customer type]],Calc_TUR_NetCL_2[[Customer type]:[Customer type]],0),MATCH(OP_RatesTU_RES_2[[#Headers],[Powercor]],Calc_TUR_NetCL_2[[#Headers],[Ausnet]:[United Energy]],0))),
IF(OP_RatesTU_RES_2[[#This Row],[Cost element]:[Cost element]]="Environmental",
SUMIFS(INDEX(Calc_TUR_ENV_2[[Ausnet]:[United Energy]],0,MATCH(OP_RatesTU_RES_2[[#Headers],[Powercor]],Calc_TUR_ENV_2[[#Headers],[Ausnet]:[United Energy]],0)),
Calc_TUR_ENV_2[[Customer type]:[Customer type]],OP_RatesTU_RES_2[[#This Row],[Customer type]:[Customer type]],Calc_TUR_ENV_2[[Rate type]:[Rate type]],OP_RatesTU_RES_2[[#This Row],[Rate name]:[Rate name]]),
"-")),"-")</f>
        <v>1.4828635150936562E-3</v>
      </c>
      <c r="K106" s="238" cm="1">
        <f t="array" ref="K106">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name]]),0),MATCH(OP_RatesTU_RES_2[[#Headers],[United Energy]],Calc_TUR_Net_2[[#Headers],[Ausnet]:[United Energy]],0)),
INDEX(Calc_TUR_NetCL_2[[Ausnet]:[United Energy]],MATCH(OP_RatesTU_RES_2[[#This Row],[Customer type]:[Customer type]],Calc_TUR_NetCL_2[[Customer type]:[Customer type]],0),MATCH(OP_RatesTU_RES_2[[#Headers],[United Energy]],Calc_TUR_NetCL_2[[#Headers],[Ausnet]:[United Energy]],0))),
IF(OP_RatesTU_RES_2[[#This Row],[Cost element]:[Cost element]]="Environmental",
SUMIFS(INDEX(Calc_TUR_ENV_2[[Ausnet]:[United Energy]],0,MATCH(OP_RatesTU_RES_2[[#Headers],[United Energy]],Calc_TUR_ENV_2[[#Headers],[Ausnet]:[United Energy]],0)),
Calc_TUR_ENV_2[[Customer type]:[Customer type]],OP_RatesTU_RES_2[[#This Row],[Customer type]:[Customer type]],Calc_TUR_ENV_2[[Rate type]:[Rate type]],OP_RatesTU_RES_2[[#This Row],[Rate name]:[Rate name]]),
"-")),"-")</f>
        <v>2.6098397865648355E-3</v>
      </c>
      <c r="M106" s="236"/>
      <c r="N106" s="236"/>
      <c r="O106" s="236"/>
      <c r="P106" s="236"/>
      <c r="Q106" s="238" t="str" cm="1">
        <f t="array" ref="Q106">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name]]),0),MATCH(OP_RatesTU_SME_2[[#Headers],[Ausnet]],Calc_TUR_Net_2[[#Headers],[Ausnet]:[United Energy]],0)),
IF(OP_RatesTU_SME_2[[#This Row],[Cost element]:[Cost element]]="Environmental",
SUMIFS(INDEX(Calc_TUR_ENV_2[[Ausnet]:[United Energy]],0,MATCH(OP_RatesTU_SME_2[[#Headers],[Ausnet]],Calc_TUR_ENV_2[[#Headers],[Ausnet]:[United Energy]],0)),
Calc_TUR_ENV_2[[Customer type]:[Customer type]],OP_RatesTU_SME_2[[#This Row],[Customer type]:[Customer type]],Calc_TUR_ENV_2[[Rate type]:[Rate type]],OP_RatesTU_SME_2[[#This Row],[Rate name]:[Rate name]]),"-")),
"-")</f>
        <v>-</v>
      </c>
      <c r="R106" s="238" t="str" cm="1">
        <f t="array" ref="R106">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name]]),0),MATCH(OP_RatesTU_SME_2[[#Headers],[Citipower]],Calc_TUR_Net_2[[#Headers],[Ausnet]:[United Energy]],0)),
IF(OP_RatesTU_SME_2[[#This Row],[Cost element]:[Cost element]]="Environmental",
SUMIFS(INDEX(Calc_TUR_ENV_2[[Ausnet]:[United Energy]],0,MATCH(OP_RatesTU_SME_2[[#Headers],[Citipower]],Calc_TUR_ENV_2[[#Headers],[Ausnet]:[United Energy]],0)),
Calc_TUR_ENV_2[[Customer type]:[Customer type]],OP_RatesTU_SME_2[[#This Row],[Customer type]:[Customer type]],Calc_TUR_ENV_2[[Rate type]:[Rate type]],OP_RatesTU_SME_2[[#This Row],[Rate name]:[Rate name]]),"-")),
"-")</f>
        <v>-</v>
      </c>
      <c r="S106" s="238" t="str" cm="1">
        <f t="array" ref="S106">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name]]),0),MATCH(OP_RatesTU_SME_2[[#Headers],[Jemena]],Calc_TUR_Net_2[[#Headers],[Ausnet]:[United Energy]],0)),
IF(OP_RatesTU_SME_2[[#This Row],[Cost element]:[Cost element]]="Environmental",
SUMIFS(INDEX(Calc_TUR_ENV_2[[Ausnet]:[United Energy]],0,MATCH(OP_RatesTU_SME_2[[#Headers],[Jemena]],Calc_TUR_ENV_2[[#Headers],[Ausnet]:[United Energy]],0)),
Calc_TUR_ENV_2[[Customer type]:[Customer type]],OP_RatesTU_SME_2[[#This Row],[Customer type]:[Customer type]],Calc_TUR_ENV_2[[Rate type]:[Rate type]],OP_RatesTU_SME_2[[#This Row],[Rate name]:[Rate name]]),"-")),
"-")</f>
        <v>-</v>
      </c>
      <c r="T106" s="238" t="str" cm="1">
        <f t="array" ref="T106">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name]]),0),MATCH(OP_RatesTU_SME_2[[#Headers],[Powercor]],Calc_TUR_Net_2[[#Headers],[Ausnet]:[United Energy]],0)),
IF(OP_RatesTU_SME_2[[#This Row],[Cost element]:[Cost element]]="Environmental",
SUMIFS(INDEX(Calc_TUR_ENV_2[[Ausnet]:[United Energy]],0,MATCH(OP_RatesTU_SME_2[[#Headers],[Powercor]],Calc_TUR_ENV_2[[#Headers],[Ausnet]:[United Energy]],0)),
Calc_TUR_ENV_2[[Customer type]:[Customer type]],OP_RatesTU_SME_2[[#This Row],[Customer type]:[Customer type]],Calc_TUR_ENV_2[[Rate type]:[Rate type]],OP_RatesTU_SME_2[[#This Row],[Rate name]:[Rate name]]),"-")),
"-")</f>
        <v>-</v>
      </c>
      <c r="U106" s="238" t="str" cm="1">
        <f t="array" ref="U106">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name]]),0),MATCH(OP_RatesTU_SME_2[[#Headers],[United Energy]],Calc_TUR_Net_2[[#Headers],[Ausnet]:[United Energy]],0)),
IF(OP_RatesTU_SME_2[[#This Row],[Cost element]:[Cost element]]="Environmental",
SUMIFS(INDEX(Calc_TUR_ENV_2[[Ausnet]:[United Energy]],0,MATCH(OP_RatesTU_SME_2[[#Headers],[United Energy]],Calc_TUR_ENV_2[[#Headers],[Ausnet]:[United Energy]],0)),
Calc_TUR_ENV_2[[Customer type]:[Customer type]],OP_RatesTU_SME_2[[#This Row],[Customer type]:[Customer type]],Calc_TUR_ENV_2[[Rate type]:[Rate type]],OP_RatesTU_SME_2[[#This Row],[Rate name]:[Rate name]]),"-")),
"-")</f>
        <v>-</v>
      </c>
    </row>
    <row r="107" spans="3:23" outlineLevel="2" x14ac:dyDescent="0.25">
      <c r="C107" s="59" t="s">
        <v>221</v>
      </c>
      <c r="D107" s="59" t="s">
        <v>282</v>
      </c>
      <c r="E107" s="59" t="s">
        <v>92</v>
      </c>
      <c r="F107" s="59" t="s">
        <v>151</v>
      </c>
      <c r="G107" s="238" cm="1">
        <f t="array" ref="G107">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name]]),0),MATCH(OP_RatesTU_RES_2[[#Headers],[Ausnet]],Calc_TUR_Net_2[[#Headers],[Ausnet]:[United Energy]],0)),
INDEX(Calc_TUR_NetCL_2[[Ausnet]:[United Energy]],MATCH(OP_RatesTU_RES_2[[#This Row],[Customer type]:[Customer type]],Calc_TUR_NetCL_2[[Customer type]:[Customer type]],0),MATCH(OP_RatesTU_RES_2[[#Headers],[Ausnet]],Calc_TUR_NetCL_2[[#Headers],[Ausnet]:[United Energy]],0))),
IF(OP_RatesTU_RES_2[[#This Row],[Cost element]:[Cost element]]="Environmental",
SUMIFS(INDEX(Calc_TUR_ENV_2[[Ausnet]:[United Energy]],0,MATCH(OP_RatesTU_RES_2[[#Headers],[Ausnet]],Calc_TUR_ENV_2[[#Headers],[Ausnet]:[United Energy]],0)),
Calc_TUR_ENV_2[[Customer type]:[Customer type]],OP_RatesTU_RES_2[[#This Row],[Customer type]:[Customer type]],Calc_TUR_ENV_2[[Rate type]:[Rate type]],OP_RatesTU_RES_2[[#This Row],[Rate name]:[Rate name]]),
"-")),"-")</f>
        <v>6.66713910181736E-3</v>
      </c>
      <c r="H107" s="238" cm="1">
        <f t="array" ref="H107">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name]]),0),MATCH(OP_RatesTU_RES_2[[#Headers],[Citipower]],Calc_TUR_Net_2[[#Headers],[Ausnet]:[United Energy]],0)),
INDEX(Calc_TUR_NetCL_2[[Ausnet]:[United Energy]],MATCH(OP_RatesTU_RES_2[[#This Row],[Customer type]:[Customer type]],Calc_TUR_NetCL_2[[Customer type]:[Customer type]],0),MATCH(OP_RatesTU_RES_2[[#Headers],[Citipower]],Calc_TUR_NetCL_2[[#Headers],[Ausnet]:[United Energy]],0))),
IF(OP_RatesTU_RES_2[[#This Row],[Cost element]:[Cost element]]="Environmental",
SUMIFS(INDEX(Calc_TUR_ENV_2[[Ausnet]:[United Energy]],0,MATCH(OP_RatesTU_RES_2[[#Headers],[Citipower]],Calc_TUR_ENV_2[[#Headers],[Ausnet]:[United Energy]],0)),
Calc_TUR_ENV_2[[Customer type]:[Customer type]],OP_RatesTU_RES_2[[#This Row],[Customer type]:[Customer type]],Calc_TUR_ENV_2[[Rate type]:[Rate type]],OP_RatesTU_RES_2[[#This Row],[Rate name]:[Rate name]]),
"-")),"-")</f>
        <v>0</v>
      </c>
      <c r="I107" s="238" cm="1">
        <f t="array" ref="I107">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name]]),0),MATCH(OP_RatesTU_RES_2[[#Headers],[Jemena]],Calc_TUR_Net_2[[#Headers],[Ausnet]:[United Energy]],0)),
INDEX(Calc_TUR_NetCL_2[[Ausnet]:[United Energy]],MATCH(OP_RatesTU_RES_2[[#This Row],[Customer type]:[Customer type]],Calc_TUR_NetCL_2[[Customer type]:[Customer type]],0),MATCH(OP_RatesTU_RES_2[[#Headers],[Jemena]],Calc_TUR_NetCL_2[[#Headers],[Ausnet]:[United Energy]],0))),
IF(OP_RatesTU_RES_2[[#This Row],[Cost element]:[Cost element]]="Environmental",
SUMIFS(INDEX(Calc_TUR_ENV_2[[Ausnet]:[United Energy]],0,MATCH(OP_RatesTU_RES_2[[#Headers],[Jemena]],Calc_TUR_ENV_2[[#Headers],[Ausnet]:[United Energy]],0)),
Calc_TUR_ENV_2[[Customer type]:[Customer type]],OP_RatesTU_RES_2[[#This Row],[Customer type]:[Customer type]],Calc_TUR_ENV_2[[Rate type]:[Rate type]],OP_RatesTU_RES_2[[#This Row],[Rate name]:[Rate name]]),
"-")),"-")</f>
        <v>0</v>
      </c>
      <c r="J107" s="238" cm="1">
        <f t="array" ref="J107">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name]]),0),MATCH(OP_RatesTU_RES_2[[#Headers],[Powercor]],Calc_TUR_Net_2[[#Headers],[Ausnet]:[United Energy]],0)),
INDEX(Calc_TUR_NetCL_2[[Ausnet]:[United Energy]],MATCH(OP_RatesTU_RES_2[[#This Row],[Customer type]:[Customer type]],Calc_TUR_NetCL_2[[Customer type]:[Customer type]],0),MATCH(OP_RatesTU_RES_2[[#Headers],[Powercor]],Calc_TUR_NetCL_2[[#Headers],[Ausnet]:[United Energy]],0))),
IF(OP_RatesTU_RES_2[[#This Row],[Cost element]:[Cost element]]="Environmental",
SUMIFS(INDEX(Calc_TUR_ENV_2[[Ausnet]:[United Energy]],0,MATCH(OP_RatesTU_RES_2[[#Headers],[Powercor]],Calc_TUR_ENV_2[[#Headers],[Ausnet]:[United Energy]],0)),
Calc_TUR_ENV_2[[Customer type]:[Customer type]],OP_RatesTU_RES_2[[#This Row],[Customer type]:[Customer type]],Calc_TUR_ENV_2[[Rate type]:[Rate type]],OP_RatesTU_RES_2[[#This Row],[Rate name]:[Rate name]]),
"-")),"-")</f>
        <v>0</v>
      </c>
      <c r="K107" s="238" cm="1">
        <f t="array" ref="K107">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name]]),0),MATCH(OP_RatesTU_RES_2[[#Headers],[United Energy]],Calc_TUR_Net_2[[#Headers],[Ausnet]:[United Energy]],0)),
INDEX(Calc_TUR_NetCL_2[[Ausnet]:[United Energy]],MATCH(OP_RatesTU_RES_2[[#This Row],[Customer type]:[Customer type]],Calc_TUR_NetCL_2[[Customer type]:[Customer type]],0),MATCH(OP_RatesTU_RES_2[[#Headers],[United Energy]],Calc_TUR_NetCL_2[[#Headers],[Ausnet]:[United Energy]],0))),
IF(OP_RatesTU_RES_2[[#This Row],[Cost element]:[Cost element]]="Environmental",
SUMIFS(INDEX(Calc_TUR_ENV_2[[Ausnet]:[United Energy]],0,MATCH(OP_RatesTU_RES_2[[#Headers],[United Energy]],Calc_TUR_ENV_2[[#Headers],[Ausnet]:[United Energy]],0)),
Calc_TUR_ENV_2[[Customer type]:[Customer type]],OP_RatesTU_RES_2[[#This Row],[Customer type]:[Customer type]],Calc_TUR_ENV_2[[Rate type]:[Rate type]],OP_RatesTU_RES_2[[#This Row],[Rate name]:[Rate name]]),
"-")),"-")</f>
        <v>0</v>
      </c>
      <c r="M107" s="59" t="s">
        <v>221</v>
      </c>
      <c r="N107" s="59" t="s">
        <v>282</v>
      </c>
      <c r="O107" s="59" t="s">
        <v>93</v>
      </c>
      <c r="P107" s="59" t="s">
        <v>151</v>
      </c>
      <c r="Q107" s="238" cm="1">
        <f t="array" ref="Q107">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name]]),0),MATCH(OP_RatesTU_SME_2[[#Headers],[Ausnet]],Calc_TUR_Net_2[[#Headers],[Ausnet]:[United Energy]],0)),
IF(OP_RatesTU_SME_2[[#This Row],[Cost element]:[Cost element]]="Environmental",
SUMIFS(INDEX(Calc_TUR_ENV_2[[Ausnet]:[United Energy]],0,MATCH(OP_RatesTU_SME_2[[#Headers],[Ausnet]],Calc_TUR_ENV_2[[#Headers],[Ausnet]:[United Energy]],0)),
Calc_TUR_ENV_2[[Customer type]:[Customer type]],OP_RatesTU_SME_2[[#This Row],[Customer type]:[Customer type]],Calc_TUR_ENV_2[[Rate type]:[Rate type]],OP_RatesTU_SME_2[[#This Row],[Rate name]:[Rate name]]),"-")),
"-")</f>
        <v>6.66713910181736E-3</v>
      </c>
      <c r="R107" s="238" cm="1">
        <f t="array" ref="R107">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name]]),0),MATCH(OP_RatesTU_SME_2[[#Headers],[Citipower]],Calc_TUR_Net_2[[#Headers],[Ausnet]:[United Energy]],0)),
IF(OP_RatesTU_SME_2[[#This Row],[Cost element]:[Cost element]]="Environmental",
SUMIFS(INDEX(Calc_TUR_ENV_2[[Ausnet]:[United Energy]],0,MATCH(OP_RatesTU_SME_2[[#Headers],[Citipower]],Calc_TUR_ENV_2[[#Headers],[Ausnet]:[United Energy]],0)),
Calc_TUR_ENV_2[[Customer type]:[Customer type]],OP_RatesTU_SME_2[[#This Row],[Customer type]:[Customer type]],Calc_TUR_ENV_2[[Rate type]:[Rate type]],OP_RatesTU_SME_2[[#This Row],[Rate name]:[Rate name]]),"-")),
"-")</f>
        <v>0</v>
      </c>
      <c r="S107" s="238" cm="1">
        <f t="array" ref="S107">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name]]),0),MATCH(OP_RatesTU_SME_2[[#Headers],[Jemena]],Calc_TUR_Net_2[[#Headers],[Ausnet]:[United Energy]],0)),
IF(OP_RatesTU_SME_2[[#This Row],[Cost element]:[Cost element]]="Environmental",
SUMIFS(INDEX(Calc_TUR_ENV_2[[Ausnet]:[United Energy]],0,MATCH(OP_RatesTU_SME_2[[#Headers],[Jemena]],Calc_TUR_ENV_2[[#Headers],[Ausnet]:[United Energy]],0)),
Calc_TUR_ENV_2[[Customer type]:[Customer type]],OP_RatesTU_SME_2[[#This Row],[Customer type]:[Customer type]],Calc_TUR_ENV_2[[Rate type]:[Rate type]],OP_RatesTU_SME_2[[#This Row],[Rate name]:[Rate name]]),"-")),
"-")</f>
        <v>0</v>
      </c>
      <c r="T107" s="238" cm="1">
        <f t="array" ref="T107">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name]]),0),MATCH(OP_RatesTU_SME_2[[#Headers],[Powercor]],Calc_TUR_Net_2[[#Headers],[Ausnet]:[United Energy]],0)),
IF(OP_RatesTU_SME_2[[#This Row],[Cost element]:[Cost element]]="Environmental",
SUMIFS(INDEX(Calc_TUR_ENV_2[[Ausnet]:[United Energy]],0,MATCH(OP_RatesTU_SME_2[[#Headers],[Powercor]],Calc_TUR_ENV_2[[#Headers],[Ausnet]:[United Energy]],0)),
Calc_TUR_ENV_2[[Customer type]:[Customer type]],OP_RatesTU_SME_2[[#This Row],[Customer type]:[Customer type]],Calc_TUR_ENV_2[[Rate type]:[Rate type]],OP_RatesTU_SME_2[[#This Row],[Rate name]:[Rate name]]),"-")),
"-")</f>
        <v>0</v>
      </c>
      <c r="U107" s="238" cm="1">
        <f t="array" ref="U107">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name]]),0),MATCH(OP_RatesTU_SME_2[[#Headers],[United Energy]],Calc_TUR_Net_2[[#Headers],[Ausnet]:[United Energy]],0)),
IF(OP_RatesTU_SME_2[[#This Row],[Cost element]:[Cost element]]="Environmental",
SUMIFS(INDEX(Calc_TUR_ENV_2[[Ausnet]:[United Energy]],0,MATCH(OP_RatesTU_SME_2[[#Headers],[United Energy]],Calc_TUR_ENV_2[[#Headers],[Ausnet]:[United Energy]],0)),
Calc_TUR_ENV_2[[Customer type]:[Customer type]],OP_RatesTU_SME_2[[#This Row],[Customer type]:[Customer type]],Calc_TUR_ENV_2[[Rate type]:[Rate type]],OP_RatesTU_SME_2[[#This Row],[Rate name]:[Rate name]]),"-")),
"-")</f>
        <v>0</v>
      </c>
    </row>
    <row r="108" spans="3:23" outlineLevel="2" x14ac:dyDescent="0.25">
      <c r="C108" s="59" t="s">
        <v>228</v>
      </c>
      <c r="D108" s="59" t="s">
        <v>282</v>
      </c>
      <c r="E108" s="59" t="s">
        <v>92</v>
      </c>
      <c r="F108" s="59" t="s">
        <v>151</v>
      </c>
      <c r="G108" s="238" cm="1">
        <f t="array" ref="G108">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name]]),0),MATCH(OP_RatesTU_RES_2[[#Headers],[Ausnet]],Calc_TUR_Net_2[[#Headers],[Ausnet]:[United Energy]],0)),
INDEX(Calc_TUR_NetCL_2[[Ausnet]:[United Energy]],MATCH(OP_RatesTU_RES_2[[#This Row],[Customer type]:[Customer type]],Calc_TUR_NetCL_2[[Customer type]:[Customer type]],0),MATCH(OP_RatesTU_RES_2[[#Headers],[Ausnet]],Calc_TUR_NetCL_2[[#Headers],[Ausnet]:[United Energy]],0))),
IF(OP_RatesTU_RES_2[[#This Row],[Cost element]:[Cost element]]="Environmental",
SUMIFS(INDEX(Calc_TUR_ENV_2[[Ausnet]:[United Energy]],0,MATCH(OP_RatesTU_RES_2[[#Headers],[Ausnet]],Calc_TUR_ENV_2[[#Headers],[Ausnet]:[United Energy]],0)),
Calc_TUR_ENV_2[[Customer type]:[Customer type]],OP_RatesTU_RES_2[[#This Row],[Customer type]:[Customer type]],Calc_TUR_ENV_2[[Rate type]:[Rate type]],OP_RatesTU_RES_2[[#This Row],[Rate name]:[Rate name]]),
"-")),"-")</f>
        <v>6.66713910181736E-3</v>
      </c>
      <c r="H108" s="238" cm="1">
        <f t="array" ref="H108">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name]]),0),MATCH(OP_RatesTU_RES_2[[#Headers],[Citipower]],Calc_TUR_Net_2[[#Headers],[Ausnet]:[United Energy]],0)),
INDEX(Calc_TUR_NetCL_2[[Ausnet]:[United Energy]],MATCH(OP_RatesTU_RES_2[[#This Row],[Customer type]:[Customer type]],Calc_TUR_NetCL_2[[Customer type]:[Customer type]],0),MATCH(OP_RatesTU_RES_2[[#Headers],[Citipower]],Calc_TUR_NetCL_2[[#Headers],[Ausnet]:[United Energy]],0))),
IF(OP_RatesTU_RES_2[[#This Row],[Cost element]:[Cost element]]="Environmental",
SUMIFS(INDEX(Calc_TUR_ENV_2[[Ausnet]:[United Energy]],0,MATCH(OP_RatesTU_RES_2[[#Headers],[Citipower]],Calc_TUR_ENV_2[[#Headers],[Ausnet]:[United Energy]],0)),
Calc_TUR_ENV_2[[Customer type]:[Customer type]],OP_RatesTU_RES_2[[#This Row],[Customer type]:[Customer type]],Calc_TUR_ENV_2[[Rate type]:[Rate type]],OP_RatesTU_RES_2[[#This Row],[Rate name]:[Rate name]]),
"-")),"-")</f>
        <v>0</v>
      </c>
      <c r="I108" s="238" cm="1">
        <f t="array" ref="I108">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name]]),0),MATCH(OP_RatesTU_RES_2[[#Headers],[Jemena]],Calc_TUR_Net_2[[#Headers],[Ausnet]:[United Energy]],0)),
INDEX(Calc_TUR_NetCL_2[[Ausnet]:[United Energy]],MATCH(OP_RatesTU_RES_2[[#This Row],[Customer type]:[Customer type]],Calc_TUR_NetCL_2[[Customer type]:[Customer type]],0),MATCH(OP_RatesTU_RES_2[[#Headers],[Jemena]],Calc_TUR_NetCL_2[[#Headers],[Ausnet]:[United Energy]],0))),
IF(OP_RatesTU_RES_2[[#This Row],[Cost element]:[Cost element]]="Environmental",
SUMIFS(INDEX(Calc_TUR_ENV_2[[Ausnet]:[United Energy]],0,MATCH(OP_RatesTU_RES_2[[#Headers],[Jemena]],Calc_TUR_ENV_2[[#Headers],[Ausnet]:[United Energy]],0)),
Calc_TUR_ENV_2[[Customer type]:[Customer type]],OP_RatesTU_RES_2[[#This Row],[Customer type]:[Customer type]],Calc_TUR_ENV_2[[Rate type]:[Rate type]],OP_RatesTU_RES_2[[#This Row],[Rate name]:[Rate name]]),
"-")),"-")</f>
        <v>0</v>
      </c>
      <c r="J108" s="238" cm="1">
        <f t="array" ref="J108">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name]]),0),MATCH(OP_RatesTU_RES_2[[#Headers],[Powercor]],Calc_TUR_Net_2[[#Headers],[Ausnet]:[United Energy]],0)),
INDEX(Calc_TUR_NetCL_2[[Ausnet]:[United Energy]],MATCH(OP_RatesTU_RES_2[[#This Row],[Customer type]:[Customer type]],Calc_TUR_NetCL_2[[Customer type]:[Customer type]],0),MATCH(OP_RatesTU_RES_2[[#Headers],[Powercor]],Calc_TUR_NetCL_2[[#Headers],[Ausnet]:[United Energy]],0))),
IF(OP_RatesTU_RES_2[[#This Row],[Cost element]:[Cost element]]="Environmental",
SUMIFS(INDEX(Calc_TUR_ENV_2[[Ausnet]:[United Energy]],0,MATCH(OP_RatesTU_RES_2[[#Headers],[Powercor]],Calc_TUR_ENV_2[[#Headers],[Ausnet]:[United Energy]],0)),
Calc_TUR_ENV_2[[Customer type]:[Customer type]],OP_RatesTU_RES_2[[#This Row],[Customer type]:[Customer type]],Calc_TUR_ENV_2[[Rate type]:[Rate type]],OP_RatesTU_RES_2[[#This Row],[Rate name]:[Rate name]]),
"-")),"-")</f>
        <v>0</v>
      </c>
      <c r="K108" s="238" cm="1">
        <f t="array" ref="K108">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name]]),0),MATCH(OP_RatesTU_RES_2[[#Headers],[United Energy]],Calc_TUR_Net_2[[#Headers],[Ausnet]:[United Energy]],0)),
INDEX(Calc_TUR_NetCL_2[[Ausnet]:[United Energy]],MATCH(OP_RatesTU_RES_2[[#This Row],[Customer type]:[Customer type]],Calc_TUR_NetCL_2[[Customer type]:[Customer type]],0),MATCH(OP_RatesTU_RES_2[[#Headers],[United Energy]],Calc_TUR_NetCL_2[[#Headers],[Ausnet]:[United Energy]],0))),
IF(OP_RatesTU_RES_2[[#This Row],[Cost element]:[Cost element]]="Environmental",
SUMIFS(INDEX(Calc_TUR_ENV_2[[Ausnet]:[United Energy]],0,MATCH(OP_RatesTU_RES_2[[#Headers],[United Energy]],Calc_TUR_ENV_2[[#Headers],[Ausnet]:[United Energy]],0)),
Calc_TUR_ENV_2[[Customer type]:[Customer type]],OP_RatesTU_RES_2[[#This Row],[Customer type]:[Customer type]],Calc_TUR_ENV_2[[Rate type]:[Rate type]],OP_RatesTU_RES_2[[#This Row],[Rate name]:[Rate name]]),
"-")),"-")</f>
        <v>0</v>
      </c>
      <c r="M108" s="59" t="s">
        <v>228</v>
      </c>
      <c r="N108" s="59" t="s">
        <v>282</v>
      </c>
      <c r="O108" s="59" t="s">
        <v>93</v>
      </c>
      <c r="P108" s="59" t="s">
        <v>151</v>
      </c>
      <c r="Q108" s="238" cm="1">
        <f t="array" ref="Q108">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name]]),0),MATCH(OP_RatesTU_SME_2[[#Headers],[Ausnet]],Calc_TUR_Net_2[[#Headers],[Ausnet]:[United Energy]],0)),
IF(OP_RatesTU_SME_2[[#This Row],[Cost element]:[Cost element]]="Environmental",
SUMIFS(INDEX(Calc_TUR_ENV_2[[Ausnet]:[United Energy]],0,MATCH(OP_RatesTU_SME_2[[#Headers],[Ausnet]],Calc_TUR_ENV_2[[#Headers],[Ausnet]:[United Energy]],0)),
Calc_TUR_ENV_2[[Customer type]:[Customer type]],OP_RatesTU_SME_2[[#This Row],[Customer type]:[Customer type]],Calc_TUR_ENV_2[[Rate type]:[Rate type]],OP_RatesTU_SME_2[[#This Row],[Rate name]:[Rate name]]),"-")),
"-")</f>
        <v>6.66713910181736E-3</v>
      </c>
      <c r="R108" s="238" cm="1">
        <f t="array" ref="R108">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name]]),0),MATCH(OP_RatesTU_SME_2[[#Headers],[Citipower]],Calc_TUR_Net_2[[#Headers],[Ausnet]:[United Energy]],0)),
IF(OP_RatesTU_SME_2[[#This Row],[Cost element]:[Cost element]]="Environmental",
SUMIFS(INDEX(Calc_TUR_ENV_2[[Ausnet]:[United Energy]],0,MATCH(OP_RatesTU_SME_2[[#Headers],[Citipower]],Calc_TUR_ENV_2[[#Headers],[Ausnet]:[United Energy]],0)),
Calc_TUR_ENV_2[[Customer type]:[Customer type]],OP_RatesTU_SME_2[[#This Row],[Customer type]:[Customer type]],Calc_TUR_ENV_2[[Rate type]:[Rate type]],OP_RatesTU_SME_2[[#This Row],[Rate name]:[Rate name]]),"-")),
"-")</f>
        <v>0</v>
      </c>
      <c r="S108" s="238" cm="1">
        <f t="array" ref="S108">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name]]),0),MATCH(OP_RatesTU_SME_2[[#Headers],[Jemena]],Calc_TUR_Net_2[[#Headers],[Ausnet]:[United Energy]],0)),
IF(OP_RatesTU_SME_2[[#This Row],[Cost element]:[Cost element]]="Environmental",
SUMIFS(INDEX(Calc_TUR_ENV_2[[Ausnet]:[United Energy]],0,MATCH(OP_RatesTU_SME_2[[#Headers],[Jemena]],Calc_TUR_ENV_2[[#Headers],[Ausnet]:[United Energy]],0)),
Calc_TUR_ENV_2[[Customer type]:[Customer type]],OP_RatesTU_SME_2[[#This Row],[Customer type]:[Customer type]],Calc_TUR_ENV_2[[Rate type]:[Rate type]],OP_RatesTU_SME_2[[#This Row],[Rate name]:[Rate name]]),"-")),
"-")</f>
        <v>0</v>
      </c>
      <c r="T108" s="238" cm="1">
        <f t="array" ref="T108">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name]]),0),MATCH(OP_RatesTU_SME_2[[#Headers],[Powercor]],Calc_TUR_Net_2[[#Headers],[Ausnet]:[United Energy]],0)),
IF(OP_RatesTU_SME_2[[#This Row],[Cost element]:[Cost element]]="Environmental",
SUMIFS(INDEX(Calc_TUR_ENV_2[[Ausnet]:[United Energy]],0,MATCH(OP_RatesTU_SME_2[[#Headers],[Powercor]],Calc_TUR_ENV_2[[#Headers],[Ausnet]:[United Energy]],0)),
Calc_TUR_ENV_2[[Customer type]:[Customer type]],OP_RatesTU_SME_2[[#This Row],[Customer type]:[Customer type]],Calc_TUR_ENV_2[[Rate type]:[Rate type]],OP_RatesTU_SME_2[[#This Row],[Rate name]:[Rate name]]),"-")),
"-")</f>
        <v>0</v>
      </c>
      <c r="U108" s="238" cm="1">
        <f t="array" ref="U108">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name]]),0),MATCH(OP_RatesTU_SME_2[[#Headers],[United Energy]],Calc_TUR_Net_2[[#Headers],[Ausnet]:[United Energy]],0)),
IF(OP_RatesTU_SME_2[[#This Row],[Cost element]:[Cost element]]="Environmental",
SUMIFS(INDEX(Calc_TUR_ENV_2[[Ausnet]:[United Energy]],0,MATCH(OP_RatesTU_SME_2[[#Headers],[United Energy]],Calc_TUR_ENV_2[[#Headers],[Ausnet]:[United Energy]],0)),
Calc_TUR_ENV_2[[Customer type]:[Customer type]],OP_RatesTU_SME_2[[#This Row],[Customer type]:[Customer type]],Calc_TUR_ENV_2[[Rate type]:[Rate type]],OP_RatesTU_SME_2[[#This Row],[Rate name]:[Rate name]]),"-")),
"-")</f>
        <v>0</v>
      </c>
    </row>
    <row r="109" spans="3:23" outlineLevel="2" x14ac:dyDescent="0.25">
      <c r="C109" s="59" t="s">
        <v>549</v>
      </c>
      <c r="D109" s="59" t="s">
        <v>282</v>
      </c>
      <c r="E109" s="59" t="s">
        <v>92</v>
      </c>
      <c r="F109" s="59" t="s">
        <v>151</v>
      </c>
      <c r="G109" s="238" cm="1">
        <f t="array" ref="G109">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name]]),0),MATCH(OP_RatesTU_RES_2[[#Headers],[Ausnet]],Calc_TUR_Net_2[[#Headers],[Ausnet]:[United Energy]],0)),
INDEX(Calc_TUR_NetCL_2[[Ausnet]:[United Energy]],MATCH(OP_RatesTU_RES_2[[#This Row],[Customer type]:[Customer type]],Calc_TUR_NetCL_2[[Customer type]:[Customer type]],0),MATCH(OP_RatesTU_RES_2[[#Headers],[Ausnet]],Calc_TUR_NetCL_2[[#Headers],[Ausnet]:[United Energy]],0))),
IF(OP_RatesTU_RES_2[[#This Row],[Cost element]:[Cost element]]="Environmental",
SUMIFS(INDEX(Calc_TUR_ENV_2[[Ausnet]:[United Energy]],0,MATCH(OP_RatesTU_RES_2[[#Headers],[Ausnet]],Calc_TUR_ENV_2[[#Headers],[Ausnet]:[United Energy]],0)),
Calc_TUR_ENV_2[[Customer type]:[Customer type]],OP_RatesTU_RES_2[[#This Row],[Customer type]:[Customer type]],Calc_TUR_ENV_2[[Rate type]:[Rate type]],OP_RatesTU_RES_2[[#This Row],[Rate name]:[Rate name]]),
"-")),"-")</f>
        <v>0</v>
      </c>
      <c r="H109" s="238" cm="1">
        <f t="array" ref="H109">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name]]),0),MATCH(OP_RatesTU_RES_2[[#Headers],[Citipower]],Calc_TUR_Net_2[[#Headers],[Ausnet]:[United Energy]],0)),
INDEX(Calc_TUR_NetCL_2[[Ausnet]:[United Energy]],MATCH(OP_RatesTU_RES_2[[#This Row],[Customer type]:[Customer type]],Calc_TUR_NetCL_2[[Customer type]:[Customer type]],0),MATCH(OP_RatesTU_RES_2[[#Headers],[Citipower]],Calc_TUR_NetCL_2[[#Headers],[Ausnet]:[United Energy]],0))),
IF(OP_RatesTU_RES_2[[#This Row],[Cost element]:[Cost element]]="Environmental",
SUMIFS(INDEX(Calc_TUR_ENV_2[[Ausnet]:[United Energy]],0,MATCH(OP_RatesTU_RES_2[[#Headers],[Citipower]],Calc_TUR_ENV_2[[#Headers],[Ausnet]:[United Energy]],0)),
Calc_TUR_ENV_2[[Customer type]:[Customer type]],OP_RatesTU_RES_2[[#This Row],[Customer type]:[Customer type]],Calc_TUR_ENV_2[[Rate type]:[Rate type]],OP_RatesTU_RES_2[[#This Row],[Rate name]:[Rate name]]),
"-")),"-")</f>
        <v>6.5518983001313221E-3</v>
      </c>
      <c r="I109" s="238" cm="1">
        <f t="array" ref="I109">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name]]),0),MATCH(OP_RatesTU_RES_2[[#Headers],[Jemena]],Calc_TUR_Net_2[[#Headers],[Ausnet]:[United Energy]],0)),
INDEX(Calc_TUR_NetCL_2[[Ausnet]:[United Energy]],MATCH(OP_RatesTU_RES_2[[#This Row],[Customer type]:[Customer type]],Calc_TUR_NetCL_2[[Customer type]:[Customer type]],0),MATCH(OP_RatesTU_RES_2[[#Headers],[Jemena]],Calc_TUR_NetCL_2[[#Headers],[Ausnet]:[United Energy]],0))),
IF(OP_RatesTU_RES_2[[#This Row],[Cost element]:[Cost element]]="Environmental",
SUMIFS(INDEX(Calc_TUR_ENV_2[[Ausnet]:[United Energy]],0,MATCH(OP_RatesTU_RES_2[[#Headers],[Jemena]],Calc_TUR_ENV_2[[#Headers],[Ausnet]:[United Energy]],0)),
Calc_TUR_ENV_2[[Customer type]:[Customer type]],OP_RatesTU_RES_2[[#This Row],[Customer type]:[Customer type]],Calc_TUR_ENV_2[[Rate type]:[Rate type]],OP_RatesTU_RES_2[[#This Row],[Rate name]:[Rate name]]),
"-")),"-")</f>
        <v>6.4834552967827147E-3</v>
      </c>
      <c r="J109" s="238" cm="1">
        <f t="array" ref="J109">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name]]),0),MATCH(OP_RatesTU_RES_2[[#Headers],[Powercor]],Calc_TUR_Net_2[[#Headers],[Ausnet]:[United Energy]],0)),
INDEX(Calc_TUR_NetCL_2[[Ausnet]:[United Energy]],MATCH(OP_RatesTU_RES_2[[#This Row],[Customer type]:[Customer type]],Calc_TUR_NetCL_2[[Customer type]:[Customer type]],0),MATCH(OP_RatesTU_RES_2[[#Headers],[Powercor]],Calc_TUR_NetCL_2[[#Headers],[Ausnet]:[United Energy]],0))),
IF(OP_RatesTU_RES_2[[#This Row],[Cost element]:[Cost element]]="Environmental",
SUMIFS(INDEX(Calc_TUR_ENV_2[[Ausnet]:[United Energy]],0,MATCH(OP_RatesTU_RES_2[[#Headers],[Powercor]],Calc_TUR_ENV_2[[#Headers],[Ausnet]:[United Energy]],0)),
Calc_TUR_ENV_2[[Customer type]:[Customer type]],OP_RatesTU_RES_2[[#This Row],[Customer type]:[Customer type]],Calc_TUR_ENV_2[[Rate type]:[Rate type]],OP_RatesTU_RES_2[[#This Row],[Rate name]:[Rate name]]),
"-")),"-")</f>
        <v>6.6923795662660671E-3</v>
      </c>
      <c r="K109" s="238" cm="1">
        <f t="array" ref="K109">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name]]),0),MATCH(OP_RatesTU_RES_2[[#Headers],[United Energy]],Calc_TUR_Net_2[[#Headers],[Ausnet]:[United Energy]],0)),
INDEX(Calc_TUR_NetCL_2[[Ausnet]:[United Energy]],MATCH(OP_RatesTU_RES_2[[#This Row],[Customer type]:[Customer type]],Calc_TUR_NetCL_2[[Customer type]:[Customer type]],0),MATCH(OP_RatesTU_RES_2[[#Headers],[United Energy]],Calc_TUR_NetCL_2[[#Headers],[Ausnet]:[United Energy]],0))),
IF(OP_RatesTU_RES_2[[#This Row],[Cost element]:[Cost element]]="Environmental",
SUMIFS(INDEX(Calc_TUR_ENV_2[[Ausnet]:[United Energy]],0,MATCH(OP_RatesTU_RES_2[[#Headers],[United Energy]],Calc_TUR_ENV_2[[#Headers],[Ausnet]:[United Energy]],0)),
Calc_TUR_ENV_2[[Customer type]:[Customer type]],OP_RatesTU_RES_2[[#This Row],[Customer type]:[Customer type]],Calc_TUR_ENV_2[[Rate type]:[Rate type]],OP_RatesTU_RES_2[[#This Row],[Rate name]:[Rate name]]),
"-")),"-")</f>
        <v>6.5757968919376237E-3</v>
      </c>
      <c r="M109" s="59" t="s">
        <v>549</v>
      </c>
      <c r="N109" s="59" t="s">
        <v>282</v>
      </c>
      <c r="O109" s="59" t="s">
        <v>93</v>
      </c>
      <c r="P109" s="59" t="s">
        <v>151</v>
      </c>
      <c r="Q109" s="238" cm="1">
        <f t="array" ref="Q109">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name]]),0),MATCH(OP_RatesTU_SME_2[[#Headers],[Ausnet]],Calc_TUR_Net_2[[#Headers],[Ausnet]:[United Energy]],0)),
IF(OP_RatesTU_SME_2[[#This Row],[Cost element]:[Cost element]]="Environmental",
SUMIFS(INDEX(Calc_TUR_ENV_2[[Ausnet]:[United Energy]],0,MATCH(OP_RatesTU_SME_2[[#Headers],[Ausnet]],Calc_TUR_ENV_2[[#Headers],[Ausnet]:[United Energy]],0)),
Calc_TUR_ENV_2[[Customer type]:[Customer type]],OP_RatesTU_SME_2[[#This Row],[Customer type]:[Customer type]],Calc_TUR_ENV_2[[Rate type]:[Rate type]],OP_RatesTU_SME_2[[#This Row],[Rate name]:[Rate name]]),"-")),
"-")</f>
        <v>0</v>
      </c>
      <c r="R109" s="238" cm="1">
        <f t="array" ref="R109">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name]]),0),MATCH(OP_RatesTU_SME_2[[#Headers],[Citipower]],Calc_TUR_Net_2[[#Headers],[Ausnet]:[United Energy]],0)),
IF(OP_RatesTU_SME_2[[#This Row],[Cost element]:[Cost element]]="Environmental",
SUMIFS(INDEX(Calc_TUR_ENV_2[[Ausnet]:[United Energy]],0,MATCH(OP_RatesTU_SME_2[[#Headers],[Citipower]],Calc_TUR_ENV_2[[#Headers],[Ausnet]:[United Energy]],0)),
Calc_TUR_ENV_2[[Customer type]:[Customer type]],OP_RatesTU_SME_2[[#This Row],[Customer type]:[Customer type]],Calc_TUR_ENV_2[[Rate type]:[Rate type]],OP_RatesTU_SME_2[[#This Row],[Rate name]:[Rate name]]),"-")),
"-")</f>
        <v>6.5518983001313221E-3</v>
      </c>
      <c r="S109" s="238" cm="1">
        <f t="array" ref="S109">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name]]),0),MATCH(OP_RatesTU_SME_2[[#Headers],[Jemena]],Calc_TUR_Net_2[[#Headers],[Ausnet]:[United Energy]],0)),
IF(OP_RatesTU_SME_2[[#This Row],[Cost element]:[Cost element]]="Environmental",
SUMIFS(INDEX(Calc_TUR_ENV_2[[Ausnet]:[United Energy]],0,MATCH(OP_RatesTU_SME_2[[#Headers],[Jemena]],Calc_TUR_ENV_2[[#Headers],[Ausnet]:[United Energy]],0)),
Calc_TUR_ENV_2[[Customer type]:[Customer type]],OP_RatesTU_SME_2[[#This Row],[Customer type]:[Customer type]],Calc_TUR_ENV_2[[Rate type]:[Rate type]],OP_RatesTU_SME_2[[#This Row],[Rate name]:[Rate name]]),"-")),
"-")</f>
        <v>6.4834552967827147E-3</v>
      </c>
      <c r="T109" s="238" cm="1">
        <f t="array" ref="T109">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name]]),0),MATCH(OP_RatesTU_SME_2[[#Headers],[Powercor]],Calc_TUR_Net_2[[#Headers],[Ausnet]:[United Energy]],0)),
IF(OP_RatesTU_SME_2[[#This Row],[Cost element]:[Cost element]]="Environmental",
SUMIFS(INDEX(Calc_TUR_ENV_2[[Ausnet]:[United Energy]],0,MATCH(OP_RatesTU_SME_2[[#Headers],[Powercor]],Calc_TUR_ENV_2[[#Headers],[Ausnet]:[United Energy]],0)),
Calc_TUR_ENV_2[[Customer type]:[Customer type]],OP_RatesTU_SME_2[[#This Row],[Customer type]:[Customer type]],Calc_TUR_ENV_2[[Rate type]:[Rate type]],OP_RatesTU_SME_2[[#This Row],[Rate name]:[Rate name]]),"-")),
"-")</f>
        <v>6.6923795662660671E-3</v>
      </c>
      <c r="U109" s="238" cm="1">
        <f t="array" ref="U109">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name]]),0),MATCH(OP_RatesTU_SME_2[[#Headers],[United Energy]],Calc_TUR_Net_2[[#Headers],[Ausnet]:[United Energy]],0)),
IF(OP_RatesTU_SME_2[[#This Row],[Cost element]:[Cost element]]="Environmental",
SUMIFS(INDEX(Calc_TUR_ENV_2[[Ausnet]:[United Energy]],0,MATCH(OP_RatesTU_SME_2[[#Headers],[United Energy]],Calc_TUR_ENV_2[[#Headers],[Ausnet]:[United Energy]],0)),
Calc_TUR_ENV_2[[Customer type]:[Customer type]],OP_RatesTU_SME_2[[#This Row],[Customer type]:[Customer type]],Calc_TUR_ENV_2[[Rate type]:[Rate type]],OP_RatesTU_SME_2[[#This Row],[Rate name]:[Rate name]]),"-")),
"-")</f>
        <v>6.5757968919376237E-3</v>
      </c>
    </row>
    <row r="110" spans="3:23" outlineLevel="2" x14ac:dyDescent="0.25">
      <c r="C110" s="59" t="s">
        <v>230</v>
      </c>
      <c r="D110" s="59" t="s">
        <v>282</v>
      </c>
      <c r="E110" s="59" t="s">
        <v>92</v>
      </c>
      <c r="F110" s="59" t="s">
        <v>151</v>
      </c>
      <c r="G110" s="238" cm="1">
        <f t="array" ref="G110">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name]]),0),MATCH(OP_RatesTU_RES_2[[#Headers],[Ausnet]],Calc_TUR_Net_2[[#Headers],[Ausnet]:[United Energy]],0)),
INDEX(Calc_TUR_NetCL_2[[Ausnet]:[United Energy]],MATCH(OP_RatesTU_RES_2[[#This Row],[Customer type]:[Customer type]],Calc_TUR_NetCL_2[[Customer type]:[Customer type]],0),MATCH(OP_RatesTU_RES_2[[#Headers],[Ausnet]],Calc_TUR_NetCL_2[[#Headers],[Ausnet]:[United Energy]],0))),
IF(OP_RatesTU_RES_2[[#This Row],[Cost element]:[Cost element]]="Environmental",
SUMIFS(INDEX(Calc_TUR_ENV_2[[Ausnet]:[United Energy]],0,MATCH(OP_RatesTU_RES_2[[#Headers],[Ausnet]],Calc_TUR_ENV_2[[#Headers],[Ausnet]:[United Energy]],0)),
Calc_TUR_ENV_2[[Customer type]:[Customer type]],OP_RatesTU_RES_2[[#This Row],[Customer type]:[Customer type]],Calc_TUR_ENV_2[[Rate type]:[Rate type]],OP_RatesTU_RES_2[[#This Row],[Rate name]:[Rate name]]),
"-")),"-")</f>
        <v>6.66713910181736E-3</v>
      </c>
      <c r="H110" s="238" cm="1">
        <f t="array" ref="H110">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name]]),0),MATCH(OP_RatesTU_RES_2[[#Headers],[Citipower]],Calc_TUR_Net_2[[#Headers],[Ausnet]:[United Energy]],0)),
INDEX(Calc_TUR_NetCL_2[[Ausnet]:[United Energy]],MATCH(OP_RatesTU_RES_2[[#This Row],[Customer type]:[Customer type]],Calc_TUR_NetCL_2[[Customer type]:[Customer type]],0),MATCH(OP_RatesTU_RES_2[[#Headers],[Citipower]],Calc_TUR_NetCL_2[[#Headers],[Ausnet]:[United Energy]],0))),
IF(OP_RatesTU_RES_2[[#This Row],[Cost element]:[Cost element]]="Environmental",
SUMIFS(INDEX(Calc_TUR_ENV_2[[Ausnet]:[United Energy]],0,MATCH(OP_RatesTU_RES_2[[#Headers],[Citipower]],Calc_TUR_ENV_2[[#Headers],[Ausnet]:[United Energy]],0)),
Calc_TUR_ENV_2[[Customer type]:[Customer type]],OP_RatesTU_RES_2[[#This Row],[Customer type]:[Customer type]],Calc_TUR_ENV_2[[Rate type]:[Rate type]],OP_RatesTU_RES_2[[#This Row],[Rate name]:[Rate name]]),
"-")),"-")</f>
        <v>6.5518983001313221E-3</v>
      </c>
      <c r="I110" s="238" cm="1">
        <f t="array" ref="I110">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name]]),0),MATCH(OP_RatesTU_RES_2[[#Headers],[Jemena]],Calc_TUR_Net_2[[#Headers],[Ausnet]:[United Energy]],0)),
INDEX(Calc_TUR_NetCL_2[[Ausnet]:[United Energy]],MATCH(OP_RatesTU_RES_2[[#This Row],[Customer type]:[Customer type]],Calc_TUR_NetCL_2[[Customer type]:[Customer type]],0),MATCH(OP_RatesTU_RES_2[[#Headers],[Jemena]],Calc_TUR_NetCL_2[[#Headers],[Ausnet]:[United Energy]],0))),
IF(OP_RatesTU_RES_2[[#This Row],[Cost element]:[Cost element]]="Environmental",
SUMIFS(INDEX(Calc_TUR_ENV_2[[Ausnet]:[United Energy]],0,MATCH(OP_RatesTU_RES_2[[#Headers],[Jemena]],Calc_TUR_ENV_2[[#Headers],[Ausnet]:[United Energy]],0)),
Calc_TUR_ENV_2[[Customer type]:[Customer type]],OP_RatesTU_RES_2[[#This Row],[Customer type]:[Customer type]],Calc_TUR_ENV_2[[Rate type]:[Rate type]],OP_RatesTU_RES_2[[#This Row],[Rate name]:[Rate name]]),
"-")),"-")</f>
        <v>6.4834552967827147E-3</v>
      </c>
      <c r="J110" s="238" cm="1">
        <f t="array" ref="J110">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name]]),0),MATCH(OP_RatesTU_RES_2[[#Headers],[Powercor]],Calc_TUR_Net_2[[#Headers],[Ausnet]:[United Energy]],0)),
INDEX(Calc_TUR_NetCL_2[[Ausnet]:[United Energy]],MATCH(OP_RatesTU_RES_2[[#This Row],[Customer type]:[Customer type]],Calc_TUR_NetCL_2[[Customer type]:[Customer type]],0),MATCH(OP_RatesTU_RES_2[[#Headers],[Powercor]],Calc_TUR_NetCL_2[[#Headers],[Ausnet]:[United Energy]],0))),
IF(OP_RatesTU_RES_2[[#This Row],[Cost element]:[Cost element]]="Environmental",
SUMIFS(INDEX(Calc_TUR_ENV_2[[Ausnet]:[United Energy]],0,MATCH(OP_RatesTU_RES_2[[#Headers],[Powercor]],Calc_TUR_ENV_2[[#Headers],[Ausnet]:[United Energy]],0)),
Calc_TUR_ENV_2[[Customer type]:[Customer type]],OP_RatesTU_RES_2[[#This Row],[Customer type]:[Customer type]],Calc_TUR_ENV_2[[Rate type]:[Rate type]],OP_RatesTU_RES_2[[#This Row],[Rate name]:[Rate name]]),
"-")),"-")</f>
        <v>6.6923795662660671E-3</v>
      </c>
      <c r="K110" s="238" cm="1">
        <f t="array" ref="K110">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name]]),0),MATCH(OP_RatesTU_RES_2[[#Headers],[United Energy]],Calc_TUR_Net_2[[#Headers],[Ausnet]:[United Energy]],0)),
INDEX(Calc_TUR_NetCL_2[[Ausnet]:[United Energy]],MATCH(OP_RatesTU_RES_2[[#This Row],[Customer type]:[Customer type]],Calc_TUR_NetCL_2[[Customer type]:[Customer type]],0),MATCH(OP_RatesTU_RES_2[[#Headers],[United Energy]],Calc_TUR_NetCL_2[[#Headers],[Ausnet]:[United Energy]],0))),
IF(OP_RatesTU_RES_2[[#This Row],[Cost element]:[Cost element]]="Environmental",
SUMIFS(INDEX(Calc_TUR_ENV_2[[Ausnet]:[United Energy]],0,MATCH(OP_RatesTU_RES_2[[#Headers],[United Energy]],Calc_TUR_ENV_2[[#Headers],[Ausnet]:[United Energy]],0)),
Calc_TUR_ENV_2[[Customer type]:[Customer type]],OP_RatesTU_RES_2[[#This Row],[Customer type]:[Customer type]],Calc_TUR_ENV_2[[Rate type]:[Rate type]],OP_RatesTU_RES_2[[#This Row],[Rate name]:[Rate name]]),
"-")),"-")</f>
        <v>6.5757968919376237E-3</v>
      </c>
      <c r="M110" s="59" t="s">
        <v>230</v>
      </c>
      <c r="N110" s="59" t="s">
        <v>282</v>
      </c>
      <c r="O110" s="59" t="s">
        <v>93</v>
      </c>
      <c r="P110" s="59" t="s">
        <v>151</v>
      </c>
      <c r="Q110" s="238" cm="1">
        <f t="array" ref="Q110">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name]]),0),MATCH(OP_RatesTU_SME_2[[#Headers],[Ausnet]],Calc_TUR_Net_2[[#Headers],[Ausnet]:[United Energy]],0)),
IF(OP_RatesTU_SME_2[[#This Row],[Cost element]:[Cost element]]="Environmental",
SUMIFS(INDEX(Calc_TUR_ENV_2[[Ausnet]:[United Energy]],0,MATCH(OP_RatesTU_SME_2[[#Headers],[Ausnet]],Calc_TUR_ENV_2[[#Headers],[Ausnet]:[United Energy]],0)),
Calc_TUR_ENV_2[[Customer type]:[Customer type]],OP_RatesTU_SME_2[[#This Row],[Customer type]:[Customer type]],Calc_TUR_ENV_2[[Rate type]:[Rate type]],OP_RatesTU_SME_2[[#This Row],[Rate name]:[Rate name]]),"-")),
"-")</f>
        <v>6.66713910181736E-3</v>
      </c>
      <c r="R110" s="238" cm="1">
        <f t="array" ref="R110">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name]]),0),MATCH(OP_RatesTU_SME_2[[#Headers],[Citipower]],Calc_TUR_Net_2[[#Headers],[Ausnet]:[United Energy]],0)),
IF(OP_RatesTU_SME_2[[#This Row],[Cost element]:[Cost element]]="Environmental",
SUMIFS(INDEX(Calc_TUR_ENV_2[[Ausnet]:[United Energy]],0,MATCH(OP_RatesTU_SME_2[[#Headers],[Citipower]],Calc_TUR_ENV_2[[#Headers],[Ausnet]:[United Energy]],0)),
Calc_TUR_ENV_2[[Customer type]:[Customer type]],OP_RatesTU_SME_2[[#This Row],[Customer type]:[Customer type]],Calc_TUR_ENV_2[[Rate type]:[Rate type]],OP_RatesTU_SME_2[[#This Row],[Rate name]:[Rate name]]),"-")),
"-")</f>
        <v>6.5518983001313221E-3</v>
      </c>
      <c r="S110" s="238" cm="1">
        <f t="array" ref="S110">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name]]),0),MATCH(OP_RatesTU_SME_2[[#Headers],[Jemena]],Calc_TUR_Net_2[[#Headers],[Ausnet]:[United Energy]],0)),
IF(OP_RatesTU_SME_2[[#This Row],[Cost element]:[Cost element]]="Environmental",
SUMIFS(INDEX(Calc_TUR_ENV_2[[Ausnet]:[United Energy]],0,MATCH(OP_RatesTU_SME_2[[#Headers],[Jemena]],Calc_TUR_ENV_2[[#Headers],[Ausnet]:[United Energy]],0)),
Calc_TUR_ENV_2[[Customer type]:[Customer type]],OP_RatesTU_SME_2[[#This Row],[Customer type]:[Customer type]],Calc_TUR_ENV_2[[Rate type]:[Rate type]],OP_RatesTU_SME_2[[#This Row],[Rate name]:[Rate name]]),"-")),
"-")</f>
        <v>6.4834552967827147E-3</v>
      </c>
      <c r="T110" s="238" cm="1">
        <f t="array" ref="T110">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name]]),0),MATCH(OP_RatesTU_SME_2[[#Headers],[Powercor]],Calc_TUR_Net_2[[#Headers],[Ausnet]:[United Energy]],0)),
IF(OP_RatesTU_SME_2[[#This Row],[Cost element]:[Cost element]]="Environmental",
SUMIFS(INDEX(Calc_TUR_ENV_2[[Ausnet]:[United Energy]],0,MATCH(OP_RatesTU_SME_2[[#Headers],[Powercor]],Calc_TUR_ENV_2[[#Headers],[Ausnet]:[United Energy]],0)),
Calc_TUR_ENV_2[[Customer type]:[Customer type]],OP_RatesTU_SME_2[[#This Row],[Customer type]:[Customer type]],Calc_TUR_ENV_2[[Rate type]:[Rate type]],OP_RatesTU_SME_2[[#This Row],[Rate name]:[Rate name]]),"-")),
"-")</f>
        <v>6.6923795662660671E-3</v>
      </c>
      <c r="U110" s="238" cm="1">
        <f t="array" ref="U110">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name]]),0),MATCH(OP_RatesTU_SME_2[[#Headers],[United Energy]],Calc_TUR_Net_2[[#Headers],[Ausnet]:[United Energy]],0)),
IF(OP_RatesTU_SME_2[[#This Row],[Cost element]:[Cost element]]="Environmental",
SUMIFS(INDEX(Calc_TUR_ENV_2[[Ausnet]:[United Energy]],0,MATCH(OP_RatesTU_SME_2[[#Headers],[United Energy]],Calc_TUR_ENV_2[[#Headers],[Ausnet]:[United Energy]],0)),
Calc_TUR_ENV_2[[Customer type]:[Customer type]],OP_RatesTU_SME_2[[#This Row],[Customer type]:[Customer type]],Calc_TUR_ENV_2[[Rate type]:[Rate type]],OP_RatesTU_SME_2[[#This Row],[Rate name]:[Rate name]]),"-")),
"-")</f>
        <v>6.5757968919376237E-3</v>
      </c>
    </row>
    <row r="111" spans="3:23" outlineLevel="2" x14ac:dyDescent="0.25">
      <c r="C111" s="59" t="s">
        <v>609</v>
      </c>
      <c r="D111" s="59" t="s">
        <v>282</v>
      </c>
      <c r="E111" s="59" t="s">
        <v>92</v>
      </c>
      <c r="F111" s="59" t="s">
        <v>151</v>
      </c>
      <c r="G111" s="238" cm="1">
        <f t="array" ref="G111">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name]]),0),MATCH(OP_RatesTU_RES_2[[#Headers],[Ausnet]],Calc_TUR_Net_2[[#Headers],[Ausnet]:[United Energy]],0)),
INDEX(Calc_TUR_NetCL_2[[Ausnet]:[United Energy]],MATCH(OP_RatesTU_RES_2[[#This Row],[Customer type]:[Customer type]],Calc_TUR_NetCL_2[[Customer type]:[Customer type]],0),MATCH(OP_RatesTU_RES_2[[#Headers],[Ausnet]],Calc_TUR_NetCL_2[[#Headers],[Ausnet]:[United Energy]],0))),
IF(OP_RatesTU_RES_2[[#This Row],[Cost element]:[Cost element]]="Environmental",
SUMIFS(INDEX(Calc_TUR_ENV_2[[Ausnet]:[United Energy]],0,MATCH(OP_RatesTU_RES_2[[#Headers],[Ausnet]],Calc_TUR_ENV_2[[#Headers],[Ausnet]:[United Energy]],0)),
Calc_TUR_ENV_2[[Customer type]:[Customer type]],OP_RatesTU_RES_2[[#This Row],[Customer type]:[Customer type]],Calc_TUR_ENV_2[[Rate type]:[Rate type]],OP_RatesTU_RES_2[[#This Row],[Rate name]:[Rate name]]),
"-")),"-")</f>
        <v>6.66713910181736E-3</v>
      </c>
      <c r="H111" s="238" cm="1">
        <f t="array" ref="H111">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name]]),0),MATCH(OP_RatesTU_RES_2[[#Headers],[Citipower]],Calc_TUR_Net_2[[#Headers],[Ausnet]:[United Energy]],0)),
INDEX(Calc_TUR_NetCL_2[[Ausnet]:[United Energy]],MATCH(OP_RatesTU_RES_2[[#This Row],[Customer type]:[Customer type]],Calc_TUR_NetCL_2[[Customer type]:[Customer type]],0),MATCH(OP_RatesTU_RES_2[[#Headers],[Citipower]],Calc_TUR_NetCL_2[[#Headers],[Ausnet]:[United Energy]],0))),
IF(OP_RatesTU_RES_2[[#This Row],[Cost element]:[Cost element]]="Environmental",
SUMIFS(INDEX(Calc_TUR_ENV_2[[Ausnet]:[United Energy]],0,MATCH(OP_RatesTU_RES_2[[#Headers],[Citipower]],Calc_TUR_ENV_2[[#Headers],[Ausnet]:[United Energy]],0)),
Calc_TUR_ENV_2[[Customer type]:[Customer type]],OP_RatesTU_RES_2[[#This Row],[Customer type]:[Customer type]],Calc_TUR_ENV_2[[Rate type]:[Rate type]],OP_RatesTU_RES_2[[#This Row],[Rate name]:[Rate name]]),
"-")),"-")</f>
        <v>6.5518983001313221E-3</v>
      </c>
      <c r="I111" s="238" cm="1">
        <f t="array" ref="I111">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name]]),0),MATCH(OP_RatesTU_RES_2[[#Headers],[Jemena]],Calc_TUR_Net_2[[#Headers],[Ausnet]:[United Energy]],0)),
INDEX(Calc_TUR_NetCL_2[[Ausnet]:[United Energy]],MATCH(OP_RatesTU_RES_2[[#This Row],[Customer type]:[Customer type]],Calc_TUR_NetCL_2[[Customer type]:[Customer type]],0),MATCH(OP_RatesTU_RES_2[[#Headers],[Jemena]],Calc_TUR_NetCL_2[[#Headers],[Ausnet]:[United Energy]],0))),
IF(OP_RatesTU_RES_2[[#This Row],[Cost element]:[Cost element]]="Environmental",
SUMIFS(INDEX(Calc_TUR_ENV_2[[Ausnet]:[United Energy]],0,MATCH(OP_RatesTU_RES_2[[#Headers],[Jemena]],Calc_TUR_ENV_2[[#Headers],[Ausnet]:[United Energy]],0)),
Calc_TUR_ENV_2[[Customer type]:[Customer type]],OP_RatesTU_RES_2[[#This Row],[Customer type]:[Customer type]],Calc_TUR_ENV_2[[Rate type]:[Rate type]],OP_RatesTU_RES_2[[#This Row],[Rate name]:[Rate name]]),
"-")),"-")</f>
        <v>6.4834552967827147E-3</v>
      </c>
      <c r="J111" s="238" cm="1">
        <f t="array" ref="J111">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name]]),0),MATCH(OP_RatesTU_RES_2[[#Headers],[Powercor]],Calc_TUR_Net_2[[#Headers],[Ausnet]:[United Energy]],0)),
INDEX(Calc_TUR_NetCL_2[[Ausnet]:[United Energy]],MATCH(OP_RatesTU_RES_2[[#This Row],[Customer type]:[Customer type]],Calc_TUR_NetCL_2[[Customer type]:[Customer type]],0),MATCH(OP_RatesTU_RES_2[[#Headers],[Powercor]],Calc_TUR_NetCL_2[[#Headers],[Ausnet]:[United Energy]],0))),
IF(OP_RatesTU_RES_2[[#This Row],[Cost element]:[Cost element]]="Environmental",
SUMIFS(INDEX(Calc_TUR_ENV_2[[Ausnet]:[United Energy]],0,MATCH(OP_RatesTU_RES_2[[#Headers],[Powercor]],Calc_TUR_ENV_2[[#Headers],[Ausnet]:[United Energy]],0)),
Calc_TUR_ENV_2[[Customer type]:[Customer type]],OP_RatesTU_RES_2[[#This Row],[Customer type]:[Customer type]],Calc_TUR_ENV_2[[Rate type]:[Rate type]],OP_RatesTU_RES_2[[#This Row],[Rate name]:[Rate name]]),
"-")),"-")</f>
        <v>6.6923795662660671E-3</v>
      </c>
      <c r="K111" s="238" cm="1">
        <f t="array" ref="K111">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name]]),0),MATCH(OP_RatesTU_RES_2[[#Headers],[United Energy]],Calc_TUR_Net_2[[#Headers],[Ausnet]:[United Energy]],0)),
INDEX(Calc_TUR_NetCL_2[[Ausnet]:[United Energy]],MATCH(OP_RatesTU_RES_2[[#This Row],[Customer type]:[Customer type]],Calc_TUR_NetCL_2[[Customer type]:[Customer type]],0),MATCH(OP_RatesTU_RES_2[[#Headers],[United Energy]],Calc_TUR_NetCL_2[[#Headers],[Ausnet]:[United Energy]],0))),
IF(OP_RatesTU_RES_2[[#This Row],[Cost element]:[Cost element]]="Environmental",
SUMIFS(INDEX(Calc_TUR_ENV_2[[Ausnet]:[United Energy]],0,MATCH(OP_RatesTU_RES_2[[#Headers],[United Energy]],Calc_TUR_ENV_2[[#Headers],[Ausnet]:[United Energy]],0)),
Calc_TUR_ENV_2[[Customer type]:[Customer type]],OP_RatesTU_RES_2[[#This Row],[Customer type]:[Customer type]],Calc_TUR_ENV_2[[Rate type]:[Rate type]],OP_RatesTU_RES_2[[#This Row],[Rate name]:[Rate name]]),
"-")),"-")</f>
        <v>6.5757968919376237E-3</v>
      </c>
      <c r="M111" s="59" t="s">
        <v>609</v>
      </c>
      <c r="N111" s="59" t="s">
        <v>282</v>
      </c>
      <c r="O111" s="59" t="s">
        <v>93</v>
      </c>
      <c r="P111" s="59" t="s">
        <v>151</v>
      </c>
      <c r="Q111" s="238" cm="1">
        <f t="array" ref="Q111">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name]]),0),MATCH(OP_RatesTU_SME_2[[#Headers],[Ausnet]],Calc_TUR_Net_2[[#Headers],[Ausnet]:[United Energy]],0)),
IF(OP_RatesTU_SME_2[[#This Row],[Cost element]:[Cost element]]="Environmental",
SUMIFS(INDEX(Calc_TUR_ENV_2[[Ausnet]:[United Energy]],0,MATCH(OP_RatesTU_SME_2[[#Headers],[Ausnet]],Calc_TUR_ENV_2[[#Headers],[Ausnet]:[United Energy]],0)),
Calc_TUR_ENV_2[[Customer type]:[Customer type]],OP_RatesTU_SME_2[[#This Row],[Customer type]:[Customer type]],Calc_TUR_ENV_2[[Rate type]:[Rate type]],OP_RatesTU_SME_2[[#This Row],[Rate name]:[Rate name]]),"-")),
"-")</f>
        <v>6.66713910181736E-3</v>
      </c>
      <c r="R111" s="238" cm="1">
        <f t="array" ref="R111">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name]]),0),MATCH(OP_RatesTU_SME_2[[#Headers],[Citipower]],Calc_TUR_Net_2[[#Headers],[Ausnet]:[United Energy]],0)),
IF(OP_RatesTU_SME_2[[#This Row],[Cost element]:[Cost element]]="Environmental",
SUMIFS(INDEX(Calc_TUR_ENV_2[[Ausnet]:[United Energy]],0,MATCH(OP_RatesTU_SME_2[[#Headers],[Citipower]],Calc_TUR_ENV_2[[#Headers],[Ausnet]:[United Energy]],0)),
Calc_TUR_ENV_2[[Customer type]:[Customer type]],OP_RatesTU_SME_2[[#This Row],[Customer type]:[Customer type]],Calc_TUR_ENV_2[[Rate type]:[Rate type]],OP_RatesTU_SME_2[[#This Row],[Rate name]:[Rate name]]),"-")),
"-")</f>
        <v>6.5518983001313221E-3</v>
      </c>
      <c r="S111" s="238" cm="1">
        <f t="array" ref="S111">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name]]),0),MATCH(OP_RatesTU_SME_2[[#Headers],[Jemena]],Calc_TUR_Net_2[[#Headers],[Ausnet]:[United Energy]],0)),
IF(OP_RatesTU_SME_2[[#This Row],[Cost element]:[Cost element]]="Environmental",
SUMIFS(INDEX(Calc_TUR_ENV_2[[Ausnet]:[United Energy]],0,MATCH(OP_RatesTU_SME_2[[#Headers],[Jemena]],Calc_TUR_ENV_2[[#Headers],[Ausnet]:[United Energy]],0)),
Calc_TUR_ENV_2[[Customer type]:[Customer type]],OP_RatesTU_SME_2[[#This Row],[Customer type]:[Customer type]],Calc_TUR_ENV_2[[Rate type]:[Rate type]],OP_RatesTU_SME_2[[#This Row],[Rate name]:[Rate name]]),"-")),
"-")</f>
        <v>6.4834552967827147E-3</v>
      </c>
      <c r="T111" s="238" cm="1">
        <f t="array" ref="T111">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name]]),0),MATCH(OP_RatesTU_SME_2[[#Headers],[Powercor]],Calc_TUR_Net_2[[#Headers],[Ausnet]:[United Energy]],0)),
IF(OP_RatesTU_SME_2[[#This Row],[Cost element]:[Cost element]]="Environmental",
SUMIFS(INDEX(Calc_TUR_ENV_2[[Ausnet]:[United Energy]],0,MATCH(OP_RatesTU_SME_2[[#Headers],[Powercor]],Calc_TUR_ENV_2[[#Headers],[Ausnet]:[United Energy]],0)),
Calc_TUR_ENV_2[[Customer type]:[Customer type]],OP_RatesTU_SME_2[[#This Row],[Customer type]:[Customer type]],Calc_TUR_ENV_2[[Rate type]:[Rate type]],OP_RatesTU_SME_2[[#This Row],[Rate name]:[Rate name]]),"-")),
"-")</f>
        <v>6.6923795662660671E-3</v>
      </c>
      <c r="U111" s="238" cm="1">
        <f t="array" ref="U111">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name]]),0),MATCH(OP_RatesTU_SME_2[[#Headers],[United Energy]],Calc_TUR_Net_2[[#Headers],[Ausnet]:[United Energy]],0)),
IF(OP_RatesTU_SME_2[[#This Row],[Cost element]:[Cost element]]="Environmental",
SUMIFS(INDEX(Calc_TUR_ENV_2[[Ausnet]:[United Energy]],0,MATCH(OP_RatesTU_SME_2[[#Headers],[United Energy]],Calc_TUR_ENV_2[[#Headers],[Ausnet]:[United Energy]],0)),
Calc_TUR_ENV_2[[Customer type]:[Customer type]],OP_RatesTU_SME_2[[#This Row],[Customer type]:[Customer type]],Calc_TUR_ENV_2[[Rate type]:[Rate type]],OP_RatesTU_SME_2[[#This Row],[Rate name]:[Rate name]]),"-")),
"-")</f>
        <v>6.5757968919376237E-3</v>
      </c>
    </row>
    <row r="112" spans="3:23" outlineLevel="2" x14ac:dyDescent="0.25">
      <c r="C112" s="59" t="s">
        <v>287</v>
      </c>
      <c r="D112" s="59" t="s">
        <v>282</v>
      </c>
      <c r="E112" s="59" t="s">
        <v>92</v>
      </c>
      <c r="F112" s="59" t="s">
        <v>151</v>
      </c>
      <c r="G112" s="238" cm="1">
        <f t="array" ref="G112">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name]]),0),MATCH(OP_RatesTU_RES_2[[#Headers],[Ausnet]],Calc_TUR_Net_2[[#Headers],[Ausnet]:[United Energy]],0)),
INDEX(Calc_TUR_NetCL_2[[Ausnet]:[United Energy]],MATCH(OP_RatesTU_RES_2[[#This Row],[Customer type]:[Customer type]],Calc_TUR_NetCL_2[[Customer type]:[Customer type]],0),MATCH(OP_RatesTU_RES_2[[#Headers],[Ausnet]],Calc_TUR_NetCL_2[[#Headers],[Ausnet]:[United Energy]],0))),
IF(OP_RatesTU_RES_2[[#This Row],[Cost element]:[Cost element]]="Environmental",
SUMIFS(INDEX(Calc_TUR_ENV_2[[Ausnet]:[United Energy]],0,MATCH(OP_RatesTU_RES_2[[#Headers],[Ausnet]],Calc_TUR_ENV_2[[#Headers],[Ausnet]:[United Energy]],0)),
Calc_TUR_ENV_2[[Customer type]:[Customer type]],OP_RatesTU_RES_2[[#This Row],[Customer type]:[Customer type]],Calc_TUR_ENV_2[[Rate type]:[Rate type]],OP_RatesTU_RES_2[[#This Row],[Rate name]:[Rate name]]),
"-")),"-")</f>
        <v>6.66713910181736E-3</v>
      </c>
      <c r="H112" s="238" cm="1">
        <f t="array" ref="H112">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name]]),0),MATCH(OP_RatesTU_RES_2[[#Headers],[Citipower]],Calc_TUR_Net_2[[#Headers],[Ausnet]:[United Energy]],0)),
INDEX(Calc_TUR_NetCL_2[[Ausnet]:[United Energy]],MATCH(OP_RatesTU_RES_2[[#This Row],[Customer type]:[Customer type]],Calc_TUR_NetCL_2[[Customer type]:[Customer type]],0),MATCH(OP_RatesTU_RES_2[[#Headers],[Citipower]],Calc_TUR_NetCL_2[[#Headers],[Ausnet]:[United Energy]],0))),
IF(OP_RatesTU_RES_2[[#This Row],[Cost element]:[Cost element]]="Environmental",
SUMIFS(INDEX(Calc_TUR_ENV_2[[Ausnet]:[United Energy]],0,MATCH(OP_RatesTU_RES_2[[#Headers],[Citipower]],Calc_TUR_ENV_2[[#Headers],[Ausnet]:[United Energy]],0)),
Calc_TUR_ENV_2[[Customer type]:[Customer type]],OP_RatesTU_RES_2[[#This Row],[Customer type]:[Customer type]],Calc_TUR_ENV_2[[Rate type]:[Rate type]],OP_RatesTU_RES_2[[#This Row],[Rate name]:[Rate name]]),
"-")),"-")</f>
        <v>6.5518983001313221E-3</v>
      </c>
      <c r="I112" s="238" cm="1">
        <f t="array" ref="I112">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name]]),0),MATCH(OP_RatesTU_RES_2[[#Headers],[Jemena]],Calc_TUR_Net_2[[#Headers],[Ausnet]:[United Energy]],0)),
INDEX(Calc_TUR_NetCL_2[[Ausnet]:[United Energy]],MATCH(OP_RatesTU_RES_2[[#This Row],[Customer type]:[Customer type]],Calc_TUR_NetCL_2[[Customer type]:[Customer type]],0),MATCH(OP_RatesTU_RES_2[[#Headers],[Jemena]],Calc_TUR_NetCL_2[[#Headers],[Ausnet]:[United Energy]],0))),
IF(OP_RatesTU_RES_2[[#This Row],[Cost element]:[Cost element]]="Environmental",
SUMIFS(INDEX(Calc_TUR_ENV_2[[Ausnet]:[United Energy]],0,MATCH(OP_RatesTU_RES_2[[#Headers],[Jemena]],Calc_TUR_ENV_2[[#Headers],[Ausnet]:[United Energy]],0)),
Calc_TUR_ENV_2[[Customer type]:[Customer type]],OP_RatesTU_RES_2[[#This Row],[Customer type]:[Customer type]],Calc_TUR_ENV_2[[Rate type]:[Rate type]],OP_RatesTU_RES_2[[#This Row],[Rate name]:[Rate name]]),
"-")),"-")</f>
        <v>6.4834552967827147E-3</v>
      </c>
      <c r="J112" s="238" cm="1">
        <f t="array" ref="J112">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name]]),0),MATCH(OP_RatesTU_RES_2[[#Headers],[Powercor]],Calc_TUR_Net_2[[#Headers],[Ausnet]:[United Energy]],0)),
INDEX(Calc_TUR_NetCL_2[[Ausnet]:[United Energy]],MATCH(OP_RatesTU_RES_2[[#This Row],[Customer type]:[Customer type]],Calc_TUR_NetCL_2[[Customer type]:[Customer type]],0),MATCH(OP_RatesTU_RES_2[[#Headers],[Powercor]],Calc_TUR_NetCL_2[[#Headers],[Ausnet]:[United Energy]],0))),
IF(OP_RatesTU_RES_2[[#This Row],[Cost element]:[Cost element]]="Environmental",
SUMIFS(INDEX(Calc_TUR_ENV_2[[Ausnet]:[United Energy]],0,MATCH(OP_RatesTU_RES_2[[#Headers],[Powercor]],Calc_TUR_ENV_2[[#Headers],[Ausnet]:[United Energy]],0)),
Calc_TUR_ENV_2[[Customer type]:[Customer type]],OP_RatesTU_RES_2[[#This Row],[Customer type]:[Customer type]],Calc_TUR_ENV_2[[Rate type]:[Rate type]],OP_RatesTU_RES_2[[#This Row],[Rate name]:[Rate name]]),
"-")),"-")</f>
        <v>6.6923795662660671E-3</v>
      </c>
      <c r="K112" s="238" cm="1">
        <f t="array" ref="K112">IFERROR(
IF(OP_RatesTU_RES_2[[#This Row],[Cost element]:[Cost element]]="Network",
IF(OP_RatesTU_RES_2[[#This Row],[Rate name]:[Rate name]]&lt;&gt;"Controlled load",
INDEX(Calc_TUR_Net_2[[Ausnet]:[United Energy]],MATCH(1,(Calc_TUR_Net_2[[Customer type]:[Customer type]]=OP_RatesTU_RES_2[[#This Row],[Customer type]:[Customer type]])*(Calc_TUR_Net_2[[Rate type]:[Rate type]]=OP_RatesTU_RES_2[[#This Row],[Rate name]:[Rate name]]),0),MATCH(OP_RatesTU_RES_2[[#Headers],[United Energy]],Calc_TUR_Net_2[[#Headers],[Ausnet]:[United Energy]],0)),
INDEX(Calc_TUR_NetCL_2[[Ausnet]:[United Energy]],MATCH(OP_RatesTU_RES_2[[#This Row],[Customer type]:[Customer type]],Calc_TUR_NetCL_2[[Customer type]:[Customer type]],0),MATCH(OP_RatesTU_RES_2[[#Headers],[United Energy]],Calc_TUR_NetCL_2[[#Headers],[Ausnet]:[United Energy]],0))),
IF(OP_RatesTU_RES_2[[#This Row],[Cost element]:[Cost element]]="Environmental",
SUMIFS(INDEX(Calc_TUR_ENV_2[[Ausnet]:[United Energy]],0,MATCH(OP_RatesTU_RES_2[[#Headers],[United Energy]],Calc_TUR_ENV_2[[#Headers],[Ausnet]:[United Energy]],0)),
Calc_TUR_ENV_2[[Customer type]:[Customer type]],OP_RatesTU_RES_2[[#This Row],[Customer type]:[Customer type]],Calc_TUR_ENV_2[[Rate type]:[Rate type]],OP_RatesTU_RES_2[[#This Row],[Rate name]:[Rate name]]),
"-")),"-")</f>
        <v>6.5757968919376237E-3</v>
      </c>
      <c r="M112" s="59"/>
      <c r="N112" s="59"/>
      <c r="O112" s="59"/>
      <c r="P112" s="59"/>
      <c r="Q112" s="238" t="str" cm="1">
        <f t="array" ref="Q112">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name]]),0),MATCH(OP_RatesTU_SME_2[[#Headers],[Ausnet]],Calc_TUR_Net_2[[#Headers],[Ausnet]:[United Energy]],0)),
IF(OP_RatesTU_SME_2[[#This Row],[Cost element]:[Cost element]]="Environmental",
SUMIFS(INDEX(Calc_TUR_ENV_2[[Ausnet]:[United Energy]],0,MATCH(OP_RatesTU_SME_2[[#Headers],[Ausnet]],Calc_TUR_ENV_2[[#Headers],[Ausnet]:[United Energy]],0)),
Calc_TUR_ENV_2[[Customer type]:[Customer type]],OP_RatesTU_SME_2[[#This Row],[Customer type]:[Customer type]],Calc_TUR_ENV_2[[Rate type]:[Rate type]],OP_RatesTU_SME_2[[#This Row],[Rate name]:[Rate name]]),"-")),
"-")</f>
        <v>-</v>
      </c>
      <c r="R112" s="238" t="str" cm="1">
        <f t="array" ref="R112">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name]]),0),MATCH(OP_RatesTU_SME_2[[#Headers],[Citipower]],Calc_TUR_Net_2[[#Headers],[Ausnet]:[United Energy]],0)),
IF(OP_RatesTU_SME_2[[#This Row],[Cost element]:[Cost element]]="Environmental",
SUMIFS(INDEX(Calc_TUR_ENV_2[[Ausnet]:[United Energy]],0,MATCH(OP_RatesTU_SME_2[[#Headers],[Citipower]],Calc_TUR_ENV_2[[#Headers],[Ausnet]:[United Energy]],0)),
Calc_TUR_ENV_2[[Customer type]:[Customer type]],OP_RatesTU_SME_2[[#This Row],[Customer type]:[Customer type]],Calc_TUR_ENV_2[[Rate type]:[Rate type]],OP_RatesTU_SME_2[[#This Row],[Rate name]:[Rate name]]),"-")),
"-")</f>
        <v>-</v>
      </c>
      <c r="S112" s="238" t="str" cm="1">
        <f t="array" ref="S112">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name]]),0),MATCH(OP_RatesTU_SME_2[[#Headers],[Jemena]],Calc_TUR_Net_2[[#Headers],[Ausnet]:[United Energy]],0)),
IF(OP_RatesTU_SME_2[[#This Row],[Cost element]:[Cost element]]="Environmental",
SUMIFS(INDEX(Calc_TUR_ENV_2[[Ausnet]:[United Energy]],0,MATCH(OP_RatesTU_SME_2[[#Headers],[Jemena]],Calc_TUR_ENV_2[[#Headers],[Ausnet]:[United Energy]],0)),
Calc_TUR_ENV_2[[Customer type]:[Customer type]],OP_RatesTU_SME_2[[#This Row],[Customer type]:[Customer type]],Calc_TUR_ENV_2[[Rate type]:[Rate type]],OP_RatesTU_SME_2[[#This Row],[Rate name]:[Rate name]]),"-")),
"-")</f>
        <v>-</v>
      </c>
      <c r="T112" s="238" t="str" cm="1">
        <f t="array" ref="T112">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name]]),0),MATCH(OP_RatesTU_SME_2[[#Headers],[Powercor]],Calc_TUR_Net_2[[#Headers],[Ausnet]:[United Energy]],0)),
IF(OP_RatesTU_SME_2[[#This Row],[Cost element]:[Cost element]]="Environmental",
SUMIFS(INDEX(Calc_TUR_ENV_2[[Ausnet]:[United Energy]],0,MATCH(OP_RatesTU_SME_2[[#Headers],[Powercor]],Calc_TUR_ENV_2[[#Headers],[Ausnet]:[United Energy]],0)),
Calc_TUR_ENV_2[[Customer type]:[Customer type]],OP_RatesTU_SME_2[[#This Row],[Customer type]:[Customer type]],Calc_TUR_ENV_2[[Rate type]:[Rate type]],OP_RatesTU_SME_2[[#This Row],[Rate name]:[Rate name]]),"-")),
"-")</f>
        <v>-</v>
      </c>
      <c r="U112" s="238" t="str" cm="1">
        <f t="array" ref="U112">IFERROR(
IF(OP_RatesTU_SME_2[[#This Row],[Cost element]:[Cost element]]="Network",
INDEX(Calc_TUR_Net_2[[Ausnet]:[United Energy]],MATCH(1,(Calc_TUR_Net_2[[Customer type]:[Customer type]]=OP_RatesTU_SME_2[[#This Row],[Customer type]:[Customer type]])*(Calc_TUR_Net_2[[Rate type]:[Rate type]]=OP_RatesTU_SME_2[[#This Row],[Rate name]:[Rate name]]),0),MATCH(OP_RatesTU_SME_2[[#Headers],[United Energy]],Calc_TUR_Net_2[[#Headers],[Ausnet]:[United Energy]],0)),
IF(OP_RatesTU_SME_2[[#This Row],[Cost element]:[Cost element]]="Environmental",
SUMIFS(INDEX(Calc_TUR_ENV_2[[Ausnet]:[United Energy]],0,MATCH(OP_RatesTU_SME_2[[#Headers],[United Energy]],Calc_TUR_ENV_2[[#Headers],[Ausnet]:[United Energy]],0)),
Calc_TUR_ENV_2[[Customer type]:[Customer type]],OP_RatesTU_SME_2[[#This Row],[Customer type]:[Customer type]],Calc_TUR_ENV_2[[Rate type]:[Rate type]],OP_RatesTU_SME_2[[#This Row],[Rate name]:[Rate name]]),"-")),
"-")</f>
        <v>-</v>
      </c>
    </row>
    <row r="113" spans="3:21" outlineLevel="1" x14ac:dyDescent="0.25">
      <c r="P113" s="87"/>
      <c r="Q113" s="87"/>
      <c r="R113" s="87"/>
    </row>
    <row r="114" spans="3:21" ht="15.75" outlineLevel="1" x14ac:dyDescent="0.25">
      <c r="C114" s="81" t="s">
        <v>17</v>
      </c>
      <c r="G114" s="78"/>
      <c r="H114" s="78"/>
      <c r="I114" s="78"/>
      <c r="J114" s="78"/>
      <c r="K114" s="78"/>
      <c r="P114" s="87"/>
      <c r="Q114" s="87"/>
      <c r="R114" s="87"/>
    </row>
    <row r="115" spans="3:21" ht="15.75" hidden="1" outlineLevel="2" x14ac:dyDescent="0.25">
      <c r="C115" s="29" t="str">
        <f>C$80&amp;" - checks"</f>
        <v>VDO residential rates - checks</v>
      </c>
      <c r="M115" s="29" t="str">
        <f>M$80&amp;" - checks"</f>
        <v>VDO small business rates - checks</v>
      </c>
    </row>
    <row r="116" spans="3:21" ht="15.75" hidden="1" outlineLevel="2" x14ac:dyDescent="0.25">
      <c r="C116" s="42" t="s">
        <v>331</v>
      </c>
      <c r="D116" s="42" t="s">
        <v>103</v>
      </c>
      <c r="E116" s="42" t="s">
        <v>91</v>
      </c>
      <c r="G116" s="50" t="s">
        <v>268</v>
      </c>
      <c r="H116" s="50" t="s">
        <v>269</v>
      </c>
      <c r="I116" s="50" t="s">
        <v>270</v>
      </c>
      <c r="J116" s="50" t="s">
        <v>271</v>
      </c>
      <c r="K116" s="50" t="s">
        <v>272</v>
      </c>
      <c r="M116" s="42" t="s">
        <v>331</v>
      </c>
      <c r="N116" s="42" t="s">
        <v>103</v>
      </c>
      <c r="O116" s="42" t="s">
        <v>91</v>
      </c>
      <c r="Q116" s="50" t="s">
        <v>268</v>
      </c>
      <c r="R116" s="50" t="s">
        <v>269</v>
      </c>
      <c r="S116" s="50" t="s">
        <v>270</v>
      </c>
      <c r="T116" s="50" t="s">
        <v>271</v>
      </c>
      <c r="U116" s="50" t="s">
        <v>272</v>
      </c>
    </row>
    <row r="117" spans="3:21" ht="15.75" hidden="1" outlineLevel="2" x14ac:dyDescent="0.25">
      <c r="C117" s="59" t="s">
        <v>550</v>
      </c>
      <c r="D117" s="59" t="s">
        <v>109</v>
      </c>
      <c r="E117" s="59" t="s">
        <v>92</v>
      </c>
      <c r="G117" s="93">
        <f>IF(ROUND(G82,4)=ROUND(
SUMIFS(OP_Rates_RES_2[Ausnet],OP_Rates_RES_2[[Rate name]:[Rate name]],$C117)+
SUMIFS(OP_RatesTU_RES_2[Ausnet],OP_RatesTU_RES_2[[Rate name]:[Rate name]],
IF($D117&lt;&gt;"$",$C117,
IF($C117="Anytime - supply","Anytime","TOU"))),4),
0,1)</f>
        <v>0</v>
      </c>
      <c r="H117" s="93">
        <f>IF(ROUND(H82,4)=ROUND(
SUMIFS(OP_Rates_RES_2[Citipower],OP_Rates_RES_2[[Rate name]:[Rate name]],$C117)+
SUMIFS(OP_RatesTU_RES_2[Citipower],OP_RatesTU_RES_2[[Rate name]:[Rate name]],
IF($D117&lt;&gt;"$",$C117,
IF($C117="Anytime - supply","Anytime","TOU"))),4),
0,1)</f>
        <v>0</v>
      </c>
      <c r="I117" s="93">
        <f>IF(ROUND(I82,4)=ROUND(
SUMIFS(OP_Rates_RES_2[Jemena],OP_Rates_RES_2[[Rate name]:[Rate name]],$C117)+
SUMIFS(OP_RatesTU_RES_2[Jemena],OP_RatesTU_RES_2[[Rate name]:[Rate name]],
IF($D117&lt;&gt;"$",$C117,
IF($C117="Anytime - supply","Anytime","TOU"))),4),
0,1)</f>
        <v>0</v>
      </c>
      <c r="J117" s="93">
        <f>IF(ROUND(J82,4)=ROUND(
SUMIFS(OP_Rates_RES_2[Powercor],OP_Rates_RES_2[[Rate name]:[Rate name]],$C117)+
SUMIFS(OP_RatesTU_RES_2[Powercor],OP_RatesTU_RES_2[[Rate name]:[Rate name]],
IF($D117&lt;&gt;"$",$C117,
IF($C117="Anytime - supply","Anytime","TOU"))),4),
0,1)</f>
        <v>0</v>
      </c>
      <c r="K117" s="93">
        <f>IF(ROUND(K82,4)=ROUND(
SUMIFS(OP_Rates_RES_2[United Energy],OP_Rates_RES_2[[Rate name]:[Rate name]],$C117)+
SUMIFS(OP_RatesTU_RES_2[United Energy],OP_RatesTU_RES_2[[Rate name]:[Rate name]],
IF($D117&lt;&gt;"$",$C117,
IF($C117="Anytime - supply","Anytime","TOU"))),4),
0,1)</f>
        <v>0</v>
      </c>
      <c r="M117" s="59" t="s">
        <v>550</v>
      </c>
      <c r="N117" s="59" t="s">
        <v>109</v>
      </c>
      <c r="O117" s="59" t="s">
        <v>93</v>
      </c>
      <c r="Q117" s="93">
        <f>IF(ROUND(Q82,4)=ROUND(
SUMIFS(OP_Rates_SME_2[Ausnet],OP_Rates_SME_2[[Rate name]:[Rate name]],$M117)+
SUMIFS(OP_RatesTU_SME_2[Ausnet],OP_RatesTU_SME_2[[Rate name]:[Rate name]],
IF($N117&lt;&gt;"$",$M117,
IF($M117="Anytime - supply","Anytime","TOU"))),4),
0,1)</f>
        <v>0</v>
      </c>
      <c r="R117" s="93">
        <f>IF(ROUND(R82,4)=ROUND(
SUMIFS(OP_Rates_SME_2[Citipower],OP_Rates_SME_2[[Rate name]:[Rate name]],$M117)+
SUMIFS(OP_RatesTU_SME_2[Citipower],OP_RatesTU_SME_2[[Rate name]:[Rate name]],
IF($N117&lt;&gt;"$",$M117,
IF($M117="Anytime - supply","Anytime","TOU"))),4),
0,1)</f>
        <v>0</v>
      </c>
      <c r="S117" s="93">
        <f>IF(ROUND(S82,4)=ROUND(
SUMIFS(OP_Rates_SME_2[Jemena],OP_Rates_SME_2[[Rate name]:[Rate name]],$M117)+
SUMIFS(OP_RatesTU_SME_2[Jemena],OP_RatesTU_SME_2[[Rate name]:[Rate name]],
IF($N117&lt;&gt;"$",$M117,
IF($M117="Anytime - supply","Anytime","TOU"))),4),
0,1)</f>
        <v>0</v>
      </c>
      <c r="T117" s="93">
        <f>IF(ROUND(T82,4)=ROUND(
SUMIFS(OP_Rates_SME_2[Powercor],OP_Rates_SME_2[[Rate name]:[Rate name]],$M117)+
SUMIFS(OP_RatesTU_SME_2[Powercor],OP_RatesTU_SME_2[[Rate name]:[Rate name]],
IF($N117&lt;&gt;"$",$M117,
IF($M117="Anytime - supply","Anytime","TOU"))),4),
0,1)</f>
        <v>0</v>
      </c>
      <c r="U117" s="93">
        <f>IF(ROUND(U82,4)=ROUND(
SUMIFS(OP_Rates_SME_2[United Energy],OP_Rates_SME_2[[Rate name]:[Rate name]],$M117)+
SUMIFS(OP_RatesTU_SME_2[United Energy],OP_RatesTU_SME_2[[Rate name]:[Rate name]],
IF($N117&lt;&gt;"$",$M117,
IF($M117="Anytime - supply","Anytime","TOU"))),4),
0,1)</f>
        <v>0</v>
      </c>
    </row>
    <row r="118" spans="3:21" ht="15.75" hidden="1" outlineLevel="2" x14ac:dyDescent="0.25">
      <c r="C118" s="59" t="s">
        <v>221</v>
      </c>
      <c r="D118" s="59" t="s">
        <v>282</v>
      </c>
      <c r="E118" s="59" t="s">
        <v>92</v>
      </c>
      <c r="G118" s="93">
        <f>IF(ROUND(G83,4)=ROUND(
SUMIFS(OP_Rates_RES_2[Ausnet],OP_Rates_RES_2[[Rate name]:[Rate name]],$C118)+
SUMIFS(OP_RatesTU_RES_2[Ausnet],OP_RatesTU_RES_2[[Rate name]:[Rate name]],
IF($D118&lt;&gt;"$",$C118,
IF($C118="Anytime - supply","Anytime","TOU"))),4),
0,1)</f>
        <v>0</v>
      </c>
      <c r="H118" s="93">
        <f>IF(ROUND(H83,4)=ROUND(
SUMIFS(OP_Rates_RES_2[Citipower],OP_Rates_RES_2[[Rate name]:[Rate name]],$C118)+
SUMIFS(OP_RatesTU_RES_2[Citipower],OP_RatesTU_RES_2[[Rate name]:[Rate name]],
IF($D118&lt;&gt;"$",$C118,
IF($C118="Anytime - supply","Anytime","TOU"))),4),
0,1)</f>
        <v>0</v>
      </c>
      <c r="I118" s="93">
        <f>IF(ROUND(I83,4)=ROUND(
SUMIFS(OP_Rates_RES_2[Jemena],OP_Rates_RES_2[[Rate name]:[Rate name]],$C118)+
SUMIFS(OP_RatesTU_RES_2[Jemena],OP_RatesTU_RES_2[[Rate name]:[Rate name]],
IF($D118&lt;&gt;"$",$C118,
IF($C118="Anytime - supply","Anytime","TOU"))),4),
0,1)</f>
        <v>0</v>
      </c>
      <c r="J118" s="93">
        <f>IF(ROUND(J83,4)=ROUND(
SUMIFS(OP_Rates_RES_2[Powercor],OP_Rates_RES_2[[Rate name]:[Rate name]],$C118)+
SUMIFS(OP_RatesTU_RES_2[Powercor],OP_RatesTU_RES_2[[Rate name]:[Rate name]],
IF($D118&lt;&gt;"$",$C118,
IF($C118="Anytime - supply","Anytime","TOU"))),4),
0,1)</f>
        <v>0</v>
      </c>
      <c r="K118" s="93">
        <f>IF(ROUND(K83,4)=ROUND(
SUMIFS(OP_Rates_RES_2[United Energy],OP_Rates_RES_2[[Rate name]:[Rate name]],$C118)+
SUMIFS(OP_RatesTU_RES_2[United Energy],OP_RatesTU_RES_2[[Rate name]:[Rate name]],
IF($D118&lt;&gt;"$",$C118,
IF($C118="Anytime - supply","Anytime","TOU"))),4),
0,1)</f>
        <v>0</v>
      </c>
      <c r="M118" s="59" t="s">
        <v>221</v>
      </c>
      <c r="N118" s="59" t="s">
        <v>282</v>
      </c>
      <c r="O118" s="59" t="s">
        <v>93</v>
      </c>
      <c r="Q118" s="93">
        <f>IF(ROUND(Q83,4)=ROUND(
SUMIFS(OP_Rates_SME_2[Ausnet],OP_Rates_SME_2[[Rate name]:[Rate name]],$M118)+
SUMIFS(OP_RatesTU_SME_2[Ausnet],OP_RatesTU_SME_2[[Rate name]:[Rate name]],
IF($N118&lt;&gt;"$",$M118,
IF($M118="Anytime - supply","Anytime","TOU"))),4),
0,1)</f>
        <v>0</v>
      </c>
      <c r="R118" s="93">
        <f>IF(ROUND(R83,4)=ROUND(
SUMIFS(OP_Rates_SME_2[Citipower],OP_Rates_SME_2[[Rate name]:[Rate name]],$M118)+
SUMIFS(OP_RatesTU_SME_2[Citipower],OP_RatesTU_SME_2[[Rate name]:[Rate name]],
IF($N118&lt;&gt;"$",$M118,
IF($M118="Anytime - supply","Anytime","TOU"))),4),
0,1)</f>
        <v>0</v>
      </c>
      <c r="S118" s="93">
        <f>IF(ROUND(S83,4)=ROUND(
SUMIFS(OP_Rates_SME_2[Jemena],OP_Rates_SME_2[[Rate name]:[Rate name]],$M118)+
SUMIFS(OP_RatesTU_SME_2[Jemena],OP_RatesTU_SME_2[[Rate name]:[Rate name]],
IF($N118&lt;&gt;"$",$M118,
IF($M118="Anytime - supply","Anytime","TOU"))),4),
0,1)</f>
        <v>0</v>
      </c>
      <c r="T118" s="93">
        <f>IF(ROUND(T83,4)=ROUND(
SUMIFS(OP_Rates_SME_2[Powercor],OP_Rates_SME_2[[Rate name]:[Rate name]],$M118)+
SUMIFS(OP_RatesTU_SME_2[Powercor],OP_RatesTU_SME_2[[Rate name]:[Rate name]],
IF($N118&lt;&gt;"$",$M118,
IF($M118="Anytime - supply","Anytime","TOU"))),4),
0,1)</f>
        <v>0</v>
      </c>
      <c r="U118" s="93">
        <f>IF(ROUND(U83,4)=ROUND(
SUMIFS(OP_Rates_SME_2[United Energy],OP_Rates_SME_2[[Rate name]:[Rate name]],$M118)+
SUMIFS(OP_RatesTU_SME_2[United Energy],OP_RatesTU_SME_2[[Rate name]:[Rate name]],
IF($N118&lt;&gt;"$",$M118,
IF($M118="Anytime - supply","Anytime","TOU"))),4),
0,1)</f>
        <v>0</v>
      </c>
    </row>
    <row r="119" spans="3:21" ht="15.75" hidden="1" outlineLevel="2" x14ac:dyDescent="0.25">
      <c r="C119" s="59" t="s">
        <v>228</v>
      </c>
      <c r="D119" s="59" t="s">
        <v>282</v>
      </c>
      <c r="E119" s="59" t="s">
        <v>92</v>
      </c>
      <c r="G119" s="93">
        <f>IF(ROUND(G84,4)=ROUND(
SUMIFS(OP_Rates_RES_2[Ausnet],OP_Rates_RES_2[[Rate name]:[Rate name]],$C119)+
SUMIFS(OP_RatesTU_RES_2[Ausnet],OP_RatesTU_RES_2[[Rate name]:[Rate name]],
IF($D119&lt;&gt;"$",$C119,
IF($C119="Anytime - supply","Anytime","TOU"))),4),
0,1)</f>
        <v>0</v>
      </c>
      <c r="H119" s="93">
        <f>IF(ROUND(H84,4)=ROUND(
SUMIFS(OP_Rates_RES_2[Citipower],OP_Rates_RES_2[[Rate name]:[Rate name]],$C119)+
SUMIFS(OP_RatesTU_RES_2[Citipower],OP_RatesTU_RES_2[[Rate name]:[Rate name]],
IF($D119&lt;&gt;"$",$C119,
IF($C119="Anytime - supply","Anytime","TOU"))),4),
0,1)</f>
        <v>0</v>
      </c>
      <c r="I119" s="93">
        <f>IF(ROUND(I84,4)=ROUND(
SUMIFS(OP_Rates_RES_2[Jemena],OP_Rates_RES_2[[Rate name]:[Rate name]],$C119)+
SUMIFS(OP_RatesTU_RES_2[Jemena],OP_RatesTU_RES_2[[Rate name]:[Rate name]],
IF($D119&lt;&gt;"$",$C119,
IF($C119="Anytime - supply","Anytime","TOU"))),4),
0,1)</f>
        <v>0</v>
      </c>
      <c r="J119" s="93">
        <f>IF(ROUND(J84,4)=ROUND(
SUMIFS(OP_Rates_RES_2[Powercor],OP_Rates_RES_2[[Rate name]:[Rate name]],$C119)+
SUMIFS(OP_RatesTU_RES_2[Powercor],OP_RatesTU_RES_2[[Rate name]:[Rate name]],
IF($D119&lt;&gt;"$",$C119,
IF($C119="Anytime - supply","Anytime","TOU"))),4),
0,1)</f>
        <v>0</v>
      </c>
      <c r="K119" s="93">
        <f>IF(ROUND(K84,4)=ROUND(
SUMIFS(OP_Rates_RES_2[United Energy],OP_Rates_RES_2[[Rate name]:[Rate name]],$C119)+
SUMIFS(OP_RatesTU_RES_2[United Energy],OP_RatesTU_RES_2[[Rate name]:[Rate name]],
IF($D119&lt;&gt;"$",$C119,
IF($C119="Anytime - supply","Anytime","TOU"))),4),
0,1)</f>
        <v>0</v>
      </c>
      <c r="M119" s="59" t="s">
        <v>228</v>
      </c>
      <c r="N119" s="59" t="s">
        <v>282</v>
      </c>
      <c r="O119" s="59" t="s">
        <v>93</v>
      </c>
      <c r="Q119" s="93">
        <f>IF(ROUND(Q84,4)=ROUND(
SUMIFS(OP_Rates_SME_2[Ausnet],OP_Rates_SME_2[[Rate name]:[Rate name]],$M119)+
SUMIFS(OP_RatesTU_SME_2[Ausnet],OP_RatesTU_SME_2[[Rate name]:[Rate name]],
IF($N119&lt;&gt;"$",$M119,
IF($M119="Anytime - supply","Anytime","TOU"))),4),
0,1)</f>
        <v>0</v>
      </c>
      <c r="R119" s="93">
        <f>IF(ROUND(R84,4)=ROUND(
SUMIFS(OP_Rates_SME_2[Citipower],OP_Rates_SME_2[[Rate name]:[Rate name]],$M119)+
SUMIFS(OP_RatesTU_SME_2[Citipower],OP_RatesTU_SME_2[[Rate name]:[Rate name]],
IF($N119&lt;&gt;"$",$M119,
IF($M119="Anytime - supply","Anytime","TOU"))),4),
0,1)</f>
        <v>0</v>
      </c>
      <c r="S119" s="93">
        <f>IF(ROUND(S84,4)=ROUND(
SUMIFS(OP_Rates_SME_2[Jemena],OP_Rates_SME_2[[Rate name]:[Rate name]],$M119)+
SUMIFS(OP_RatesTU_SME_2[Jemena],OP_RatesTU_SME_2[[Rate name]:[Rate name]],
IF($N119&lt;&gt;"$",$M119,
IF($M119="Anytime - supply","Anytime","TOU"))),4),
0,1)</f>
        <v>0</v>
      </c>
      <c r="T119" s="93">
        <f>IF(ROUND(T84,4)=ROUND(
SUMIFS(OP_Rates_SME_2[Powercor],OP_Rates_SME_2[[Rate name]:[Rate name]],$M119)+
SUMIFS(OP_RatesTU_SME_2[Powercor],OP_RatesTU_SME_2[[Rate name]:[Rate name]],
IF($N119&lt;&gt;"$",$M119,
IF($M119="Anytime - supply","Anytime","TOU"))),4),
0,1)</f>
        <v>0</v>
      </c>
      <c r="U119" s="93">
        <f>IF(ROUND(U84,4)=ROUND(
SUMIFS(OP_Rates_SME_2[United Energy],OP_Rates_SME_2[[Rate name]:[Rate name]],$M119)+
SUMIFS(OP_RatesTU_SME_2[United Energy],OP_RatesTU_SME_2[[Rate name]:[Rate name]],
IF($N119&lt;&gt;"$",$M119,
IF($M119="Anytime - supply","Anytime","TOU"))),4),
0,1)</f>
        <v>0</v>
      </c>
    </row>
    <row r="120" spans="3:21" ht="15.75" hidden="1" outlineLevel="2" x14ac:dyDescent="0.25">
      <c r="C120" s="59" t="s">
        <v>549</v>
      </c>
      <c r="D120" s="59" t="s">
        <v>282</v>
      </c>
      <c r="E120" s="59" t="s">
        <v>92</v>
      </c>
      <c r="G120" s="93">
        <f>IF(ROUND(G85,4)=ROUND(
SUMIFS(OP_Rates_RES_2[Ausnet],OP_Rates_RES_2[[Rate name]:[Rate name]],$C120)+
SUMIFS(OP_RatesTU_RES_2[Ausnet],OP_RatesTU_RES_2[[Rate name]:[Rate name]],
IF($D120&lt;&gt;"$",$C120,
IF($C120="Anytime - supply","Anytime","TOU"))),4),
0,1)</f>
        <v>0</v>
      </c>
      <c r="H120" s="93">
        <f>IF(ROUND(H85,4)=ROUND(
SUMIFS(OP_Rates_RES_2[Citipower],OP_Rates_RES_2[[Rate name]:[Rate name]],$C120)+
SUMIFS(OP_RatesTU_RES_2[Citipower],OP_RatesTU_RES_2[[Rate name]:[Rate name]],
IF($D120&lt;&gt;"$",$C120,
IF($C120="Anytime - supply","Anytime","TOU"))),4),
0,1)</f>
        <v>0</v>
      </c>
      <c r="I120" s="93">
        <f>IF(ROUND(I85,4)=ROUND(
SUMIFS(OP_Rates_RES_2[Jemena],OP_Rates_RES_2[[Rate name]:[Rate name]],$C120)+
SUMIFS(OP_RatesTU_RES_2[Jemena],OP_RatesTU_RES_2[[Rate name]:[Rate name]],
IF($D120&lt;&gt;"$",$C120,
IF($C120="Anytime - supply","Anytime","TOU"))),4),
0,1)</f>
        <v>0</v>
      </c>
      <c r="J120" s="93">
        <f>IF(ROUND(J85,4)=ROUND(
SUMIFS(OP_Rates_RES_2[Powercor],OP_Rates_RES_2[[Rate name]:[Rate name]],$C120)+
SUMIFS(OP_RatesTU_RES_2[Powercor],OP_RatesTU_RES_2[[Rate name]:[Rate name]],
IF($D120&lt;&gt;"$",$C120,
IF($C120="Anytime - supply","Anytime","TOU"))),4),
0,1)</f>
        <v>0</v>
      </c>
      <c r="K120" s="93">
        <f>IF(ROUND(K85,4)=ROUND(
SUMIFS(OP_Rates_RES_2[United Energy],OP_Rates_RES_2[[Rate name]:[Rate name]],$C120)+
SUMIFS(OP_RatesTU_RES_2[United Energy],OP_RatesTU_RES_2[[Rate name]:[Rate name]],
IF($D120&lt;&gt;"$",$C120,
IF($C120="Anytime - supply","Anytime","TOU"))),4),
0,1)</f>
        <v>0</v>
      </c>
      <c r="M120" s="59" t="s">
        <v>549</v>
      </c>
      <c r="N120" s="59" t="s">
        <v>282</v>
      </c>
      <c r="O120" s="59" t="s">
        <v>93</v>
      </c>
      <c r="Q120" s="93">
        <f>IF(ROUND(Q85,4)=ROUND(
SUMIFS(OP_Rates_SME_2[Ausnet],OP_Rates_SME_2[[Rate name]:[Rate name]],$M120)+
SUMIFS(OP_RatesTU_SME_2[Ausnet],OP_RatesTU_SME_2[[Rate name]:[Rate name]],
IF($N120&lt;&gt;"$",$M120,
IF($M120="Anytime - supply","Anytime","TOU"))),4),
0,1)</f>
        <v>0</v>
      </c>
      <c r="R120" s="93">
        <f>IF(ROUND(R85,4)=ROUND(
SUMIFS(OP_Rates_SME_2[Citipower],OP_Rates_SME_2[[Rate name]:[Rate name]],$M120)+
SUMIFS(OP_RatesTU_SME_2[Citipower],OP_RatesTU_SME_2[[Rate name]:[Rate name]],
IF($N120&lt;&gt;"$",$M120,
IF($M120="Anytime - supply","Anytime","TOU"))),4),
0,1)</f>
        <v>0</v>
      </c>
      <c r="S120" s="93">
        <f>IF(ROUND(S85,4)=ROUND(
SUMIFS(OP_Rates_SME_2[Jemena],OP_Rates_SME_2[[Rate name]:[Rate name]],$M120)+
SUMIFS(OP_RatesTU_SME_2[Jemena],OP_RatesTU_SME_2[[Rate name]:[Rate name]],
IF($N120&lt;&gt;"$",$M120,
IF($M120="Anytime - supply","Anytime","TOU"))),4),
0,1)</f>
        <v>0</v>
      </c>
      <c r="T120" s="93">
        <f>IF(ROUND(T85,4)=ROUND(
SUMIFS(OP_Rates_SME_2[Powercor],OP_Rates_SME_2[[Rate name]:[Rate name]],$M120)+
SUMIFS(OP_RatesTU_SME_2[Powercor],OP_RatesTU_SME_2[[Rate name]:[Rate name]],
IF($N120&lt;&gt;"$",$M120,
IF($M120="Anytime - supply","Anytime","TOU"))),4),
0,1)</f>
        <v>0</v>
      </c>
      <c r="U120" s="93">
        <f>IF(ROUND(U85,4)=ROUND(
SUMIFS(OP_Rates_SME_2[United Energy],OP_Rates_SME_2[[Rate name]:[Rate name]],$M120)+
SUMIFS(OP_RatesTU_SME_2[United Energy],OP_RatesTU_SME_2[[Rate name]:[Rate name]],
IF($N120&lt;&gt;"$",$M120,
IF($M120="Anytime - supply","Anytime","TOU"))),4),
0,1)</f>
        <v>0</v>
      </c>
    </row>
    <row r="121" spans="3:21" ht="15.75" hidden="1" outlineLevel="2" x14ac:dyDescent="0.25">
      <c r="C121" s="59" t="s">
        <v>551</v>
      </c>
      <c r="D121" s="59" t="s">
        <v>109</v>
      </c>
      <c r="E121" s="59" t="s">
        <v>92</v>
      </c>
      <c r="G121" s="93">
        <f>IF(ROUND(G86,4)=ROUND(
SUMIFS(OP_Rates_RES_2[Ausnet],OP_Rates_RES_2[[Rate name]:[Rate name]],$C121)+
SUMIFS(OP_RatesTU_RES_2[Ausnet],OP_RatesTU_RES_2[[Rate name]:[Rate name]],
IF($D121&lt;&gt;"$",$C121,
IF($C121="Anytime - supply","Anytime","TOU"))),4),
0,1)</f>
        <v>0</v>
      </c>
      <c r="H121" s="93">
        <f>IF(ROUND(H86,4)=ROUND(
SUMIFS(OP_Rates_RES_2[Citipower],OP_Rates_RES_2[[Rate name]:[Rate name]],$C121)+
SUMIFS(OP_RatesTU_RES_2[Citipower],OP_RatesTU_RES_2[[Rate name]:[Rate name]],
IF($D121&lt;&gt;"$",$C121,
IF($C121="Anytime - supply","Anytime","TOU"))),4),
0,1)</f>
        <v>0</v>
      </c>
      <c r="I121" s="93">
        <f>IF(ROUND(I86,4)=ROUND(
SUMIFS(OP_Rates_RES_2[Jemena],OP_Rates_RES_2[[Rate name]:[Rate name]],$C121)+
SUMIFS(OP_RatesTU_RES_2[Jemena],OP_RatesTU_RES_2[[Rate name]:[Rate name]],
IF($D121&lt;&gt;"$",$C121,
IF($C121="Anytime - supply","Anytime","TOU"))),4),
0,1)</f>
        <v>0</v>
      </c>
      <c r="J121" s="93">
        <f>IF(ROUND(J86,4)=ROUND(
SUMIFS(OP_Rates_RES_2[Powercor],OP_Rates_RES_2[[Rate name]:[Rate name]],$C121)+
SUMIFS(OP_RatesTU_RES_2[Powercor],OP_RatesTU_RES_2[[Rate name]:[Rate name]],
IF($D121&lt;&gt;"$",$C121,
IF($C121="Anytime - supply","Anytime","TOU"))),4),
0,1)</f>
        <v>0</v>
      </c>
      <c r="K121" s="93">
        <f>IF(ROUND(K86,4)=ROUND(
SUMIFS(OP_Rates_RES_2[United Energy],OP_Rates_RES_2[[Rate name]:[Rate name]],$C121)+
SUMIFS(OP_RatesTU_RES_2[United Energy],OP_RatesTU_RES_2[[Rate name]:[Rate name]],
IF($D121&lt;&gt;"$",$C121,
IF($C121="Anytime - supply","Anytime","TOU"))),4),
0,1)</f>
        <v>0</v>
      </c>
      <c r="M121" s="59" t="s">
        <v>551</v>
      </c>
      <c r="N121" s="59" t="s">
        <v>109</v>
      </c>
      <c r="O121" s="59" t="s">
        <v>93</v>
      </c>
      <c r="Q121" s="93">
        <f>IF(ROUND(Q86,4)=ROUND(
SUMIFS(OP_Rates_SME_2[Ausnet],OP_Rates_SME_2[[Rate name]:[Rate name]],$M121)+
SUMIFS(OP_RatesTU_SME_2[Ausnet],OP_RatesTU_SME_2[[Rate name]:[Rate name]],
IF($N121&lt;&gt;"$",$M121,
IF($M121="Anytime - supply","Anytime","TOU"))),4),
0,1)</f>
        <v>0</v>
      </c>
      <c r="R121" s="93">
        <f>IF(ROUND(R86,4)=ROUND(
SUMIFS(OP_Rates_SME_2[Citipower],OP_Rates_SME_2[[Rate name]:[Rate name]],$M121)+
SUMIFS(OP_RatesTU_SME_2[Citipower],OP_RatesTU_SME_2[[Rate name]:[Rate name]],
IF($N121&lt;&gt;"$",$M121,
IF($M121="Anytime - supply","Anytime","TOU"))),4),
0,1)</f>
        <v>0</v>
      </c>
      <c r="S121" s="93">
        <f>IF(ROUND(S86,4)=ROUND(
SUMIFS(OP_Rates_SME_2[Jemena],OP_Rates_SME_2[[Rate name]:[Rate name]],$M121)+
SUMIFS(OP_RatesTU_SME_2[Jemena],OP_RatesTU_SME_2[[Rate name]:[Rate name]],
IF($N121&lt;&gt;"$",$M121,
IF($M121="Anytime - supply","Anytime","TOU"))),4),
0,1)</f>
        <v>0</v>
      </c>
      <c r="T121" s="93">
        <f>IF(ROUND(T86,4)=ROUND(
SUMIFS(OP_Rates_SME_2[Powercor],OP_Rates_SME_2[[Rate name]:[Rate name]],$M121)+
SUMIFS(OP_RatesTU_SME_2[Powercor],OP_RatesTU_SME_2[[Rate name]:[Rate name]],
IF($N121&lt;&gt;"$",$M121,
IF($M121="Anytime - supply","Anytime","TOU"))),4),
0,1)</f>
        <v>0</v>
      </c>
      <c r="U121" s="93">
        <f>IF(ROUND(U86,4)=ROUND(
SUMIFS(OP_Rates_SME_2[United Energy],OP_Rates_SME_2[[Rate name]:[Rate name]],$M121)+
SUMIFS(OP_RatesTU_SME_2[United Energy],OP_RatesTU_SME_2[[Rate name]:[Rate name]],
IF($N121&lt;&gt;"$",$M121,
IF($M121="Anytime - supply","Anytime","TOU"))),4),
0,1)</f>
        <v>0</v>
      </c>
    </row>
    <row r="122" spans="3:21" ht="15.75" hidden="1" outlineLevel="2" x14ac:dyDescent="0.25">
      <c r="C122" s="59" t="s">
        <v>230</v>
      </c>
      <c r="D122" s="59" t="s">
        <v>282</v>
      </c>
      <c r="E122" s="59" t="s">
        <v>92</v>
      </c>
      <c r="G122" s="93">
        <f>IF(ROUND(G87,4)=ROUND(
SUMIFS(OP_Rates_RES_2[Ausnet],OP_Rates_RES_2[[Rate name]:[Rate name]],$C122)+
SUMIFS(OP_RatesTU_RES_2[Ausnet],OP_RatesTU_RES_2[[Rate name]:[Rate name]],
IF($D122&lt;&gt;"$",$C122,
IF($C122="Anytime - supply","Anytime","TOU"))),4),
0,1)</f>
        <v>0</v>
      </c>
      <c r="H122" s="93">
        <f>IF(ROUND(H87,4)=ROUND(
SUMIFS(OP_Rates_RES_2[Citipower],OP_Rates_RES_2[[Rate name]:[Rate name]],$C122)+
SUMIFS(OP_RatesTU_RES_2[Citipower],OP_RatesTU_RES_2[[Rate name]:[Rate name]],
IF($D122&lt;&gt;"$",$C122,
IF($C122="Anytime - supply","Anytime","TOU"))),4),
0,1)</f>
        <v>0</v>
      </c>
      <c r="I122" s="93">
        <f>IF(ROUND(I87,4)=ROUND(
SUMIFS(OP_Rates_RES_2[Jemena],OP_Rates_RES_2[[Rate name]:[Rate name]],$C122)+
SUMIFS(OP_RatesTU_RES_2[Jemena],OP_RatesTU_RES_2[[Rate name]:[Rate name]],
IF($D122&lt;&gt;"$",$C122,
IF($C122="Anytime - supply","Anytime","TOU"))),4),
0,1)</f>
        <v>0</v>
      </c>
      <c r="J122" s="93">
        <f>IF(ROUND(J87,4)=ROUND(
SUMIFS(OP_Rates_RES_2[Powercor],OP_Rates_RES_2[[Rate name]:[Rate name]],$C122)+
SUMIFS(OP_RatesTU_RES_2[Powercor],OP_RatesTU_RES_2[[Rate name]:[Rate name]],
IF($D122&lt;&gt;"$",$C122,
IF($C122="Anytime - supply","Anytime","TOU"))),4),
0,1)</f>
        <v>0</v>
      </c>
      <c r="K122" s="93">
        <f>IF(ROUND(K87,4)=ROUND(
SUMIFS(OP_Rates_RES_2[United Energy],OP_Rates_RES_2[[Rate name]:[Rate name]],$C122)+
SUMIFS(OP_RatesTU_RES_2[United Energy],OP_RatesTU_RES_2[[Rate name]:[Rate name]],
IF($D122&lt;&gt;"$",$C122,
IF($C122="Anytime - supply","Anytime","TOU"))),4),
0,1)</f>
        <v>0</v>
      </c>
      <c r="M122" s="59" t="s">
        <v>230</v>
      </c>
      <c r="N122" s="59" t="s">
        <v>282</v>
      </c>
      <c r="O122" s="59" t="s">
        <v>93</v>
      </c>
      <c r="Q122" s="93">
        <f>IF(ROUND(Q87,4)=ROUND(
SUMIFS(OP_Rates_SME_2[Ausnet],OP_Rates_SME_2[[Rate name]:[Rate name]],$M122)+
SUMIFS(OP_RatesTU_SME_2[Ausnet],OP_RatesTU_SME_2[[Rate name]:[Rate name]],
IF($N122&lt;&gt;"$",$M122,
IF($M122="Anytime - supply","Anytime","TOU"))),4),
0,1)</f>
        <v>0</v>
      </c>
      <c r="R122" s="93">
        <f>IF(ROUND(R87,4)=ROUND(
SUMIFS(OP_Rates_SME_2[Citipower],OP_Rates_SME_2[[Rate name]:[Rate name]],$M122)+
SUMIFS(OP_RatesTU_SME_2[Citipower],OP_RatesTU_SME_2[[Rate name]:[Rate name]],
IF($N122&lt;&gt;"$",$M122,
IF($M122="Anytime - supply","Anytime","TOU"))),4),
0,1)</f>
        <v>0</v>
      </c>
      <c r="S122" s="93">
        <f>IF(ROUND(S87,4)=ROUND(
SUMIFS(OP_Rates_SME_2[Jemena],OP_Rates_SME_2[[Rate name]:[Rate name]],$M122)+
SUMIFS(OP_RatesTU_SME_2[Jemena],OP_RatesTU_SME_2[[Rate name]:[Rate name]],
IF($N122&lt;&gt;"$",$M122,
IF($M122="Anytime - supply","Anytime","TOU"))),4),
0,1)</f>
        <v>0</v>
      </c>
      <c r="T122" s="93">
        <f>IF(ROUND(T87,4)=ROUND(
SUMIFS(OP_Rates_SME_2[Powercor],OP_Rates_SME_2[[Rate name]:[Rate name]],$M122)+
SUMIFS(OP_RatesTU_SME_2[Powercor],OP_RatesTU_SME_2[[Rate name]:[Rate name]],
IF($N122&lt;&gt;"$",$M122,
IF($M122="Anytime - supply","Anytime","TOU"))),4),
0,1)</f>
        <v>0</v>
      </c>
      <c r="U122" s="93">
        <f>IF(ROUND(U87,4)=ROUND(
SUMIFS(OP_Rates_SME_2[United Energy],OP_Rates_SME_2[[Rate name]:[Rate name]],$M122)+
SUMIFS(OP_RatesTU_SME_2[United Energy],OP_RatesTU_SME_2[[Rate name]:[Rate name]],
IF($N122&lt;&gt;"$",$M122,
IF($M122="Anytime - supply","Anytime","TOU"))),4),
0,1)</f>
        <v>0</v>
      </c>
    </row>
    <row r="123" spans="3:21" ht="15.75" hidden="1" outlineLevel="2" x14ac:dyDescent="0.25">
      <c r="C123" s="59" t="s">
        <v>609</v>
      </c>
      <c r="D123" s="59" t="s">
        <v>282</v>
      </c>
      <c r="E123" s="59" t="s">
        <v>92</v>
      </c>
      <c r="G123" s="93">
        <f>IF(ROUND(G88,4)=ROUND(
SUMIFS(OP_Rates_RES_2[Ausnet],OP_Rates_RES_2[[Rate name]:[Rate name]],$C123)+
SUMIFS(OP_RatesTU_RES_2[Ausnet],OP_RatesTU_RES_2[[Rate name]:[Rate name]],
IF($D123&lt;&gt;"$",$C123,
IF($C123="Anytime - supply","Anytime","TOU"))),4),
0,1)</f>
        <v>0</v>
      </c>
      <c r="H123" s="93">
        <f>IF(ROUND(H88,4)=ROUND(
SUMIFS(OP_Rates_RES_2[Citipower],OP_Rates_RES_2[[Rate name]:[Rate name]],$C123)+
SUMIFS(OP_RatesTU_RES_2[Citipower],OP_RatesTU_RES_2[[Rate name]:[Rate name]],
IF($D123&lt;&gt;"$",$C123,
IF($C123="Anytime - supply","Anytime","TOU"))),4),
0,1)</f>
        <v>0</v>
      </c>
      <c r="I123" s="93">
        <f>IF(ROUND(I88,4)=ROUND(
SUMIFS(OP_Rates_RES_2[Jemena],OP_Rates_RES_2[[Rate name]:[Rate name]],$C123)+
SUMIFS(OP_RatesTU_RES_2[Jemena],OP_RatesTU_RES_2[[Rate name]:[Rate name]],
IF($D123&lt;&gt;"$",$C123,
IF($C123="Anytime - supply","Anytime","TOU"))),4),
0,1)</f>
        <v>0</v>
      </c>
      <c r="J123" s="93">
        <f>IF(ROUND(J88,4)=ROUND(
SUMIFS(OP_Rates_RES_2[Powercor],OP_Rates_RES_2[[Rate name]:[Rate name]],$C123)+
SUMIFS(OP_RatesTU_RES_2[Powercor],OP_RatesTU_RES_2[[Rate name]:[Rate name]],
IF($D123&lt;&gt;"$",$C123,
IF($C123="Anytime - supply","Anytime","TOU"))),4),
0,1)</f>
        <v>0</v>
      </c>
      <c r="K123" s="93">
        <f>IF(ROUND(K88,4)=ROUND(
SUMIFS(OP_Rates_RES_2[United Energy],OP_Rates_RES_2[[Rate name]:[Rate name]],$C123)+
SUMIFS(OP_RatesTU_RES_2[United Energy],OP_RatesTU_RES_2[[Rate name]:[Rate name]],
IF($D123&lt;&gt;"$",$C123,
IF($C123="Anytime - supply","Anytime","TOU"))),4),
0,1)</f>
        <v>0</v>
      </c>
      <c r="M123" s="59" t="s">
        <v>609</v>
      </c>
      <c r="N123" s="59" t="s">
        <v>282</v>
      </c>
      <c r="O123" s="59" t="s">
        <v>93</v>
      </c>
      <c r="Q123" s="93">
        <f>IF(ROUND(Q88,4)=ROUND(
SUMIFS(OP_Rates_SME_2[Ausnet],OP_Rates_SME_2[[Rate name]:[Rate name]],$M123)+
SUMIFS(OP_RatesTU_SME_2[Ausnet],OP_RatesTU_SME_2[[Rate name]:[Rate name]],
IF($N123&lt;&gt;"$",$M123,
IF($M123="Anytime - supply","Anytime","TOU"))),4),
0,1)</f>
        <v>0</v>
      </c>
      <c r="R123" s="93">
        <f>IF(ROUND(R88,4)=ROUND(
SUMIFS(OP_Rates_SME_2[Citipower],OP_Rates_SME_2[[Rate name]:[Rate name]],$M123)+
SUMIFS(OP_RatesTU_SME_2[Citipower],OP_RatesTU_SME_2[[Rate name]:[Rate name]],
IF($N123&lt;&gt;"$",$M123,
IF($M123="Anytime - supply","Anytime","TOU"))),4),
0,1)</f>
        <v>0</v>
      </c>
      <c r="S123" s="93">
        <f>IF(ROUND(S88,4)=ROUND(
SUMIFS(OP_Rates_SME_2[Jemena],OP_Rates_SME_2[[Rate name]:[Rate name]],$M123)+
SUMIFS(OP_RatesTU_SME_2[Jemena],OP_RatesTU_SME_2[[Rate name]:[Rate name]],
IF($N123&lt;&gt;"$",$M123,
IF($M123="Anytime - supply","Anytime","TOU"))),4),
0,1)</f>
        <v>0</v>
      </c>
      <c r="T123" s="93">
        <f>IF(ROUND(T88,4)=ROUND(
SUMIFS(OP_Rates_SME_2[Powercor],OP_Rates_SME_2[[Rate name]:[Rate name]],$M123)+
SUMIFS(OP_RatesTU_SME_2[Powercor],OP_RatesTU_SME_2[[Rate name]:[Rate name]],
IF($N123&lt;&gt;"$",$M123,
IF($M123="Anytime - supply","Anytime","TOU"))),4),
0,1)</f>
        <v>0</v>
      </c>
      <c r="U123" s="93">
        <f>IF(ROUND(U88,4)=ROUND(
SUMIFS(OP_Rates_SME_2[United Energy],OP_Rates_SME_2[[Rate name]:[Rate name]],$M123)+
SUMIFS(OP_RatesTU_SME_2[United Energy],OP_RatesTU_SME_2[[Rate name]:[Rate name]],
IF($N123&lt;&gt;"$",$M123,
IF($M123="Anytime - supply","Anytime","TOU"))),4),
0,1)</f>
        <v>0</v>
      </c>
    </row>
    <row r="124" spans="3:21" ht="15.75" hidden="1" outlineLevel="2" x14ac:dyDescent="0.25">
      <c r="C124" s="59" t="s">
        <v>287</v>
      </c>
      <c r="D124" s="59" t="s">
        <v>282</v>
      </c>
      <c r="E124" s="59" t="s">
        <v>92</v>
      </c>
      <c r="G124" s="93">
        <f>IF(ROUND(G89,4)=ROUND(
SUMIFS(OP_Rates_RES_2[Ausnet],OP_Rates_RES_2[[Rate name]:[Rate name]],$C124)+
SUMIFS(OP_RatesTU_RES_2[Ausnet],OP_RatesTU_RES_2[[Rate name]:[Rate name]],
IF($D124&lt;&gt;"$",$C124,
IF($C124="Anytime - supply","Anytime","TOU"))),4),
0,1)</f>
        <v>0</v>
      </c>
      <c r="H124" s="93">
        <f>IF(ROUND(H89,4)=ROUND(
SUMIFS(OP_Rates_RES_2[Citipower],OP_Rates_RES_2[[Rate name]:[Rate name]],$C124)+
SUMIFS(OP_RatesTU_RES_2[Citipower],OP_RatesTU_RES_2[[Rate name]:[Rate name]],
IF($D124&lt;&gt;"$",$C124,
IF($C124="Anytime - supply","Anytime","TOU"))),4),
0,1)</f>
        <v>0</v>
      </c>
      <c r="I124" s="93">
        <f>IF(ROUND(I89,4)=ROUND(
SUMIFS(OP_Rates_RES_2[Jemena],OP_Rates_RES_2[[Rate name]:[Rate name]],$C124)+
SUMIFS(OP_RatesTU_RES_2[Jemena],OP_RatesTU_RES_2[[Rate name]:[Rate name]],
IF($D124&lt;&gt;"$",$C124,
IF($C124="Anytime - supply","Anytime","TOU"))),4),
0,1)</f>
        <v>0</v>
      </c>
      <c r="J124" s="93">
        <f>IF(ROUND(J89,4)=ROUND(
SUMIFS(OP_Rates_RES_2[Powercor],OP_Rates_RES_2[[Rate name]:[Rate name]],$C124)+
SUMIFS(OP_RatesTU_RES_2[Powercor],OP_RatesTU_RES_2[[Rate name]:[Rate name]],
IF($D124&lt;&gt;"$",$C124,
IF($C124="Anytime - supply","Anytime","TOU"))),4),
0,1)</f>
        <v>0</v>
      </c>
      <c r="K124" s="93">
        <f>IF(ROUND(K89,4)=ROUND(
SUMIFS(OP_Rates_RES_2[United Energy],OP_Rates_RES_2[[Rate name]:[Rate name]],$C124)+
SUMIFS(OP_RatesTU_RES_2[United Energy],OP_RatesTU_RES_2[[Rate name]:[Rate name]],
IF($D124&lt;&gt;"$",$C124,
IF($C124="Anytime - supply","Anytime","TOU"))),4),
0,1)</f>
        <v>0</v>
      </c>
      <c r="M124" s="59"/>
      <c r="N124" s="59"/>
      <c r="O124" s="59"/>
      <c r="Q124" s="93"/>
      <c r="R124" s="93"/>
      <c r="S124" s="93"/>
      <c r="T124" s="93"/>
      <c r="U124" s="93"/>
    </row>
    <row r="125" spans="3:21" hidden="1" outlineLevel="2" x14ac:dyDescent="0.25">
      <c r="P125" s="87"/>
      <c r="Q125" s="87"/>
      <c r="R125" s="87"/>
    </row>
    <row r="126" spans="3:21" ht="15.75" hidden="1" outlineLevel="2" x14ac:dyDescent="0.25">
      <c r="C126" s="29" t="str">
        <f>C$91&amp;" - checks"</f>
        <v>Residential calculated rate - checks</v>
      </c>
      <c r="M126" s="29" t="str">
        <f>M$91&amp;" - checks"</f>
        <v>Small business calculated rate - checks</v>
      </c>
    </row>
    <row r="127" spans="3:21" ht="15.75" hidden="1" outlineLevel="2" x14ac:dyDescent="0.25">
      <c r="C127" s="42" t="s">
        <v>331</v>
      </c>
      <c r="D127" s="42" t="s">
        <v>103</v>
      </c>
      <c r="E127" s="42" t="s">
        <v>91</v>
      </c>
      <c r="G127" s="50" t="s">
        <v>268</v>
      </c>
      <c r="H127" s="50" t="s">
        <v>269</v>
      </c>
      <c r="I127" s="50" t="s">
        <v>270</v>
      </c>
      <c r="J127" s="50" t="s">
        <v>271</v>
      </c>
      <c r="K127" s="50" t="s">
        <v>272</v>
      </c>
      <c r="M127" s="42" t="s">
        <v>331</v>
      </c>
      <c r="N127" s="42" t="s">
        <v>103</v>
      </c>
      <c r="O127" s="42" t="s">
        <v>91</v>
      </c>
      <c r="Q127" s="50" t="s">
        <v>268</v>
      </c>
      <c r="R127" s="50" t="s">
        <v>269</v>
      </c>
      <c r="S127" s="50" t="s">
        <v>270</v>
      </c>
      <c r="T127" s="50" t="s">
        <v>271</v>
      </c>
      <c r="U127" s="50" t="s">
        <v>272</v>
      </c>
    </row>
    <row r="128" spans="3:21" ht="15.75" hidden="1" outlineLevel="2" x14ac:dyDescent="0.25">
      <c r="C128" s="23" t="s">
        <v>550</v>
      </c>
      <c r="D128" s="23" t="s">
        <v>109</v>
      </c>
      <c r="E128" s="23" t="s">
        <v>92</v>
      </c>
      <c r="G128" s="93" cm="1">
        <f t="array" ref="G128">IF(G93="-","-",
IF(ROUND(G93,8)=
ROUND(((
(SUMIFS(Calc_NetworkF_2[Ausnet],Calc_NetworkF_2[[Cost item]:[Cost item]],$C128,Calc_NetworkF_2[[Customer type]:[Customer type]],$E128)+
SUMIFS(Calc_Fixed_2[Ausnet],Calc_Fixed_2[[Customer type]:[Customer type]],"All")+
SUMIFS(Calc_Fixed_2[Ausnet],Calc_Fixed_2[[Customer type]:[Customer type]],$E128))/DiY)*(1+Calc_ROM_2[Ausnet]))*(1+GST),8),0,1))</f>
        <v>0</v>
      </c>
      <c r="H128" s="93" cm="1">
        <f t="array" ref="H128">IF(H93="-","-",
IF(ROUND(H93,8)=
ROUND(((
(SUMIFS(Calc_NetworkF_2[Citipower],Calc_NetworkF_2[[Cost item]:[Cost item]],$C128,Calc_NetworkF_2[[Customer type]:[Customer type]],$E128)+
SUMIFS(Calc_Fixed_2[Citipower],Calc_Fixed_2[[Customer type]:[Customer type]],"All")+
SUMIFS(Calc_Fixed_2[Citipower],Calc_Fixed_2[[Customer type]:[Customer type]],$E128))/DiY)*(1+Calc_ROM_2[Citipower]))*(1+GST),8),0,1))</f>
        <v>0</v>
      </c>
      <c r="I128" s="93" cm="1">
        <f t="array" ref="I128">IF(I93="-","-",
IF(ROUND(I93,8)=
ROUND(((
(SUMIFS(Calc_NetworkF_2[Jemena],Calc_NetworkF_2[[Cost item]:[Cost item]],$C128,Calc_NetworkF_2[[Customer type]:[Customer type]],$E128)+
SUMIFS(Calc_Fixed_2[Jemena],Calc_Fixed_2[[Customer type]:[Customer type]],"All")+
SUMIFS(Calc_Fixed_2[Jemena],Calc_Fixed_2[[Customer type]:[Customer type]],$E128))/DiY)*(1+Calc_ROM_2[Jemena]))*(1+GST),8),0,1))</f>
        <v>0</v>
      </c>
      <c r="J128" s="93" cm="1">
        <f t="array" ref="J128">IF(J93="-","-",
IF(ROUND(J93,8)=
ROUND(((
(SUMIFS(Calc_NetworkF_2[Powercor],Calc_NetworkF_2[[Cost item]:[Cost item]],$C128,Calc_NetworkF_2[[Customer type]:[Customer type]],$E128)+
SUMIFS(Calc_Fixed_2[Powercor],Calc_Fixed_2[[Customer type]:[Customer type]],"All")+
SUMIFS(Calc_Fixed_2[Powercor],Calc_Fixed_2[[Customer type]:[Customer type]],$E128))/DiY)*(1+Calc_ROM_2[Powercor]))*(1+GST),8),0,1))</f>
        <v>0</v>
      </c>
      <c r="K128" s="93" cm="1">
        <f t="array" ref="K128">IF(K93="-","-",
IF(ROUND(K93,8)=
ROUND(((
(SUMIFS(Calc_NetworkF_2[United Energy],Calc_NetworkF_2[[Cost item]:[Cost item]],$C128,Calc_NetworkF_2[[Customer type]:[Customer type]],$E128)+
SUMIFS(Calc_Fixed_2[United Energy],Calc_Fixed_2[[Customer type]:[Customer type]],"All")+
SUMIFS(Calc_Fixed_2[United Energy],Calc_Fixed_2[[Customer type]:[Customer type]],$E128))/DiY)*(1+Calc_ROM_2[United Energy]))*(1+GST),8),0,1))</f>
        <v>0</v>
      </c>
      <c r="M128" s="23" t="s">
        <v>550</v>
      </c>
      <c r="N128" s="23" t="s">
        <v>109</v>
      </c>
      <c r="O128" s="23" t="s">
        <v>93</v>
      </c>
      <c r="Q128" s="93" cm="1">
        <f t="array" ref="Q128">IF(Q93="-","-",
IF(ROUND(Q93,8)=
ROUND((((SUMIFS(Calc_NetworkF_2[Ausnet],Calc_NetworkF_2[[Cost item]:[Cost item]],$M128,Calc_NetworkF_2[[Customer type]:[Customer type]],$O128)+SUMIFS(Calc_Fixed_2[Ausnet],Calc_Fixed_2[[Customer type]:[Customer type]],"All")+SUMIFS(Calc_Fixed_2[Ausnet],Calc_Fixed_2[[Customer type]:[Customer type]],$O128))/DiY)*(1+Calc_ROM_2[Ausnet]))*(1+GST),8),0,1))</f>
        <v>0</v>
      </c>
      <c r="R128" s="93" cm="1">
        <f t="array" ref="R128">IF(R93="-","-",
IF(ROUND(R93,8)=
ROUND((((SUMIFS(Calc_NetworkF_2[Citipower],Calc_NetworkF_2[[Cost item]:[Cost item]],$M128,Calc_NetworkF_2[[Customer type]:[Customer type]],$O128)+SUMIFS(Calc_Fixed_2[Citipower],Calc_Fixed_2[[Customer type]:[Customer type]],"All")+SUMIFS(Calc_Fixed_2[Citipower],Calc_Fixed_2[[Customer type]:[Customer type]],$O128))/DiY)*(1+Calc_ROM_2[Citipower]))*(1+GST),8),0,1))</f>
        <v>0</v>
      </c>
      <c r="S128" s="93" cm="1">
        <f t="array" ref="S128">IF(S93="-","-",
IF(ROUND(S93,8)=
ROUND((((SUMIFS(Calc_NetworkF_2[Jemena],Calc_NetworkF_2[[Cost item]:[Cost item]],$M128,Calc_NetworkF_2[[Customer type]:[Customer type]],$O128)+SUMIFS(Calc_Fixed_2[Jemena],Calc_Fixed_2[[Customer type]:[Customer type]],"All")+SUMIFS(Calc_Fixed_2[Jemena],Calc_Fixed_2[[Customer type]:[Customer type]],$O128))/DiY)*(1+Calc_ROM_2[Jemena]))*(1+GST),8),0,1))</f>
        <v>0</v>
      </c>
      <c r="T128" s="93" cm="1">
        <f t="array" ref="T128">IF(T93="-","-",
IF(ROUND(T93,8)=
ROUND((((SUMIFS(Calc_NetworkF_2[Powercor],Calc_NetworkF_2[[Cost item]:[Cost item]],$M128,Calc_NetworkF_2[[Customer type]:[Customer type]],$O128)+SUMIFS(Calc_Fixed_2[Powercor],Calc_Fixed_2[[Customer type]:[Customer type]],"All")+SUMIFS(Calc_Fixed_2[Powercor],Calc_Fixed_2[[Customer type]:[Customer type]],$O128))/DiY)*(1+Calc_ROM_2[Powercor]))*(1+GST),8),0,1))</f>
        <v>0</v>
      </c>
      <c r="U128" s="93" cm="1">
        <f t="array" ref="U128">IF(U93="-","-",
IF(ROUND(U93,8)=
ROUND((((SUMIFS(Calc_NetworkF_2[United Energy],Calc_NetworkF_2[[Cost item]:[Cost item]],$M128,Calc_NetworkF_2[[Customer type]:[Customer type]],$O128)+SUMIFS(Calc_Fixed_2[United Energy],Calc_Fixed_2[[Customer type]:[Customer type]],"All")+SUMIFS(Calc_Fixed_2[United Energy],Calc_Fixed_2[[Customer type]:[Customer type]],$O128))/DiY)*(1+Calc_ROM_2[United Energy]))*(1+GST),8),0,1))</f>
        <v>0</v>
      </c>
    </row>
    <row r="129" spans="3:21" ht="15.75" hidden="1" outlineLevel="2" x14ac:dyDescent="0.25">
      <c r="C129" s="23" t="s">
        <v>221</v>
      </c>
      <c r="D129" s="23" t="s">
        <v>282</v>
      </c>
      <c r="E129" s="23" t="s">
        <v>92</v>
      </c>
      <c r="G129" s="93" cm="1">
        <f t="array" ref="G129">IF(G94="-","-",
IF(ROUND(G94,8)=ROUND(
((SUMIFS(Calc_Variable_2[Ausnet],Calc_Variable_2[[Customer type]:[Customer type]],"All")+
SUMIFS(Calc_Variable_2[Ausnet],Calc_Variable_2[[Customer type]:[Customer type]],OP_Rates!$E129)+
SUMIFS(Calc_NetworkV_2[Ausnet],Calc_NetworkV_2[[Customer type]:[Customer type]],OP_Rates!$E129,Calc_NetworkV_2[[Cost item]:[Cost item]],OP_Rates!$C129))*(1+Calc_ROM_2[Ausnet]))*(1+GST),8),0,1))</f>
        <v>0</v>
      </c>
      <c r="H129" s="93" t="str" cm="1">
        <f t="array" ref="H129">IF(H94="-","-",
IF(ROUND(H94,8)=ROUND(
((SUMIFS(Calc_Variable_2[Citipower],Calc_Variable_2[[Customer type]:[Customer type]],"All")+
SUMIFS(Calc_Variable_2[Citipower],Calc_Variable_2[[Customer type]:[Customer type]],OP_Rates!$E129)+
SUMIFS(Calc_NetworkV_2[Citipower],Calc_NetworkV_2[[Customer type]:[Customer type]],OP_Rates!$E129,Calc_NetworkV_2[[Cost item]:[Cost item]],OP_Rates!$C129))*(1+Calc_ROM_2[Citipower]))*(1+GST),8),0,1))</f>
        <v>-</v>
      </c>
      <c r="I129" s="93" t="str" cm="1">
        <f t="array" ref="I129">IF(I94="-","-",
IF(ROUND(I94,8)=ROUND(
((SUMIFS(Calc_Variable_2[Jemena],Calc_Variable_2[[Customer type]:[Customer type]],"All")+
SUMIFS(Calc_Variable_2[Jemena],Calc_Variable_2[[Customer type]:[Customer type]],OP_Rates!$E129)+
SUMIFS(Calc_NetworkV_2[Jemena],Calc_NetworkV_2[[Customer type]:[Customer type]],OP_Rates!$E129,Calc_NetworkV_2[[Cost item]:[Cost item]],OP_Rates!$C129))*(1+Calc_ROM_2[Jemena]))*(1+GST),8),0,1))</f>
        <v>-</v>
      </c>
      <c r="J129" s="93" t="str" cm="1">
        <f t="array" ref="J129">IF(J94="-","-",
IF(ROUND(J94,8)=ROUND(
((SUMIFS(Calc_Variable_2[Powercor],Calc_Variable_2[[Customer type]:[Customer type]],"All")+
SUMIFS(Calc_Variable_2[Powercor],Calc_Variable_2[[Customer type]:[Customer type]],OP_Rates!$E129)+
SUMIFS(Calc_NetworkV_2[Powercor],Calc_NetworkV_2[[Customer type]:[Customer type]],OP_Rates!$E129,Calc_NetworkV_2[[Cost item]:[Cost item]],OP_Rates!$C129))*(1+Calc_ROM_2[Powercor]))*(1+GST),8),0,1))</f>
        <v>-</v>
      </c>
      <c r="K129" s="93" t="str" cm="1">
        <f t="array" ref="K129">IF(K94="-","-",
IF(ROUND(K94,8)=ROUND(
((SUMIFS(Calc_Variable_2[United Energy],Calc_Variable_2[[Customer type]:[Customer type]],"All")+
SUMIFS(Calc_Variable_2[United Energy],Calc_Variable_2[[Customer type]:[Customer type]],OP_Rates!$E129)+
SUMIFS(Calc_NetworkV_2[United Energy],Calc_NetworkV_2[[Customer type]:[Customer type]],OP_Rates!$E129,Calc_NetworkV_2[[Cost item]:[Cost item]],OP_Rates!$C129))*(1+Calc_ROM_2[United Energy]))*(1+GST),8),0,1))</f>
        <v>-</v>
      </c>
      <c r="M129" s="23" t="s">
        <v>221</v>
      </c>
      <c r="N129" s="23" t="s">
        <v>282</v>
      </c>
      <c r="O129" s="23" t="s">
        <v>93</v>
      </c>
      <c r="Q129" s="93" cm="1">
        <f t="array" ref="Q129">IF(Q94="-","-",
IF(ROUND(Q94,8)=ROUND(
((SUMIFS(Calc_Variable_2[Ausnet],Calc_Variable_2[[Customer type]:[Customer type]],"All")+SUMIFS(Calc_Variable_2[Ausnet],Calc_Variable_2[[Customer type]:[Customer type]],OP_Rates!$O129)+
SUMIFS(Calc_NetworkV_2[Ausnet],Calc_NetworkV_2[[Customer type]:[Customer type]],OP_Rates!$O129,Calc_NetworkV_2[[Cost item]:[Cost item]],OP_Rates!$M129))*(1+Calc_ROM_2[Ausnet]))*(1+GST),8),0,1))</f>
        <v>0</v>
      </c>
      <c r="R129" s="93" t="str" cm="1">
        <f t="array" ref="R129">IF(R94="-","-",
IF(ROUND(R94,8)=ROUND(
((SUMIFS(Calc_Variable_2[Citipower],Calc_Variable_2[[Customer type]:[Customer type]],"All")+SUMIFS(Calc_Variable_2[Citipower],Calc_Variable_2[[Customer type]:[Customer type]],OP_Rates!$O129)+
SUMIFS(Calc_NetworkV_2[Citipower],Calc_NetworkV_2[[Customer type]:[Customer type]],OP_Rates!$O129,Calc_NetworkV_2[[Cost item]:[Cost item]],OP_Rates!$M129))*(1+Calc_ROM_2[Citipower]))*(1+GST),8),0,1))</f>
        <v>-</v>
      </c>
      <c r="S129" s="93" t="str" cm="1">
        <f t="array" ref="S129">IF(S94="-","-",
IF(ROUND(S94,8)=ROUND(
((SUMIFS(Calc_Variable_2[Jemena],Calc_Variable_2[[Customer type]:[Customer type]],"All")+SUMIFS(Calc_Variable_2[Jemena],Calc_Variable_2[[Customer type]:[Customer type]],OP_Rates!$O129)+
SUMIFS(Calc_NetworkV_2[Jemena],Calc_NetworkV_2[[Customer type]:[Customer type]],OP_Rates!$O129,Calc_NetworkV_2[[Cost item]:[Cost item]],OP_Rates!$M129))*(1+Calc_ROM_2[Jemena]))*(1+GST),8),0,1))</f>
        <v>-</v>
      </c>
      <c r="T129" s="93" t="str" cm="1">
        <f t="array" ref="T129">IF(T94="-","-",
IF(ROUND(T94,8)=ROUND(
((SUMIFS(Calc_Variable_2[Powercor],Calc_Variable_2[[Customer type]:[Customer type]],"All")+SUMIFS(Calc_Variable_2[Powercor],Calc_Variable_2[[Customer type]:[Customer type]],OP_Rates!$O129)+
SUMIFS(Calc_NetworkV_2[Powercor],Calc_NetworkV_2[[Customer type]:[Customer type]],OP_Rates!$O129,Calc_NetworkV_2[[Cost item]:[Cost item]],OP_Rates!$M129))*(1+Calc_ROM_2[Powercor]))*(1+GST),8),0,1))</f>
        <v>-</v>
      </c>
      <c r="U129" s="93" t="str" cm="1">
        <f t="array" ref="U129">IF(U94="-","-",
IF(ROUND(U94,8)=ROUND(
((SUMIFS(Calc_Variable_2[United Energy],Calc_Variable_2[[Customer type]:[Customer type]],"All")+SUMIFS(Calc_Variable_2[United Energy],Calc_Variable_2[[Customer type]:[Customer type]],OP_Rates!$O129)+
SUMIFS(Calc_NetworkV_2[United Energy],Calc_NetworkV_2[[Customer type]:[Customer type]],OP_Rates!$O129,Calc_NetworkV_2[[Cost item]:[Cost item]],OP_Rates!$M129))*(1+Calc_ROM_2[United Energy]))*(1+GST),8),0,1))</f>
        <v>-</v>
      </c>
    </row>
    <row r="130" spans="3:21" ht="15.75" hidden="1" outlineLevel="2" x14ac:dyDescent="0.25">
      <c r="C130" s="23" t="s">
        <v>228</v>
      </c>
      <c r="D130" s="23" t="s">
        <v>282</v>
      </c>
      <c r="E130" s="23" t="s">
        <v>92</v>
      </c>
      <c r="G130" s="93" cm="1">
        <f t="array" ref="G130">IF(G95="-","-",
IF(ROUND(G95,8)=ROUND(
((SUMIFS(Calc_Variable_2[Ausnet],Calc_Variable_2[[Customer type]:[Customer type]],"All")+
SUMIFS(Calc_Variable_2[Ausnet],Calc_Variable_2[[Customer type]:[Customer type]],OP_Rates!$E130)+
SUMIFS(Calc_NetworkV_2[Ausnet],Calc_NetworkV_2[[Customer type]:[Customer type]],OP_Rates!$E130,Calc_NetworkV_2[[Cost item]:[Cost item]],OP_Rates!$C130))*(1+Calc_ROM_2[Ausnet]))*(1+GST),8),0,1))</f>
        <v>0</v>
      </c>
      <c r="H130" s="93" t="str" cm="1">
        <f t="array" ref="H130">IF(H95="-","-",
IF(ROUND(H95,8)=ROUND(
((SUMIFS(Calc_Variable_2[Citipower],Calc_Variable_2[[Customer type]:[Customer type]],"All")+
SUMIFS(Calc_Variable_2[Citipower],Calc_Variable_2[[Customer type]:[Customer type]],OP_Rates!$E130)+
SUMIFS(Calc_NetworkV_2[Citipower],Calc_NetworkV_2[[Customer type]:[Customer type]],OP_Rates!$E130,Calc_NetworkV_2[[Cost item]:[Cost item]],OP_Rates!$C130))*(1+Calc_ROM_2[Citipower]))*(1+GST),8),0,1))</f>
        <v>-</v>
      </c>
      <c r="I130" s="93" t="str" cm="1">
        <f t="array" ref="I130">IF(I95="-","-",
IF(ROUND(I95,8)=ROUND(
((SUMIFS(Calc_Variable_2[Jemena],Calc_Variable_2[[Customer type]:[Customer type]],"All")+
SUMIFS(Calc_Variable_2[Jemena],Calc_Variable_2[[Customer type]:[Customer type]],OP_Rates!$E130)+
SUMIFS(Calc_NetworkV_2[Jemena],Calc_NetworkV_2[[Customer type]:[Customer type]],OP_Rates!$E130,Calc_NetworkV_2[[Cost item]:[Cost item]],OP_Rates!$C130))*(1+Calc_ROM_2[Jemena]))*(1+GST),8),0,1))</f>
        <v>-</v>
      </c>
      <c r="J130" s="93" t="str" cm="1">
        <f t="array" ref="J130">IF(J95="-","-",
IF(ROUND(J95,8)=ROUND(
((SUMIFS(Calc_Variable_2[Powercor],Calc_Variable_2[[Customer type]:[Customer type]],"All")+
SUMIFS(Calc_Variable_2[Powercor],Calc_Variable_2[[Customer type]:[Customer type]],OP_Rates!$E130)+
SUMIFS(Calc_NetworkV_2[Powercor],Calc_NetworkV_2[[Customer type]:[Customer type]],OP_Rates!$E130,Calc_NetworkV_2[[Cost item]:[Cost item]],OP_Rates!$C130))*(1+Calc_ROM_2[Powercor]))*(1+GST),8),0,1))</f>
        <v>-</v>
      </c>
      <c r="K130" s="93" t="str" cm="1">
        <f t="array" ref="K130">IF(K95="-","-",
IF(ROUND(K95,8)=ROUND(
((SUMIFS(Calc_Variable_2[United Energy],Calc_Variable_2[[Customer type]:[Customer type]],"All")+
SUMIFS(Calc_Variable_2[United Energy],Calc_Variable_2[[Customer type]:[Customer type]],OP_Rates!$E130)+
SUMIFS(Calc_NetworkV_2[United Energy],Calc_NetworkV_2[[Customer type]:[Customer type]],OP_Rates!$E130,Calc_NetworkV_2[[Cost item]:[Cost item]],OP_Rates!$C130))*(1+Calc_ROM_2[United Energy]))*(1+GST),8),0,1))</f>
        <v>-</v>
      </c>
      <c r="M130" s="23" t="s">
        <v>228</v>
      </c>
      <c r="N130" s="23" t="s">
        <v>282</v>
      </c>
      <c r="O130" s="23" t="s">
        <v>93</v>
      </c>
      <c r="Q130" s="93" cm="1">
        <f t="array" ref="Q130">IF(Q95="-","-",
IF(ROUND(Q95,8)=ROUND(
((SUMIFS(Calc_Variable_2[Ausnet],Calc_Variable_2[[Customer type]:[Customer type]],"All")+SUMIFS(Calc_Variable_2[Ausnet],Calc_Variable_2[[Customer type]:[Customer type]],OP_Rates!$O130)+
SUMIFS(Calc_NetworkV_2[Ausnet],Calc_NetworkV_2[[Customer type]:[Customer type]],OP_Rates!$O130,Calc_NetworkV_2[[Cost item]:[Cost item]],OP_Rates!$M130))*(1+Calc_ROM_2[Ausnet]))*(1+GST),8),0,1))</f>
        <v>0</v>
      </c>
      <c r="R130" s="93" t="str" cm="1">
        <f t="array" ref="R130">IF(R95="-","-",
IF(ROUND(R95,8)=ROUND(
((SUMIFS(Calc_Variable_2[Citipower],Calc_Variable_2[[Customer type]:[Customer type]],"All")+SUMIFS(Calc_Variable_2[Citipower],Calc_Variable_2[[Customer type]:[Customer type]],OP_Rates!$O130)+
SUMIFS(Calc_NetworkV_2[Citipower],Calc_NetworkV_2[[Customer type]:[Customer type]],OP_Rates!$O130,Calc_NetworkV_2[[Cost item]:[Cost item]],OP_Rates!$M130))*(1+Calc_ROM_2[Citipower]))*(1+GST),8),0,1))</f>
        <v>-</v>
      </c>
      <c r="S130" s="93" t="str" cm="1">
        <f t="array" ref="S130">IF(S95="-","-",
IF(ROUND(S95,8)=ROUND(
((SUMIFS(Calc_Variable_2[Jemena],Calc_Variable_2[[Customer type]:[Customer type]],"All")+SUMIFS(Calc_Variable_2[Jemena],Calc_Variable_2[[Customer type]:[Customer type]],OP_Rates!$O130)+
SUMIFS(Calc_NetworkV_2[Jemena],Calc_NetworkV_2[[Customer type]:[Customer type]],OP_Rates!$O130,Calc_NetworkV_2[[Cost item]:[Cost item]],OP_Rates!$M130))*(1+Calc_ROM_2[Jemena]))*(1+GST),8),0,1))</f>
        <v>-</v>
      </c>
      <c r="T130" s="93" t="str" cm="1">
        <f t="array" ref="T130">IF(T95="-","-",
IF(ROUND(T95,8)=ROUND(
((SUMIFS(Calc_Variable_2[Powercor],Calc_Variable_2[[Customer type]:[Customer type]],"All")+SUMIFS(Calc_Variable_2[Powercor],Calc_Variable_2[[Customer type]:[Customer type]],OP_Rates!$O130)+
SUMIFS(Calc_NetworkV_2[Powercor],Calc_NetworkV_2[[Customer type]:[Customer type]],OP_Rates!$O130,Calc_NetworkV_2[[Cost item]:[Cost item]],OP_Rates!$M130))*(1+Calc_ROM_2[Powercor]))*(1+GST),8),0,1))</f>
        <v>-</v>
      </c>
      <c r="U130" s="93" t="str" cm="1">
        <f t="array" ref="U130">IF(U95="-","-",
IF(ROUND(U95,8)=ROUND(
((SUMIFS(Calc_Variable_2[United Energy],Calc_Variable_2[[Customer type]:[Customer type]],"All")+SUMIFS(Calc_Variable_2[United Energy],Calc_Variable_2[[Customer type]:[Customer type]],OP_Rates!$O130)+
SUMIFS(Calc_NetworkV_2[United Energy],Calc_NetworkV_2[[Customer type]:[Customer type]],OP_Rates!$O130,Calc_NetworkV_2[[Cost item]:[Cost item]],OP_Rates!$M130))*(1+Calc_ROM_2[United Energy]))*(1+GST),8),0,1))</f>
        <v>-</v>
      </c>
    </row>
    <row r="131" spans="3:21" ht="15.75" hidden="1" outlineLevel="2" x14ac:dyDescent="0.25">
      <c r="C131" s="23" t="s">
        <v>549</v>
      </c>
      <c r="D131" s="23" t="s">
        <v>282</v>
      </c>
      <c r="E131" s="23" t="s">
        <v>92</v>
      </c>
      <c r="G131" s="93" t="str" cm="1">
        <f t="array" ref="G131">IF(G96="-","-",
IF(ROUND(G96,8)=ROUND(
((SUMIFS(Calc_Variable_2[Ausnet],Calc_Variable_2[[Customer type]:[Customer type]],"All")+
SUMIFS(Calc_Variable_2[Ausnet],Calc_Variable_2[[Customer type]:[Customer type]],OP_Rates!$E131)+
SUMIFS(Calc_NetworkV_2[Ausnet],Calc_NetworkV_2[[Customer type]:[Customer type]],OP_Rates!$E131,Calc_NetworkV_2[[Cost item]:[Cost item]],OP_Rates!$C131))*(1+Calc_ROM_2[Ausnet]))*(1+GST),8),0,1))</f>
        <v>-</v>
      </c>
      <c r="H131" s="93" cm="1">
        <f t="array" ref="H131">IF(H96="-","-",
IF(ROUND(H96,8)=ROUND(
((SUMIFS(Calc_Variable_2[Citipower],Calc_Variable_2[[Customer type]:[Customer type]],"All")+
SUMIFS(Calc_Variable_2[Citipower],Calc_Variable_2[[Customer type]:[Customer type]],OP_Rates!$E131)+
SUMIFS(Calc_NetworkV_2[Citipower],Calc_NetworkV_2[[Customer type]:[Customer type]],OP_Rates!$E131,Calc_NetworkV_2[[Cost item]:[Cost item]],OP_Rates!$C131))*(1+Calc_ROM_2[Citipower]))*(1+GST),8),0,1))</f>
        <v>0</v>
      </c>
      <c r="I131" s="93" cm="1">
        <f t="array" ref="I131">IF(I96="-","-",
IF(ROUND(I96,8)=ROUND(
((SUMIFS(Calc_Variable_2[Jemena],Calc_Variable_2[[Customer type]:[Customer type]],"All")+
SUMIFS(Calc_Variable_2[Jemena],Calc_Variable_2[[Customer type]:[Customer type]],OP_Rates!$E131)+
SUMIFS(Calc_NetworkV_2[Jemena],Calc_NetworkV_2[[Customer type]:[Customer type]],OP_Rates!$E131,Calc_NetworkV_2[[Cost item]:[Cost item]],OP_Rates!$C131))*(1+Calc_ROM_2[Jemena]))*(1+GST),8),0,1))</f>
        <v>0</v>
      </c>
      <c r="J131" s="93" cm="1">
        <f t="array" ref="J131">IF(J96="-","-",
IF(ROUND(J96,8)=ROUND(
((SUMIFS(Calc_Variable_2[Powercor],Calc_Variable_2[[Customer type]:[Customer type]],"All")+
SUMIFS(Calc_Variable_2[Powercor],Calc_Variable_2[[Customer type]:[Customer type]],OP_Rates!$E131)+
SUMIFS(Calc_NetworkV_2[Powercor],Calc_NetworkV_2[[Customer type]:[Customer type]],OP_Rates!$E131,Calc_NetworkV_2[[Cost item]:[Cost item]],OP_Rates!$C131))*(1+Calc_ROM_2[Powercor]))*(1+GST),8),0,1))</f>
        <v>0</v>
      </c>
      <c r="K131" s="93" cm="1">
        <f t="array" ref="K131">IF(K96="-","-",
IF(ROUND(K96,8)=ROUND(
((SUMIFS(Calc_Variable_2[United Energy],Calc_Variable_2[[Customer type]:[Customer type]],"All")+
SUMIFS(Calc_Variable_2[United Energy],Calc_Variable_2[[Customer type]:[Customer type]],OP_Rates!$E131)+
SUMIFS(Calc_NetworkV_2[United Energy],Calc_NetworkV_2[[Customer type]:[Customer type]],OP_Rates!$E131,Calc_NetworkV_2[[Cost item]:[Cost item]],OP_Rates!$C131))*(1+Calc_ROM_2[United Energy]))*(1+GST),8),0,1))</f>
        <v>0</v>
      </c>
      <c r="M131" s="23" t="s">
        <v>549</v>
      </c>
      <c r="N131" s="23" t="s">
        <v>282</v>
      </c>
      <c r="O131" s="23" t="s">
        <v>93</v>
      </c>
      <c r="Q131" s="93" t="str" cm="1">
        <f t="array" ref="Q131">IF(Q96="-","-",
IF(ROUND(Q96,8)=ROUND(
((SUMIFS(Calc_Variable_2[Ausnet],Calc_Variable_2[[Customer type]:[Customer type]],"All")+SUMIFS(Calc_Variable_2[Ausnet],Calc_Variable_2[[Customer type]:[Customer type]],OP_Rates!$O131)+
SUMIFS(Calc_NetworkV_2[Ausnet],Calc_NetworkV_2[[Customer type]:[Customer type]],OP_Rates!$O131,Calc_NetworkV_2[[Cost item]:[Cost item]],OP_Rates!$M131))*(1+Calc_ROM_2[Ausnet]))*(1+GST),8),0,1))</f>
        <v>-</v>
      </c>
      <c r="R131" s="93" cm="1">
        <f t="array" ref="R131">IF(R96="-","-",
IF(ROUND(R96,8)=ROUND(
((SUMIFS(Calc_Variable_2[Citipower],Calc_Variable_2[[Customer type]:[Customer type]],"All")+SUMIFS(Calc_Variable_2[Citipower],Calc_Variable_2[[Customer type]:[Customer type]],OP_Rates!$O131)+
SUMIFS(Calc_NetworkV_2[Citipower],Calc_NetworkV_2[[Customer type]:[Customer type]],OP_Rates!$O131,Calc_NetworkV_2[[Cost item]:[Cost item]],OP_Rates!$M131))*(1+Calc_ROM_2[Citipower]))*(1+GST),8),0,1))</f>
        <v>0</v>
      </c>
      <c r="S131" s="93" cm="1">
        <f t="array" ref="S131">IF(S96="-","-",
IF(ROUND(S96,8)=ROUND(
((SUMIFS(Calc_Variable_2[Jemena],Calc_Variable_2[[Customer type]:[Customer type]],"All")+SUMIFS(Calc_Variable_2[Jemena],Calc_Variable_2[[Customer type]:[Customer type]],OP_Rates!$O131)+
SUMIFS(Calc_NetworkV_2[Jemena],Calc_NetworkV_2[[Customer type]:[Customer type]],OP_Rates!$O131,Calc_NetworkV_2[[Cost item]:[Cost item]],OP_Rates!$M131))*(1+Calc_ROM_2[Jemena]))*(1+GST),8),0,1))</f>
        <v>0</v>
      </c>
      <c r="T131" s="93" cm="1">
        <f t="array" ref="T131">IF(T96="-","-",
IF(ROUND(T96,8)=ROUND(
((SUMIFS(Calc_Variable_2[Powercor],Calc_Variable_2[[Customer type]:[Customer type]],"All")+SUMIFS(Calc_Variable_2[Powercor],Calc_Variable_2[[Customer type]:[Customer type]],OP_Rates!$O131)+
SUMIFS(Calc_NetworkV_2[Powercor],Calc_NetworkV_2[[Customer type]:[Customer type]],OP_Rates!$O131,Calc_NetworkV_2[[Cost item]:[Cost item]],OP_Rates!$M131))*(1+Calc_ROM_2[Powercor]))*(1+GST),8),0,1))</f>
        <v>0</v>
      </c>
      <c r="U131" s="93" cm="1">
        <f t="array" ref="U131">IF(U96="-","-",
IF(ROUND(U96,8)=ROUND(
((SUMIFS(Calc_Variable_2[United Energy],Calc_Variable_2[[Customer type]:[Customer type]],"All")+SUMIFS(Calc_Variable_2[United Energy],Calc_Variable_2[[Customer type]:[Customer type]],OP_Rates!$O131)+
SUMIFS(Calc_NetworkV_2[United Energy],Calc_NetworkV_2[[Customer type]:[Customer type]],OP_Rates!$O131,Calc_NetworkV_2[[Cost item]:[Cost item]],OP_Rates!$M131))*(1+Calc_ROM_2[United Energy]))*(1+GST),8),0,1))</f>
        <v>0</v>
      </c>
    </row>
    <row r="132" spans="3:21" ht="15.75" hidden="1" outlineLevel="2" x14ac:dyDescent="0.25">
      <c r="C132" s="23" t="s">
        <v>551</v>
      </c>
      <c r="D132" s="23" t="s">
        <v>109</v>
      </c>
      <c r="E132" s="23" t="s">
        <v>92</v>
      </c>
      <c r="G132" s="93" cm="1">
        <f t="array" ref="G132">IF(G97="-","-",
IF(ROUND(G97,8)=
ROUND((((SUMIFS(Calc_NetworkF_2[Ausnet],Calc_NetworkF_2[[Cost item]:[Cost item]],$C132,Calc_NetworkF_2[[Customer type]:[Customer type]],$E132)+SUMIFS(Calc_Fixed_2[Ausnet],Calc_Fixed_2[[Customer type]:[Customer type]],"All")+SUMIFS(Calc_Fixed_2[Ausnet],Calc_Fixed_2[[Customer type]:[Customer type]],$E132))/DiY)*(1+Calc_ROM_2[Ausnet]))*(1+GST),8),0,1))</f>
        <v>0</v>
      </c>
      <c r="H132" s="93" cm="1">
        <f t="array" ref="H132">IF(H97="-","-",
IF(ROUND(H97,8)=
ROUND((((SUMIFS(Calc_NetworkF_2[Citipower],Calc_NetworkF_2[[Cost item]:[Cost item]],$C132,Calc_NetworkF_2[[Customer type]:[Customer type]],$E132)+SUMIFS(Calc_Fixed_2[Citipower],Calc_Fixed_2[[Customer type]:[Customer type]],"All")+SUMIFS(Calc_Fixed_2[Citipower],Calc_Fixed_2[[Customer type]:[Customer type]],$E132))/DiY)*(1+Calc_ROM_2[Citipower]))*(1+GST),8),0,1))</f>
        <v>0</v>
      </c>
      <c r="I132" s="93" cm="1">
        <f t="array" ref="I132">IF(I97="-","-",
IF(ROUND(I97,8)=
ROUND((((SUMIFS(Calc_NetworkF_2[Jemena],Calc_NetworkF_2[[Cost item]:[Cost item]],$C132,Calc_NetworkF_2[[Customer type]:[Customer type]],$E132)+SUMIFS(Calc_Fixed_2[Jemena],Calc_Fixed_2[[Customer type]:[Customer type]],"All")+SUMIFS(Calc_Fixed_2[Jemena],Calc_Fixed_2[[Customer type]:[Customer type]],$E132))/DiY)*(1+Calc_ROM_2[Jemena]))*(1+GST),8),0,1))</f>
        <v>0</v>
      </c>
      <c r="J132" s="93" cm="1">
        <f t="array" ref="J132">IF(J97="-","-",
IF(ROUND(J97,8)=
ROUND((((SUMIFS(Calc_NetworkF_2[Powercor],Calc_NetworkF_2[[Cost item]:[Cost item]],$C132,Calc_NetworkF_2[[Customer type]:[Customer type]],$E132)+SUMIFS(Calc_Fixed_2[Powercor],Calc_Fixed_2[[Customer type]:[Customer type]],"All")+SUMIFS(Calc_Fixed_2[Powercor],Calc_Fixed_2[[Customer type]:[Customer type]],$E132))/DiY)*(1+Calc_ROM_2[Powercor]))*(1+GST),8),0,1))</f>
        <v>0</v>
      </c>
      <c r="K132" s="93" cm="1">
        <f t="array" ref="K132">IF(K97="-","-",
IF(ROUND(K97,8)=
ROUND((((SUMIFS(Calc_NetworkF_2[United Energy],Calc_NetworkF_2[[Cost item]:[Cost item]],$C132,Calc_NetworkF_2[[Customer type]:[Customer type]],$E132)+SUMIFS(Calc_Fixed_2[United Energy],Calc_Fixed_2[[Customer type]:[Customer type]],"All")+SUMIFS(Calc_Fixed_2[United Energy],Calc_Fixed_2[[Customer type]:[Customer type]],$E132))/DiY)*(1+Calc_ROM_2[United Energy]))*(1+GST),8),0,1))</f>
        <v>0</v>
      </c>
      <c r="M132" s="23" t="s">
        <v>551</v>
      </c>
      <c r="N132" s="23" t="s">
        <v>109</v>
      </c>
      <c r="O132" s="23" t="s">
        <v>93</v>
      </c>
      <c r="Q132" s="93" cm="1">
        <f t="array" ref="Q132">IF(Q97="-","-",
IF(ROUND(Q97,8)=
ROUND((((SUMIFS(Calc_NetworkF_2[Ausnet],Calc_NetworkF_2[[Cost item]:[Cost item]],$M132,Calc_NetworkF_2[[Customer type]:[Customer type]],$O132)+SUMIFS(Calc_Fixed_2[Ausnet],Calc_Fixed_2[[Customer type]:[Customer type]],"All")+SUMIFS(Calc_Fixed_2[Ausnet],Calc_Fixed_2[[Customer type]:[Customer type]],$O132))/DiY)*(1+Calc_ROM_2[Ausnet]))*(1+GST),8),0,1))</f>
        <v>0</v>
      </c>
      <c r="R132" s="93" cm="1">
        <f t="array" ref="R132">IF(R97="-","-",
IF(ROUND(R97,8)=
ROUND((((SUMIFS(Calc_NetworkF_2[Citipower],Calc_NetworkF_2[[Cost item]:[Cost item]],$M132,Calc_NetworkF_2[[Customer type]:[Customer type]],$O132)+SUMIFS(Calc_Fixed_2[Citipower],Calc_Fixed_2[[Customer type]:[Customer type]],"All")+SUMIFS(Calc_Fixed_2[Citipower],Calc_Fixed_2[[Customer type]:[Customer type]],$O132))/DiY)*(1+Calc_ROM_2[Citipower]))*(1+GST),8),0,1))</f>
        <v>0</v>
      </c>
      <c r="S132" s="93" cm="1">
        <f t="array" ref="S132">IF(S97="-","-",
IF(ROUND(S97,8)=
ROUND((((SUMIFS(Calc_NetworkF_2[Jemena],Calc_NetworkF_2[[Cost item]:[Cost item]],$M132,Calc_NetworkF_2[[Customer type]:[Customer type]],$O132)+SUMIFS(Calc_Fixed_2[Jemena],Calc_Fixed_2[[Customer type]:[Customer type]],"All")+SUMIFS(Calc_Fixed_2[Jemena],Calc_Fixed_2[[Customer type]:[Customer type]],$O132))/DiY)*(1+Calc_ROM_2[Jemena]))*(1+GST),8),0,1))</f>
        <v>0</v>
      </c>
      <c r="T132" s="93" cm="1">
        <f t="array" ref="T132">IF(T97="-","-",
IF(ROUND(T97,8)=
ROUND((((SUMIFS(Calc_NetworkF_2[Powercor],Calc_NetworkF_2[[Cost item]:[Cost item]],$M132,Calc_NetworkF_2[[Customer type]:[Customer type]],$O132)+SUMIFS(Calc_Fixed_2[Powercor],Calc_Fixed_2[[Customer type]:[Customer type]],"All")+SUMIFS(Calc_Fixed_2[Powercor],Calc_Fixed_2[[Customer type]:[Customer type]],$O132))/DiY)*(1+Calc_ROM_2[Powercor]))*(1+GST),8),0,1))</f>
        <v>0</v>
      </c>
      <c r="U132" s="93" cm="1">
        <f t="array" ref="U132">IF(U97="-","-",
IF(ROUND(U97,8)=
ROUND((((SUMIFS(Calc_NetworkF_2[United Energy],Calc_NetworkF_2[[Cost item]:[Cost item]],$M132,Calc_NetworkF_2[[Customer type]:[Customer type]],$O132)+SUMIFS(Calc_Fixed_2[United Energy],Calc_Fixed_2[[Customer type]:[Customer type]],"All")+SUMIFS(Calc_Fixed_2[United Energy],Calc_Fixed_2[[Customer type]:[Customer type]],$O132))/DiY)*(1+Calc_ROM_2[United Energy]))*(1+GST),8),0,1))</f>
        <v>0</v>
      </c>
    </row>
    <row r="133" spans="3:21" ht="15.75" hidden="1" outlineLevel="2" x14ac:dyDescent="0.25">
      <c r="C133" s="23" t="s">
        <v>230</v>
      </c>
      <c r="D133" s="23" t="s">
        <v>282</v>
      </c>
      <c r="E133" s="23" t="s">
        <v>92</v>
      </c>
      <c r="G133" s="93" cm="1">
        <f t="array" ref="G133">IF(G98="-","-",
IF(ROUND(G98,8)=ROUND(
((SUMIFS(Calc_Variable_2[Ausnet],Calc_Variable_2[[Customer type]:[Customer type]],"All")+
SUMIFS(Calc_Variable_2[Ausnet],Calc_Variable_2[[Customer type]:[Customer type]],OP_Rates!$E133)+
SUMIFS(Calc_NetworkV_2[Ausnet],Calc_NetworkV_2[[Customer type]:[Customer type]],OP_Rates!$E133,Calc_NetworkV_2[[Cost item]:[Cost item]],OP_Rates!$C133))*(1+Calc_ROM_2[Ausnet]))*(1+GST),8),0,1))</f>
        <v>0</v>
      </c>
      <c r="H133" s="93" cm="1">
        <f t="array" ref="H133">IF(H98="-","-",
IF(ROUND(H98,8)=ROUND(
((SUMIFS(Calc_Variable_2[Citipower],Calc_Variable_2[[Customer type]:[Customer type]],"All")+
SUMIFS(Calc_Variable_2[Citipower],Calc_Variable_2[[Customer type]:[Customer type]],OP_Rates!$E133)+
SUMIFS(Calc_NetworkV_2[Citipower],Calc_NetworkV_2[[Customer type]:[Customer type]],OP_Rates!$E133,Calc_NetworkV_2[[Cost item]:[Cost item]],OP_Rates!$C133))*(1+Calc_ROM_2[Citipower]))*(1+GST),8),0,1))</f>
        <v>0</v>
      </c>
      <c r="I133" s="93" cm="1">
        <f t="array" ref="I133">IF(I98="-","-",
IF(ROUND(I98,8)=ROUND(
((SUMIFS(Calc_Variable_2[Jemena],Calc_Variable_2[[Customer type]:[Customer type]],"All")+
SUMIFS(Calc_Variable_2[Jemena],Calc_Variable_2[[Customer type]:[Customer type]],OP_Rates!$E133)+
SUMIFS(Calc_NetworkV_2[Jemena],Calc_NetworkV_2[[Customer type]:[Customer type]],OP_Rates!$E133,Calc_NetworkV_2[[Cost item]:[Cost item]],OP_Rates!$C133))*(1+Calc_ROM_2[Jemena]))*(1+GST),8),0,1))</f>
        <v>0</v>
      </c>
      <c r="J133" s="93" cm="1">
        <f t="array" ref="J133">IF(J98="-","-",
IF(ROUND(J98,8)=ROUND(
((SUMIFS(Calc_Variable_2[Powercor],Calc_Variable_2[[Customer type]:[Customer type]],"All")+
SUMIFS(Calc_Variable_2[Powercor],Calc_Variable_2[[Customer type]:[Customer type]],OP_Rates!$E133)+
SUMIFS(Calc_NetworkV_2[Powercor],Calc_NetworkV_2[[Customer type]:[Customer type]],OP_Rates!$E133,Calc_NetworkV_2[[Cost item]:[Cost item]],OP_Rates!$C133))*(1+Calc_ROM_2[Powercor]))*(1+GST),8),0,1))</f>
        <v>0</v>
      </c>
      <c r="K133" s="93" cm="1">
        <f t="array" ref="K133">IF(K98="-","-",
IF(ROUND(K98,8)=ROUND(
((SUMIFS(Calc_Variable_2[United Energy],Calc_Variable_2[[Customer type]:[Customer type]],"All")+
SUMIFS(Calc_Variable_2[United Energy],Calc_Variable_2[[Customer type]:[Customer type]],OP_Rates!$E133)+
SUMIFS(Calc_NetworkV_2[United Energy],Calc_NetworkV_2[[Customer type]:[Customer type]],OP_Rates!$E133,Calc_NetworkV_2[[Cost item]:[Cost item]],OP_Rates!$C133))*(1+Calc_ROM_2[United Energy]))*(1+GST),8),0,1))</f>
        <v>0</v>
      </c>
      <c r="M133" s="23" t="s">
        <v>230</v>
      </c>
      <c r="N133" s="23" t="s">
        <v>282</v>
      </c>
      <c r="O133" s="23" t="s">
        <v>93</v>
      </c>
      <c r="Q133" s="93" cm="1">
        <f t="array" ref="Q133">IF(Q98="-","-",
IF(ROUND(Q98,8)=ROUND(
((SUMIFS(Calc_Variable_2[Ausnet],Calc_Variable_2[[Customer type]:[Customer type]],"All")+SUMIFS(Calc_Variable_2[Ausnet],Calc_Variable_2[[Customer type]:[Customer type]],OP_Rates!$O133)+
SUMIFS(Calc_NetworkV_2[Ausnet],Calc_NetworkV_2[[Customer type]:[Customer type]],OP_Rates!$O133,Calc_NetworkV_2[[Cost item]:[Cost item]],OP_Rates!$M133))*(1+Calc_ROM_2[Ausnet]))*(1+GST),8),0,1))</f>
        <v>0</v>
      </c>
      <c r="R133" s="93" cm="1">
        <f t="array" ref="R133">IF(R98="-","-",
IF(ROUND(R98,8)=ROUND(
((SUMIFS(Calc_Variable_2[Citipower],Calc_Variable_2[[Customer type]:[Customer type]],"All")+SUMIFS(Calc_Variable_2[Citipower],Calc_Variable_2[[Customer type]:[Customer type]],OP_Rates!$O133)+
SUMIFS(Calc_NetworkV_2[Citipower],Calc_NetworkV_2[[Customer type]:[Customer type]],OP_Rates!$O133,Calc_NetworkV_2[[Cost item]:[Cost item]],OP_Rates!$M133))*(1+Calc_ROM_2[Citipower]))*(1+GST),8),0,1))</f>
        <v>0</v>
      </c>
      <c r="S133" s="93" cm="1">
        <f t="array" ref="S133">IF(S98="-","-",
IF(ROUND(S98,8)=ROUND(
((SUMIFS(Calc_Variable_2[Jemena],Calc_Variable_2[[Customer type]:[Customer type]],"All")+SUMIFS(Calc_Variable_2[Jemena],Calc_Variable_2[[Customer type]:[Customer type]],OP_Rates!$O133)+
SUMIFS(Calc_NetworkV_2[Jemena],Calc_NetworkV_2[[Customer type]:[Customer type]],OP_Rates!$O133,Calc_NetworkV_2[[Cost item]:[Cost item]],OP_Rates!$M133))*(1+Calc_ROM_2[Jemena]))*(1+GST),8),0,1))</f>
        <v>0</v>
      </c>
      <c r="T133" s="93" cm="1">
        <f t="array" ref="T133">IF(T98="-","-",
IF(ROUND(T98,8)=ROUND(
((SUMIFS(Calc_Variable_2[Powercor],Calc_Variable_2[[Customer type]:[Customer type]],"All")+SUMIFS(Calc_Variable_2[Powercor],Calc_Variable_2[[Customer type]:[Customer type]],OP_Rates!$O133)+
SUMIFS(Calc_NetworkV_2[Powercor],Calc_NetworkV_2[[Customer type]:[Customer type]],OP_Rates!$O133,Calc_NetworkV_2[[Cost item]:[Cost item]],OP_Rates!$M133))*(1+Calc_ROM_2[Powercor]))*(1+GST),8),0,1))</f>
        <v>0</v>
      </c>
      <c r="U133" s="93" cm="1">
        <f t="array" ref="U133">IF(U98="-","-",
IF(ROUND(U98,8)=ROUND(
((SUMIFS(Calc_Variable_2[United Energy],Calc_Variable_2[[Customer type]:[Customer type]],"All")+SUMIFS(Calc_Variable_2[United Energy],Calc_Variable_2[[Customer type]:[Customer type]],OP_Rates!$O133)+
SUMIFS(Calc_NetworkV_2[United Energy],Calc_NetworkV_2[[Customer type]:[Customer type]],OP_Rates!$O133,Calc_NetworkV_2[[Cost item]:[Cost item]],OP_Rates!$M133))*(1+Calc_ROM_2[United Energy]))*(1+GST),8),0,1))</f>
        <v>0</v>
      </c>
    </row>
    <row r="134" spans="3:21" ht="15.75" hidden="1" outlineLevel="2" x14ac:dyDescent="0.25">
      <c r="C134" s="23" t="s">
        <v>609</v>
      </c>
      <c r="D134" s="23" t="s">
        <v>282</v>
      </c>
      <c r="E134" s="23" t="s">
        <v>92</v>
      </c>
      <c r="G134" s="93" cm="1">
        <f t="array" ref="G134">IF(G99="-","-",
IF(ROUND(G99,8)=ROUND(
((SUMIFS(Calc_Variable_2[Ausnet],Calc_Variable_2[[Customer type]:[Customer type]],"All")+
SUMIFS(Calc_Variable_2[Ausnet],Calc_Variable_2[[Customer type]:[Customer type]],OP_Rates!$E134)+
SUMIFS(Calc_NetworkV_2[Ausnet],Calc_NetworkV_2[[Customer type]:[Customer type]],OP_Rates!$E134,Calc_NetworkV_2[[Cost item]:[Cost item]],OP_Rates!$C134))*(1+Calc_ROM_2[Ausnet]))*(1+GST),8),0,1))</f>
        <v>0</v>
      </c>
      <c r="H134" s="93" cm="1">
        <f t="array" ref="H134">IF(H99="-","-",
IF(ROUND(H99,8)=ROUND(
((SUMIFS(Calc_Variable_2[Citipower],Calc_Variable_2[[Customer type]:[Customer type]],"All")+
SUMIFS(Calc_Variable_2[Citipower],Calc_Variable_2[[Customer type]:[Customer type]],OP_Rates!$E134)+
SUMIFS(Calc_NetworkV_2[Citipower],Calc_NetworkV_2[[Customer type]:[Customer type]],OP_Rates!$E134,Calc_NetworkV_2[[Cost item]:[Cost item]],OP_Rates!$C134))*(1+Calc_ROM_2[Citipower]))*(1+GST),8),0,1))</f>
        <v>0</v>
      </c>
      <c r="I134" s="93" cm="1">
        <f t="array" ref="I134">IF(I99="-","-",
IF(ROUND(I99,8)=ROUND(
((SUMIFS(Calc_Variable_2[Jemena],Calc_Variable_2[[Customer type]:[Customer type]],"All")+
SUMIFS(Calc_Variable_2[Jemena],Calc_Variable_2[[Customer type]:[Customer type]],OP_Rates!$E134)+
SUMIFS(Calc_NetworkV_2[Jemena],Calc_NetworkV_2[[Customer type]:[Customer type]],OP_Rates!$E134,Calc_NetworkV_2[[Cost item]:[Cost item]],OP_Rates!$C134))*(1+Calc_ROM_2[Jemena]))*(1+GST),8),0,1))</f>
        <v>0</v>
      </c>
      <c r="J134" s="93" cm="1">
        <f t="array" ref="J134">IF(J99="-","-",
IF(ROUND(J99,8)=ROUND(
((SUMIFS(Calc_Variable_2[Powercor],Calc_Variable_2[[Customer type]:[Customer type]],"All")+
SUMIFS(Calc_Variable_2[Powercor],Calc_Variable_2[[Customer type]:[Customer type]],OP_Rates!$E134)+
SUMIFS(Calc_NetworkV_2[Powercor],Calc_NetworkV_2[[Customer type]:[Customer type]],OP_Rates!$E134,Calc_NetworkV_2[[Cost item]:[Cost item]],OP_Rates!$C134))*(1+Calc_ROM_2[Powercor]))*(1+GST),8),0,1))</f>
        <v>0</v>
      </c>
      <c r="K134" s="93" cm="1">
        <f t="array" ref="K134">IF(K99="-","-",
IF(ROUND(K99,8)=ROUND(
((SUMIFS(Calc_Variable_2[United Energy],Calc_Variable_2[[Customer type]:[Customer type]],"All")+
SUMIFS(Calc_Variable_2[United Energy],Calc_Variable_2[[Customer type]:[Customer type]],OP_Rates!$E134)+
SUMIFS(Calc_NetworkV_2[United Energy],Calc_NetworkV_2[[Customer type]:[Customer type]],OP_Rates!$E134,Calc_NetworkV_2[[Cost item]:[Cost item]],OP_Rates!$C134))*(1+Calc_ROM_2[United Energy]))*(1+GST),8),0,1))</f>
        <v>0</v>
      </c>
      <c r="M134" s="23" t="s">
        <v>609</v>
      </c>
      <c r="N134" s="23" t="s">
        <v>282</v>
      </c>
      <c r="O134" s="23" t="s">
        <v>93</v>
      </c>
      <c r="Q134" s="93" cm="1">
        <f t="array" ref="Q134">IF(Q99="-","-",
IF(ROUND(Q99,8)=ROUND(
((SUMIFS(Calc_Variable_2[Ausnet],Calc_Variable_2[[Customer type]:[Customer type]],"All")+SUMIFS(Calc_Variable_2[Ausnet],Calc_Variable_2[[Customer type]:[Customer type]],OP_Rates!$O134)+
SUMIFS(Calc_NetworkV_2[Ausnet],Calc_NetworkV_2[[Customer type]:[Customer type]],OP_Rates!$O134,Calc_NetworkV_2[[Cost item]:[Cost item]],OP_Rates!$M134))*(1+Calc_ROM_2[Ausnet]))*(1+GST),8),0,1))</f>
        <v>0</v>
      </c>
      <c r="R134" s="93" cm="1">
        <f t="array" ref="R134">IF(R99="-","-",
IF(ROUND(R99,8)=ROUND(
((SUMIFS(Calc_Variable_2[Citipower],Calc_Variable_2[[Customer type]:[Customer type]],"All")+SUMIFS(Calc_Variable_2[Citipower],Calc_Variable_2[[Customer type]:[Customer type]],OP_Rates!$O134)+
SUMIFS(Calc_NetworkV_2[Citipower],Calc_NetworkV_2[[Customer type]:[Customer type]],OP_Rates!$O134,Calc_NetworkV_2[[Cost item]:[Cost item]],OP_Rates!$M134))*(1+Calc_ROM_2[Citipower]))*(1+GST),8),0,1))</f>
        <v>0</v>
      </c>
      <c r="S134" s="93" cm="1">
        <f t="array" ref="S134">IF(S99="-","-",
IF(ROUND(S99,8)=ROUND(
((SUMIFS(Calc_Variable_2[Jemena],Calc_Variable_2[[Customer type]:[Customer type]],"All")+SUMIFS(Calc_Variable_2[Jemena],Calc_Variable_2[[Customer type]:[Customer type]],OP_Rates!$O134)+
SUMIFS(Calc_NetworkV_2[Jemena],Calc_NetworkV_2[[Customer type]:[Customer type]],OP_Rates!$O134,Calc_NetworkV_2[[Cost item]:[Cost item]],OP_Rates!$M134))*(1+Calc_ROM_2[Jemena]))*(1+GST),8),0,1))</f>
        <v>0</v>
      </c>
      <c r="T134" s="93" cm="1">
        <f t="array" ref="T134">IF(T99="-","-",
IF(ROUND(T99,8)=ROUND(
((SUMIFS(Calc_Variable_2[Powercor],Calc_Variable_2[[Customer type]:[Customer type]],"All")+SUMIFS(Calc_Variable_2[Powercor],Calc_Variable_2[[Customer type]:[Customer type]],OP_Rates!$O134)+
SUMIFS(Calc_NetworkV_2[Powercor],Calc_NetworkV_2[[Customer type]:[Customer type]],OP_Rates!$O134,Calc_NetworkV_2[[Cost item]:[Cost item]],OP_Rates!$M134))*(1+Calc_ROM_2[Powercor]))*(1+GST),8),0,1))</f>
        <v>0</v>
      </c>
      <c r="U134" s="93" cm="1">
        <f t="array" ref="U134">IF(U99="-","-",
IF(ROUND(U99,8)=ROUND(
((SUMIFS(Calc_Variable_2[United Energy],Calc_Variable_2[[Customer type]:[Customer type]],"All")+SUMIFS(Calc_Variable_2[United Energy],Calc_Variable_2[[Customer type]:[Customer type]],OP_Rates!$O134)+
SUMIFS(Calc_NetworkV_2[United Energy],Calc_NetworkV_2[[Customer type]:[Customer type]],OP_Rates!$O134,Calc_NetworkV_2[[Cost item]:[Cost item]],OP_Rates!$M134))*(1+Calc_ROM_2[United Energy]))*(1+GST),8),0,1))</f>
        <v>0</v>
      </c>
    </row>
    <row r="135" spans="3:21" ht="15.75" hidden="1" outlineLevel="2" x14ac:dyDescent="0.25">
      <c r="C135" s="23" t="s">
        <v>287</v>
      </c>
      <c r="D135" s="23" t="s">
        <v>282</v>
      </c>
      <c r="E135" s="23" t="s">
        <v>92</v>
      </c>
      <c r="G135" s="93" cm="1">
        <f t="array" ref="G135">IF(G100="-","-",
IF(ROUND(G100,8)=ROUND(
((SUMIFS(Calc_Variable_2[Ausnet],Calc_Variable_2[[Customer type]:[Customer type]],"All")+
SUMIFS(Calc_Variable_2[Ausnet],Calc_Variable_2[[Customer type]:[Customer type]],OP_Rates!$E135)+
SUMIFS(Calc_NetworkV_2[Ausnet],Calc_NetworkV_2[[Customer type]:[Customer type]],OP_Rates!$E135,Calc_NetworkV_2[[Cost item]:[Cost item]],OP_Rates!$C135))*(1+Calc_ROM_2[Ausnet]))*(1+GST),8),0,1))</f>
        <v>0</v>
      </c>
      <c r="H135" s="93" cm="1">
        <f t="array" ref="H135">IF(H100="-","-",
IF(ROUND(H100,8)=ROUND(
((SUMIFS(Calc_Variable_2[Citipower],Calc_Variable_2[[Customer type]:[Customer type]],"All")+
SUMIFS(Calc_Variable_2[Citipower],Calc_Variable_2[[Customer type]:[Customer type]],OP_Rates!$E135)+
SUMIFS(Calc_NetworkV_2[Citipower],Calc_NetworkV_2[[Customer type]:[Customer type]],OP_Rates!$E135,Calc_NetworkV_2[[Cost item]:[Cost item]],OP_Rates!$C135))*(1+Calc_ROM_2[Citipower]))*(1+GST),8),0,1))</f>
        <v>0</v>
      </c>
      <c r="I135" s="93" cm="1">
        <f t="array" ref="I135">IF(I100="-","-",
IF(ROUND(I100,8)=ROUND(
((SUMIFS(Calc_Variable_2[Jemena],Calc_Variable_2[[Customer type]:[Customer type]],"All")+
SUMIFS(Calc_Variable_2[Jemena],Calc_Variable_2[[Customer type]:[Customer type]],OP_Rates!$E135)+
SUMIFS(Calc_NetworkV_2[Jemena],Calc_NetworkV_2[[Customer type]:[Customer type]],OP_Rates!$E135,Calc_NetworkV_2[[Cost item]:[Cost item]],OP_Rates!$C135))*(1+Calc_ROM_2[Jemena]))*(1+GST),8),0,1))</f>
        <v>0</v>
      </c>
      <c r="J135" s="93" cm="1">
        <f t="array" ref="J135">IF(J100="-","-",
IF(ROUND(J100,8)=ROUND(
((SUMIFS(Calc_Variable_2[Powercor],Calc_Variable_2[[Customer type]:[Customer type]],"All")+
SUMIFS(Calc_Variable_2[Powercor],Calc_Variable_2[[Customer type]:[Customer type]],OP_Rates!$E135)+
SUMIFS(Calc_NetworkV_2[Powercor],Calc_NetworkV_2[[Customer type]:[Customer type]],OP_Rates!$E135,Calc_NetworkV_2[[Cost item]:[Cost item]],OP_Rates!$C135))*(1+Calc_ROM_2[Powercor]))*(1+GST),8),0,1))</f>
        <v>0</v>
      </c>
      <c r="K135" s="93" cm="1">
        <f t="array" ref="K135">IF(K100="-","-",
IF(ROUND(K100,8)=ROUND(
((SUMIFS(Calc_Variable_2[United Energy],Calc_Variable_2[[Customer type]:[Customer type]],"All")+
SUMIFS(Calc_Variable_2[United Energy],Calc_Variable_2[[Customer type]:[Customer type]],OP_Rates!$E135)+
SUMIFS(Calc_NetworkV_2[United Energy],Calc_NetworkV_2[[Customer type]:[Customer type]],OP_Rates!$E135,Calc_NetworkV_2[[Cost item]:[Cost item]],OP_Rates!$C135))*(1+Calc_ROM_2[United Energy]))*(1+GST),8),0,1))</f>
        <v>0</v>
      </c>
      <c r="M135" s="23"/>
      <c r="N135" s="23"/>
      <c r="O135" s="23"/>
      <c r="Q135" s="93"/>
      <c r="R135" s="93"/>
      <c r="S135" s="93"/>
      <c r="T135" s="93"/>
      <c r="U135" s="93"/>
    </row>
    <row r="136" spans="3:21" hidden="1" outlineLevel="2" x14ac:dyDescent="0.25"/>
    <row r="137" spans="3:21" ht="15.75" hidden="1" outlineLevel="2" x14ac:dyDescent="0.25">
      <c r="C137" s="29" t="str">
        <f>C$102&amp;" - checks"</f>
        <v>Residential True Up - checks</v>
      </c>
      <c r="M137" s="29" t="str">
        <f>M$102&amp;" - checks"</f>
        <v>Small business True Up - checks</v>
      </c>
    </row>
    <row r="138" spans="3:21" ht="15.75" hidden="1" outlineLevel="2" x14ac:dyDescent="0.25">
      <c r="C138" s="42" t="s">
        <v>331</v>
      </c>
      <c r="D138" s="42" t="s">
        <v>103</v>
      </c>
      <c r="E138" s="42" t="s">
        <v>91</v>
      </c>
      <c r="F138" s="42" t="s">
        <v>45</v>
      </c>
      <c r="G138" s="50" t="s">
        <v>268</v>
      </c>
      <c r="H138" s="50" t="s">
        <v>269</v>
      </c>
      <c r="I138" s="50" t="s">
        <v>270</v>
      </c>
      <c r="J138" s="50" t="s">
        <v>271</v>
      </c>
      <c r="K138" s="50" t="s">
        <v>272</v>
      </c>
      <c r="M138" s="42" t="s">
        <v>331</v>
      </c>
      <c r="N138" s="42" t="s">
        <v>103</v>
      </c>
      <c r="O138" s="42" t="s">
        <v>91</v>
      </c>
      <c r="P138" s="42" t="s">
        <v>45</v>
      </c>
      <c r="Q138" s="50" t="s">
        <v>268</v>
      </c>
      <c r="R138" s="50" t="s">
        <v>269</v>
      </c>
      <c r="S138" s="50" t="s">
        <v>270</v>
      </c>
      <c r="T138" s="50" t="s">
        <v>271</v>
      </c>
      <c r="U138" s="50" t="s">
        <v>272</v>
      </c>
    </row>
    <row r="139" spans="3:21" ht="15.75" hidden="1" outlineLevel="2" x14ac:dyDescent="0.25">
      <c r="C139" s="59" t="s">
        <v>556</v>
      </c>
      <c r="D139" s="59" t="s">
        <v>109</v>
      </c>
      <c r="E139" s="59" t="s">
        <v>92</v>
      </c>
      <c r="F139" s="59" t="s">
        <v>121</v>
      </c>
      <c r="G139" s="239" cm="1">
        <f t="array" ref="G139">IF(G104="-","-",
IF(ROUND(G104,8)=
IF($F139="Network",
IF($C139&lt;&gt;"Controlled load",
ROUND(INDEX(Calc_TUR_Net_2[[Ausnet]:[United Energy]],MATCH(1,(Calc_TUR_Net_2[[Customer type]:[Customer type]]=OP_Rates!$E139)*(Calc_TUR_Net_2[[Rate type]:[Rate type]]=OP_Rates!$C139),0),MATCH(OP_Rates!G$65,Calc_TUR_Net_2[[#Headers],[Ausnet]:[United Energy]],0)),8),
ROUND(INDEX(Calc_TUR_NetCL_2[[Ausnet]:[United Energy]],MATCH(OP_Rates!$E139,Calc_TUR_Net_2[[Customer type]:[Customer type]],0),MATCH(OP_Rates!G$65,Calc_TUR_Net_2[[#Headers],[Ausnet]:[United Energy]],0)),8)),
IF($F139="Environmental",
ROUND(SUMIFS(Calc_TUR_ENV_2[Ausnet],Calc_TUR_ENV_2[[Customer type]:[Customer type]],OP_Rates!$E139,Calc_TUR_ENV_2[[Rate type]:[Rate type]],OP_Rates!$C139),8))),0,1))</f>
        <v>0</v>
      </c>
      <c r="H139" s="239" cm="1">
        <f t="array" ref="H139">IF(H104="-","-",
IF(ROUND(H104,8)=
IF($F139="Network",
IF($C139&lt;&gt;"Controlled load",
ROUND(INDEX(Calc_TUR_Net_2[[Ausnet]:[United Energy]],MATCH(1,(Calc_TUR_Net_2[[Customer type]:[Customer type]]=OP_Rates!$E139)*(Calc_TUR_Net_2[[Rate type]:[Rate type]]=OP_Rates!$C139),0),MATCH(OP_Rates!H$65,Calc_TUR_Net_2[[#Headers],[Ausnet]:[United Energy]],0)),8),
ROUND(INDEX(Calc_TUR_NetCL_2[[Ausnet]:[United Energy]],MATCH(OP_Rates!$E139,Calc_TUR_Net_2[[Customer type]:[Customer type]],0),MATCH(OP_Rates!H$65,Calc_TUR_Net_2[[#Headers],[Ausnet]:[United Energy]],0)),8)),
IF($F139="Environmental",
ROUND(SUMIFS(Calc_TUR_ENV_2[Citipower],Calc_TUR_ENV_2[[Customer type]:[Customer type]],OP_Rates!$E139,Calc_TUR_ENV_2[[Rate type]:[Rate type]],OP_Rates!$C139),8))),0,1))</f>
        <v>0</v>
      </c>
      <c r="I139" s="239" cm="1">
        <f t="array" ref="I139">IF(I104="-","-",
IF(ROUND(I104,8)=
IF($F139="Network",
IF($C139&lt;&gt;"Controlled load",
ROUND(INDEX(Calc_TUR_Net_2[[Ausnet]:[United Energy]],MATCH(1,(Calc_TUR_Net_2[[Customer type]:[Customer type]]=OP_Rates!$E139)*(Calc_TUR_Net_2[[Rate type]:[Rate type]]=OP_Rates!$C139),0),MATCH(OP_Rates!I$65,Calc_TUR_Net_2[[#Headers],[Ausnet]:[United Energy]],0)),8),
ROUND(INDEX(Calc_TUR_NetCL_2[[Ausnet]:[United Energy]],MATCH(OP_Rates!$E139,Calc_TUR_Net_2[[Customer type]:[Customer type]],0),MATCH(OP_Rates!I$65,Calc_TUR_Net_2[[#Headers],[Ausnet]:[United Energy]],0)),8)),
IF($F139="Environmental",
ROUND(SUMIFS(Calc_TUR_ENV_2[Jemena],Calc_TUR_ENV_2[[Customer type]:[Customer type]],OP_Rates!$E139,Calc_TUR_ENV_2[[Rate type]:[Rate type]],OP_Rates!$C139),8))),0,1))</f>
        <v>0</v>
      </c>
      <c r="J139" s="239" cm="1">
        <f t="array" ref="J139">IF(J104="-","-",
IF(ROUND(J104,8)=
IF($F139="Network",
IF($C139&lt;&gt;"Controlled load",
ROUND(INDEX(Calc_TUR_Net_2[[Ausnet]:[United Energy]],MATCH(1,(Calc_TUR_Net_2[[Customer type]:[Customer type]]=OP_Rates!$E139)*(Calc_TUR_Net_2[[Rate type]:[Rate type]]=OP_Rates!$C139),0),MATCH(OP_Rates!J$65,Calc_TUR_Net_2[[#Headers],[Ausnet]:[United Energy]],0)),8),
ROUND(INDEX(Calc_TUR_NetCL_2[[Ausnet]:[United Energy]],MATCH(OP_Rates!$E139,Calc_TUR_Net_2[[Customer type]:[Customer type]],0),MATCH(OP_Rates!J$65,Calc_TUR_Net_2[[#Headers],[Ausnet]:[United Energy]],0)),8)),
IF($F139="Environmental",
ROUND(SUMIFS(Calc_TUR_ENV_2[Powercor],Calc_TUR_ENV_2[[Customer type]:[Customer type]],OP_Rates!$E139,Calc_TUR_ENV_2[[Rate type]:[Rate type]],OP_Rates!$C139),8))),0,1))</f>
        <v>0</v>
      </c>
      <c r="K139" s="239" cm="1">
        <f t="array" ref="K139">IF(K104="-","-",
IF(ROUND(K104,8)=
IF($F139="Network",
IF($C139&lt;&gt;"Controlled load",
ROUND(INDEX(Calc_TUR_Net_2[[Ausnet]:[United Energy]],MATCH(1,(Calc_TUR_Net_2[[Customer type]:[Customer type]]=OP_Rates!$E139)*(Calc_TUR_Net_2[[Rate type]:[Rate type]]=OP_Rates!$C139),0),MATCH(OP_Rates!K$65,Calc_TUR_Net_2[[#Headers],[Ausnet]:[United Energy]],0)),8),
ROUND(INDEX(Calc_TUR_NetCL_2[[Ausnet]:[United Energy]],MATCH(OP_Rates!$E139,Calc_TUR_Net_2[[Customer type]:[Customer type]],0),MATCH(OP_Rates!K$65,Calc_TUR_Net_2[[#Headers],[Ausnet]:[United Energy]],0)),8)),
IF($F139="Environmental",
ROUND(SUMIFS(Calc_TUR_ENV_2[United Energy],Calc_TUR_ENV_2[[Customer type]:[Customer type]],OP_Rates!$E139,Calc_TUR_ENV_2[[Rate type]:[Rate type]],OP_Rates!$C139),8))),0,1))</f>
        <v>0</v>
      </c>
      <c r="M139" s="59" t="s">
        <v>556</v>
      </c>
      <c r="N139" s="59" t="s">
        <v>109</v>
      </c>
      <c r="O139" s="59" t="s">
        <v>93</v>
      </c>
      <c r="P139" s="59" t="s">
        <v>121</v>
      </c>
      <c r="Q139" s="239" cm="1">
        <f t="array" ref="Q139">IF(Q104="-","-",
IF(ROUND(Q104,8)=
IF($P139="Network",
ROUND(INDEX(Calc_TUR_Net_2[[Ausnet]:[United Energy]],MATCH(1,(Calc_TUR_Net_2[[Customer type]:[Customer type]]=OP_Rates!$O139)*(Calc_TUR_Net_2[[Rate type]:[Rate type]]=OP_Rates!$M139),0),MATCH(OP_Rates!Q$65,Calc_TUR_Net_2[[#Headers],[Ausnet]:[United Energy]],0)),8),
IF($P139="Environmental",
ROUND(SUMIFS(Calc_TUR_ENV_2[Ausnet],Calc_TUR_ENV_2[[Customer type]:[Customer type]],OP_Rates!$O139,Calc_TUR_ENV_2[[Rate type]:[Rate type]],OP_Rates!$M139),8))),0,1))</f>
        <v>0</v>
      </c>
      <c r="R139" s="239" cm="1">
        <f t="array" ref="R139">IF(R104="-","-",
IF(ROUND(R104,8)=
IF($P139="Network",
ROUND(INDEX(Calc_TUR_Net_2[[Ausnet]:[United Energy]],MATCH(1,(Calc_TUR_Net_2[[Customer type]:[Customer type]]=OP_Rates!$O139)*(Calc_TUR_Net_2[[Rate type]:[Rate type]]=OP_Rates!$M139),0),MATCH(OP_Rates!R$65,Calc_TUR_Net_2[[#Headers],[Ausnet]:[United Energy]],0)),8),
IF($P139="Environmental",
ROUND(SUMIFS(Calc_TUR_ENV_2[Citipower],Calc_TUR_ENV_2[[Customer type]:[Customer type]],OP_Rates!$O139,Calc_TUR_ENV_2[[Rate type]:[Rate type]],OP_Rates!$M139),8))),0,1))</f>
        <v>0</v>
      </c>
      <c r="S139" s="239" cm="1">
        <f t="array" ref="S139">IF(S104="-","-",
IF(ROUND(S104,8)=
IF($P139="Network",
ROUND(INDEX(Calc_TUR_Net_2[[Ausnet]:[United Energy]],MATCH(1,(Calc_TUR_Net_2[[Customer type]:[Customer type]]=OP_Rates!$O139)*(Calc_TUR_Net_2[[Rate type]:[Rate type]]=OP_Rates!$M139),0),MATCH(OP_Rates!S$65,Calc_TUR_Net_2[[#Headers],[Ausnet]:[United Energy]],0)),8),
IF($P139="Environmental",
ROUND(SUMIFS(Calc_TUR_ENV_2[Jemena],Calc_TUR_ENV_2[[Customer type]:[Customer type]],OP_Rates!$O139,Calc_TUR_ENV_2[[Rate type]:[Rate type]],OP_Rates!$M139),8))),0,1))</f>
        <v>0</v>
      </c>
      <c r="T139" s="239" cm="1">
        <f t="array" ref="T139">IF(T104="-","-",
IF(ROUND(T104,8)=
IF($P139="Network",
ROUND(INDEX(Calc_TUR_Net_2[[Ausnet]:[United Energy]],MATCH(1,(Calc_TUR_Net_2[[Customer type]:[Customer type]]=OP_Rates!$O139)*(Calc_TUR_Net_2[[Rate type]:[Rate type]]=OP_Rates!$M139),0),MATCH(OP_Rates!T$65,Calc_TUR_Net_2[[#Headers],[Ausnet]:[United Energy]],0)),8),
IF($P139="Environmental",
ROUND(SUMIFS(Calc_TUR_ENV_2[Powercor],Calc_TUR_ENV_2[[Customer type]:[Customer type]],OP_Rates!$O139,Calc_TUR_ENV_2[[Rate type]:[Rate type]],OP_Rates!$M139),8))),0,1))</f>
        <v>0</v>
      </c>
      <c r="U139" s="239" cm="1">
        <f t="array" ref="U139">IF(U104="-","-",
IF(ROUND(U104,8)=
IF($P139="Network",
ROUND(INDEX(Calc_TUR_Net_2[[Ausnet]:[United Energy]],MATCH(1,(Calc_TUR_Net_2[[Customer type]:[Customer type]]=OP_Rates!$O139)*(Calc_TUR_Net_2[[Rate type]:[Rate type]]=OP_Rates!$M139),0),MATCH(OP_Rates!U$65,Calc_TUR_Net_2[[#Headers],[Ausnet]:[United Energy]],0)),8),
IF($P139="Environmental",
ROUND(SUMIFS(Calc_TUR_ENV_2[United Energy],Calc_TUR_ENV_2[[Customer type]:[Customer type]],OP_Rates!$O139,Calc_TUR_ENV_2[[Rate type]:[Rate type]],OP_Rates!$M139),8))),0,1))</f>
        <v>0</v>
      </c>
    </row>
    <row r="140" spans="3:21" ht="15.75" hidden="1" outlineLevel="2" x14ac:dyDescent="0.25">
      <c r="C140" s="59" t="s">
        <v>557</v>
      </c>
      <c r="D140" s="59" t="s">
        <v>109</v>
      </c>
      <c r="E140" s="59" t="s">
        <v>92</v>
      </c>
      <c r="F140" s="59" t="s">
        <v>121</v>
      </c>
      <c r="G140" s="239" cm="1">
        <f t="array" ref="G140">IF(G105="-","-",
IF(ROUND(G105,8)=
IF($F140="Network",
IF($C140&lt;&gt;"Controlled load",
ROUND(INDEX(Calc_TUR_Net_2[[Ausnet]:[United Energy]],MATCH(1,(Calc_TUR_Net_2[[Customer type]:[Customer type]]=OP_Rates!$E140)*(Calc_TUR_Net_2[[Rate type]:[Rate type]]=OP_Rates!$C140),0),MATCH(OP_Rates!G$65,Calc_TUR_Net_2[[#Headers],[Ausnet]:[United Energy]],0)),8),
ROUND(INDEX(Calc_TUR_NetCL_2[[Ausnet]:[United Energy]],MATCH(OP_Rates!$E140,Calc_TUR_Net_2[[Customer type]:[Customer type]],0),MATCH(OP_Rates!G$65,Calc_TUR_Net_2[[#Headers],[Ausnet]:[United Energy]],0)),8)),
IF($F140="Environmental",
ROUND(SUMIFS(Calc_TUR_ENV_2[Ausnet],Calc_TUR_ENV_2[[Customer type]:[Customer type]],OP_Rates!$E140,Calc_TUR_ENV_2[[Rate type]:[Rate type]],OP_Rates!$C140),8))),0,1))</f>
        <v>0</v>
      </c>
      <c r="H140" s="239" cm="1">
        <f t="array" ref="H140">IF(H105="-","-",
IF(ROUND(H105,8)=
IF($F140="Network",
IF($C140&lt;&gt;"Controlled load",
ROUND(INDEX(Calc_TUR_Net_2[[Ausnet]:[United Energy]],MATCH(1,(Calc_TUR_Net_2[[Customer type]:[Customer type]]=OP_Rates!$E140)*(Calc_TUR_Net_2[[Rate type]:[Rate type]]=OP_Rates!$C140),0),MATCH(OP_Rates!H$65,Calc_TUR_Net_2[[#Headers],[Ausnet]:[United Energy]],0)),8),
ROUND(INDEX(Calc_TUR_NetCL_2[[Ausnet]:[United Energy]],MATCH(OP_Rates!$E140,Calc_TUR_Net_2[[Customer type]:[Customer type]],0),MATCH(OP_Rates!H$65,Calc_TUR_Net_2[[#Headers],[Ausnet]:[United Energy]],0)),8)),
IF($F140="Environmental",
ROUND(SUMIFS(Calc_TUR_ENV_2[Citipower],Calc_TUR_ENV_2[[Customer type]:[Customer type]],OP_Rates!$E140,Calc_TUR_ENV_2[[Rate type]:[Rate type]],OP_Rates!$C140),8))),0,1))</f>
        <v>0</v>
      </c>
      <c r="I140" s="239" cm="1">
        <f t="array" ref="I140">IF(I105="-","-",
IF(ROUND(I105,8)=
IF($F140="Network",
IF($C140&lt;&gt;"Controlled load",
ROUND(INDEX(Calc_TUR_Net_2[[Ausnet]:[United Energy]],MATCH(1,(Calc_TUR_Net_2[[Customer type]:[Customer type]]=OP_Rates!$E140)*(Calc_TUR_Net_2[[Rate type]:[Rate type]]=OP_Rates!$C140),0),MATCH(OP_Rates!I$65,Calc_TUR_Net_2[[#Headers],[Ausnet]:[United Energy]],0)),8),
ROUND(INDEX(Calc_TUR_NetCL_2[[Ausnet]:[United Energy]],MATCH(OP_Rates!$E140,Calc_TUR_Net_2[[Customer type]:[Customer type]],0),MATCH(OP_Rates!I$65,Calc_TUR_Net_2[[#Headers],[Ausnet]:[United Energy]],0)),8)),
IF($F140="Environmental",
ROUND(SUMIFS(Calc_TUR_ENV_2[Jemena],Calc_TUR_ENV_2[[Customer type]:[Customer type]],OP_Rates!$E140,Calc_TUR_ENV_2[[Rate type]:[Rate type]],OP_Rates!$C140),8))),0,1))</f>
        <v>0</v>
      </c>
      <c r="J140" s="239" cm="1">
        <f t="array" ref="J140">IF(J105="-","-",
IF(ROUND(J105,8)=
IF($F140="Network",
IF($C140&lt;&gt;"Controlled load",
ROUND(INDEX(Calc_TUR_Net_2[[Ausnet]:[United Energy]],MATCH(1,(Calc_TUR_Net_2[[Customer type]:[Customer type]]=OP_Rates!$E140)*(Calc_TUR_Net_2[[Rate type]:[Rate type]]=OP_Rates!$C140),0),MATCH(OP_Rates!J$65,Calc_TUR_Net_2[[#Headers],[Ausnet]:[United Energy]],0)),8),
ROUND(INDEX(Calc_TUR_NetCL_2[[Ausnet]:[United Energy]],MATCH(OP_Rates!$E140,Calc_TUR_Net_2[[Customer type]:[Customer type]],0),MATCH(OP_Rates!J$65,Calc_TUR_Net_2[[#Headers],[Ausnet]:[United Energy]],0)),8)),
IF($F140="Environmental",
ROUND(SUMIFS(Calc_TUR_ENV_2[Powercor],Calc_TUR_ENV_2[[Customer type]:[Customer type]],OP_Rates!$E140,Calc_TUR_ENV_2[[Rate type]:[Rate type]],OP_Rates!$C140),8))),0,1))</f>
        <v>0</v>
      </c>
      <c r="K140" s="239" cm="1">
        <f t="array" ref="K140">IF(K105="-","-",
IF(ROUND(K105,8)=
IF($F140="Network",
IF($C140&lt;&gt;"Controlled load",
ROUND(INDEX(Calc_TUR_Net_2[[Ausnet]:[United Energy]],MATCH(1,(Calc_TUR_Net_2[[Customer type]:[Customer type]]=OP_Rates!$E140)*(Calc_TUR_Net_2[[Rate type]:[Rate type]]=OP_Rates!$C140),0),MATCH(OP_Rates!K$65,Calc_TUR_Net_2[[#Headers],[Ausnet]:[United Energy]],0)),8),
ROUND(INDEX(Calc_TUR_NetCL_2[[Ausnet]:[United Energy]],MATCH(OP_Rates!$E140,Calc_TUR_Net_2[[Customer type]:[Customer type]],0),MATCH(OP_Rates!K$65,Calc_TUR_Net_2[[#Headers],[Ausnet]:[United Energy]],0)),8)),
IF($F140="Environmental",
ROUND(SUMIFS(Calc_TUR_ENV_2[United Energy],Calc_TUR_ENV_2[[Customer type]:[Customer type]],OP_Rates!$E140,Calc_TUR_ENV_2[[Rate type]:[Rate type]],OP_Rates!$C140),8))),0,1))</f>
        <v>0</v>
      </c>
      <c r="M140" s="59" t="s">
        <v>557</v>
      </c>
      <c r="N140" s="59" t="s">
        <v>109</v>
      </c>
      <c r="O140" s="59" t="s">
        <v>93</v>
      </c>
      <c r="P140" s="59" t="s">
        <v>121</v>
      </c>
      <c r="Q140" s="239" cm="1">
        <f t="array" ref="Q140">IF(Q105="-","-",
IF(ROUND(Q105,8)=
IF($P140="Network",
ROUND(INDEX(Calc_TUR_Net_2[[Ausnet]:[United Energy]],MATCH(1,(Calc_TUR_Net_2[[Customer type]:[Customer type]]=OP_Rates!$O140)*(Calc_TUR_Net_2[[Rate type]:[Rate type]]=OP_Rates!$M140),0),MATCH(OP_Rates!Q$65,Calc_TUR_Net_2[[#Headers],[Ausnet]:[United Energy]],0)),8),
IF($P140="Environmental",
ROUND(SUMIFS(Calc_TUR_ENV_2[Ausnet],Calc_TUR_ENV_2[[Customer type]:[Customer type]],OP_Rates!$O140,Calc_TUR_ENV_2[[Rate type]:[Rate type]],OP_Rates!$M140),8))),0,1))</f>
        <v>0</v>
      </c>
      <c r="R140" s="239" cm="1">
        <f t="array" ref="R140">IF(R105="-","-",
IF(ROUND(R105,8)=
IF($P140="Network",
ROUND(INDEX(Calc_TUR_Net_2[[Ausnet]:[United Energy]],MATCH(1,(Calc_TUR_Net_2[[Customer type]:[Customer type]]=OP_Rates!$O140)*(Calc_TUR_Net_2[[Rate type]:[Rate type]]=OP_Rates!$M140),0),MATCH(OP_Rates!R$65,Calc_TUR_Net_2[[#Headers],[Ausnet]:[United Energy]],0)),8),
IF($P140="Environmental",
ROUND(SUMIFS(Calc_TUR_ENV_2[Citipower],Calc_TUR_ENV_2[[Customer type]:[Customer type]],OP_Rates!$O140,Calc_TUR_ENV_2[[Rate type]:[Rate type]],OP_Rates!$M140),8))),0,1))</f>
        <v>0</v>
      </c>
      <c r="S140" s="239" cm="1">
        <f t="array" ref="S140">IF(S105="-","-",
IF(ROUND(S105,8)=
IF($P140="Network",
ROUND(INDEX(Calc_TUR_Net_2[[Ausnet]:[United Energy]],MATCH(1,(Calc_TUR_Net_2[[Customer type]:[Customer type]]=OP_Rates!$O140)*(Calc_TUR_Net_2[[Rate type]:[Rate type]]=OP_Rates!$M140),0),MATCH(OP_Rates!S$65,Calc_TUR_Net_2[[#Headers],[Ausnet]:[United Energy]],0)),8),
IF($P140="Environmental",
ROUND(SUMIFS(Calc_TUR_ENV_2[Jemena],Calc_TUR_ENV_2[[Customer type]:[Customer type]],OP_Rates!$O140,Calc_TUR_ENV_2[[Rate type]:[Rate type]],OP_Rates!$M140),8))),0,1))</f>
        <v>0</v>
      </c>
      <c r="T140" s="239" cm="1">
        <f t="array" ref="T140">IF(T105="-","-",
IF(ROUND(T105,8)=
IF($P140="Network",
ROUND(INDEX(Calc_TUR_Net_2[[Ausnet]:[United Energy]],MATCH(1,(Calc_TUR_Net_2[[Customer type]:[Customer type]]=OP_Rates!$O140)*(Calc_TUR_Net_2[[Rate type]:[Rate type]]=OP_Rates!$M140),0),MATCH(OP_Rates!T$65,Calc_TUR_Net_2[[#Headers],[Ausnet]:[United Energy]],0)),8),
IF($P140="Environmental",
ROUND(SUMIFS(Calc_TUR_ENV_2[Powercor],Calc_TUR_ENV_2[[Customer type]:[Customer type]],OP_Rates!$O140,Calc_TUR_ENV_2[[Rate type]:[Rate type]],OP_Rates!$M140),8))),0,1))</f>
        <v>0</v>
      </c>
      <c r="U140" s="239" cm="1">
        <f t="array" ref="U140">IF(U105="-","-",
IF(ROUND(U105,8)=
IF($P140="Network",
ROUND(INDEX(Calc_TUR_Net_2[[Ausnet]:[United Energy]],MATCH(1,(Calc_TUR_Net_2[[Customer type]:[Customer type]]=OP_Rates!$O140)*(Calc_TUR_Net_2[[Rate type]:[Rate type]]=OP_Rates!$M140),0),MATCH(OP_Rates!U$65,Calc_TUR_Net_2[[#Headers],[Ausnet]:[United Energy]],0)),8),
IF($P140="Environmental",
ROUND(SUMIFS(Calc_TUR_ENV_2[United Energy],Calc_TUR_ENV_2[[Customer type]:[Customer type]],OP_Rates!$O140,Calc_TUR_ENV_2[[Rate type]:[Rate type]],OP_Rates!$M140),8))),0,1))</f>
        <v>0</v>
      </c>
    </row>
    <row r="141" spans="3:21" ht="15.75" hidden="1" outlineLevel="2" x14ac:dyDescent="0.25">
      <c r="C141" s="59" t="s">
        <v>287</v>
      </c>
      <c r="D141" s="59" t="s">
        <v>282</v>
      </c>
      <c r="E141" s="59" t="s">
        <v>92</v>
      </c>
      <c r="F141" s="59" t="s">
        <v>121</v>
      </c>
      <c r="G141" s="239" cm="1">
        <f t="array" ref="G141">IF(G106="-","-",
IF(ROUND(G106,8)=
IF($F141="Network",
IF($C141&lt;&gt;"Controlled load",
ROUND(INDEX(Calc_TUR_Net_2[[Ausnet]:[United Energy]],MATCH(1,(Calc_TUR_Net_2[[Customer type]:[Customer type]]=OP_Rates!$E141)*(Calc_TUR_Net_2[[Rate type]:[Rate type]]=OP_Rates!$C141),0),MATCH(OP_Rates!G$65,Calc_TUR_Net_2[[#Headers],[Ausnet]:[United Energy]],0)),8),
ROUND(INDEX(Calc_TUR_NetCL_2[[Ausnet]:[United Energy]],MATCH(OP_Rates!$E141,Calc_TUR_Net_2[[Customer type]:[Customer type]],0),MATCH(OP_Rates!G$65,Calc_TUR_Net_2[[#Headers],[Ausnet]:[United Energy]],0)),8)),
IF($F141="Environmental",
ROUND(SUMIFS(Calc_TUR_ENV_2[Ausnet],Calc_TUR_ENV_2[[Customer type]:[Customer type]],OP_Rates!$E141,Calc_TUR_ENV_2[[Rate type]:[Rate type]],OP_Rates!$C141),8))),0,1))</f>
        <v>0</v>
      </c>
      <c r="H141" s="239" cm="1">
        <f t="array" ref="H141">IF(H106="-","-",
IF(ROUND(H106,8)=
IF($F141="Network",
IF($C141&lt;&gt;"Controlled load",
ROUND(INDEX(Calc_TUR_Net_2[[Ausnet]:[United Energy]],MATCH(1,(Calc_TUR_Net_2[[Customer type]:[Customer type]]=OP_Rates!$E141)*(Calc_TUR_Net_2[[Rate type]:[Rate type]]=OP_Rates!$C141),0),MATCH(OP_Rates!H$65,Calc_TUR_Net_2[[#Headers],[Ausnet]:[United Energy]],0)),8),
ROUND(INDEX(Calc_TUR_NetCL_2[[Ausnet]:[United Energy]],MATCH(OP_Rates!$E141,Calc_TUR_Net_2[[Customer type]:[Customer type]],0),MATCH(OP_Rates!H$65,Calc_TUR_Net_2[[#Headers],[Ausnet]:[United Energy]],0)),8)),
IF($F141="Environmental",
ROUND(SUMIFS(Calc_TUR_ENV_2[Citipower],Calc_TUR_ENV_2[[Customer type]:[Customer type]],OP_Rates!$E141,Calc_TUR_ENV_2[[Rate type]:[Rate type]],OP_Rates!$C141),8))),0,1))</f>
        <v>0</v>
      </c>
      <c r="I141" s="239" cm="1">
        <f t="array" ref="I141">IF(I106="-","-",
IF(ROUND(I106,8)=
IF($F141="Network",
IF($C141&lt;&gt;"Controlled load",
ROUND(INDEX(Calc_TUR_Net_2[[Ausnet]:[United Energy]],MATCH(1,(Calc_TUR_Net_2[[Customer type]:[Customer type]]=OP_Rates!$E141)*(Calc_TUR_Net_2[[Rate type]:[Rate type]]=OP_Rates!$C141),0),MATCH(OP_Rates!I$65,Calc_TUR_Net_2[[#Headers],[Ausnet]:[United Energy]],0)),8),
ROUND(INDEX(Calc_TUR_NetCL_2[[Ausnet]:[United Energy]],MATCH(OP_Rates!$E141,Calc_TUR_Net_2[[Customer type]:[Customer type]],0),MATCH(OP_Rates!I$65,Calc_TUR_Net_2[[#Headers],[Ausnet]:[United Energy]],0)),8)),
IF($F141="Environmental",
ROUND(SUMIFS(Calc_TUR_ENV_2[Jemena],Calc_TUR_ENV_2[[Customer type]:[Customer type]],OP_Rates!$E141,Calc_TUR_ENV_2[[Rate type]:[Rate type]],OP_Rates!$C141),8))),0,1))</f>
        <v>0</v>
      </c>
      <c r="J141" s="239" cm="1">
        <f t="array" ref="J141">IF(J106="-","-",
IF(ROUND(J106,8)=
IF($F141="Network",
IF($C141&lt;&gt;"Controlled load",
ROUND(INDEX(Calc_TUR_Net_2[[Ausnet]:[United Energy]],MATCH(1,(Calc_TUR_Net_2[[Customer type]:[Customer type]]=OP_Rates!$E141)*(Calc_TUR_Net_2[[Rate type]:[Rate type]]=OP_Rates!$C141),0),MATCH(OP_Rates!J$65,Calc_TUR_Net_2[[#Headers],[Ausnet]:[United Energy]],0)),8),
ROUND(INDEX(Calc_TUR_NetCL_2[[Ausnet]:[United Energy]],MATCH(OP_Rates!$E141,Calc_TUR_Net_2[[Customer type]:[Customer type]],0),MATCH(OP_Rates!J$65,Calc_TUR_Net_2[[#Headers],[Ausnet]:[United Energy]],0)),8)),
IF($F141="Environmental",
ROUND(SUMIFS(Calc_TUR_ENV_2[Powercor],Calc_TUR_ENV_2[[Customer type]:[Customer type]],OP_Rates!$E141,Calc_TUR_ENV_2[[Rate type]:[Rate type]],OP_Rates!$C141),8))),0,1))</f>
        <v>0</v>
      </c>
      <c r="K141" s="239" cm="1">
        <f t="array" ref="K141">IF(K106="-","-",
IF(ROUND(K106,8)=
IF($F141="Network",
IF($C141&lt;&gt;"Controlled load",
ROUND(INDEX(Calc_TUR_Net_2[[Ausnet]:[United Energy]],MATCH(1,(Calc_TUR_Net_2[[Customer type]:[Customer type]]=OP_Rates!$E141)*(Calc_TUR_Net_2[[Rate type]:[Rate type]]=OP_Rates!$C141),0),MATCH(OP_Rates!K$65,Calc_TUR_Net_2[[#Headers],[Ausnet]:[United Energy]],0)),8),
ROUND(INDEX(Calc_TUR_NetCL_2[[Ausnet]:[United Energy]],MATCH(OP_Rates!$E141,Calc_TUR_Net_2[[Customer type]:[Customer type]],0),MATCH(OP_Rates!K$65,Calc_TUR_Net_2[[#Headers],[Ausnet]:[United Energy]],0)),8)),
IF($F141="Environmental",
ROUND(SUMIFS(Calc_TUR_ENV_2[United Energy],Calc_TUR_ENV_2[[Customer type]:[Customer type]],OP_Rates!$E141,Calc_TUR_ENV_2[[Rate type]:[Rate type]],OP_Rates!$C141),8))),0,1))</f>
        <v>0</v>
      </c>
      <c r="M141" s="59" t="s">
        <v>287</v>
      </c>
      <c r="N141" s="59"/>
      <c r="O141" s="59"/>
      <c r="P141" s="59"/>
      <c r="Q141" s="239" t="str" cm="1">
        <f t="array" ref="Q141">IF(Q106="-","-",
IF(ROUND(Q106,8)=
IF($P141="Network",
ROUND(INDEX(Calc_TUR_Net_2[[Ausnet]:[United Energy]],MATCH(1,(Calc_TUR_Net_2[[Customer type]:[Customer type]]=OP_Rates!$O141)*(Calc_TUR_Net_2[[Rate type]:[Rate type]]=OP_Rates!$M141),0),MATCH(OP_Rates!Q$65,Calc_TUR_Net_2[[#Headers],[Ausnet]:[United Energy]],0)),8),
IF($P141="Environmental",
ROUND(SUMIFS(Calc_TUR_ENV_2[Ausnet],Calc_TUR_ENV_2[[Customer type]:[Customer type]],OP_Rates!$O141,Calc_TUR_ENV_2[[Rate type]:[Rate type]],OP_Rates!$M141),8))),0,1))</f>
        <v>-</v>
      </c>
      <c r="R141" s="239" t="str" cm="1">
        <f t="array" ref="R141">IF(R106="-","-",
IF(ROUND(R106,8)=
IF($P141="Network",
ROUND(INDEX(Calc_TUR_Net_2[[Ausnet]:[United Energy]],MATCH(1,(Calc_TUR_Net_2[[Customer type]:[Customer type]]=OP_Rates!$O141)*(Calc_TUR_Net_2[[Rate type]:[Rate type]]=OP_Rates!$M141),0),MATCH(OP_Rates!R$65,Calc_TUR_Net_2[[#Headers],[Ausnet]:[United Energy]],0)),8),
IF($P141="Environmental",
ROUND(SUMIFS(Calc_TUR_ENV_2[Citipower],Calc_TUR_ENV_2[[Customer type]:[Customer type]],OP_Rates!$O141,Calc_TUR_ENV_2[[Rate type]:[Rate type]],OP_Rates!$M141),8))),0,1))</f>
        <v>-</v>
      </c>
      <c r="S141" s="239" t="str" cm="1">
        <f t="array" ref="S141">IF(S106="-","-",
IF(ROUND(S106,8)=
IF($P141="Network",
ROUND(INDEX(Calc_TUR_Net_2[[Ausnet]:[United Energy]],MATCH(1,(Calc_TUR_Net_2[[Customer type]:[Customer type]]=OP_Rates!$O141)*(Calc_TUR_Net_2[[Rate type]:[Rate type]]=OP_Rates!$M141),0),MATCH(OP_Rates!S$65,Calc_TUR_Net_2[[#Headers],[Ausnet]:[United Energy]],0)),8),
IF($P141="Environmental",
ROUND(SUMIFS(Calc_TUR_ENV_2[Jemena],Calc_TUR_ENV_2[[Customer type]:[Customer type]],OP_Rates!$O141,Calc_TUR_ENV_2[[Rate type]:[Rate type]],OP_Rates!$M141),8))),0,1))</f>
        <v>-</v>
      </c>
      <c r="T141" s="239" t="str" cm="1">
        <f t="array" ref="T141">IF(T106="-","-",
IF(ROUND(T106,8)=
IF($P141="Network",
ROUND(INDEX(Calc_TUR_Net_2[[Ausnet]:[United Energy]],MATCH(1,(Calc_TUR_Net_2[[Customer type]:[Customer type]]=OP_Rates!$O141)*(Calc_TUR_Net_2[[Rate type]:[Rate type]]=OP_Rates!$M141),0),MATCH(OP_Rates!T$65,Calc_TUR_Net_2[[#Headers],[Ausnet]:[United Energy]],0)),8),
IF($P141="Environmental",
ROUND(SUMIFS(Calc_TUR_ENV_2[Powercor],Calc_TUR_ENV_2[[Customer type]:[Customer type]],OP_Rates!$O141,Calc_TUR_ENV_2[[Rate type]:[Rate type]],OP_Rates!$M141),8))),0,1))</f>
        <v>-</v>
      </c>
      <c r="U141" s="239" t="str" cm="1">
        <f t="array" ref="U141">IF(U106="-","-",
IF(ROUND(U106,8)=
IF($P141="Network",
ROUND(INDEX(Calc_TUR_Net_2[[Ausnet]:[United Energy]],MATCH(1,(Calc_TUR_Net_2[[Customer type]:[Customer type]]=OP_Rates!$O141)*(Calc_TUR_Net_2[[Rate type]:[Rate type]]=OP_Rates!$M141),0),MATCH(OP_Rates!U$65,Calc_TUR_Net_2[[#Headers],[Ausnet]:[United Energy]],0)),8),
IF($P141="Environmental",
ROUND(SUMIFS(Calc_TUR_ENV_2[United Energy],Calc_TUR_ENV_2[[Customer type]:[Customer type]],OP_Rates!$O141,Calc_TUR_ENV_2[[Rate type]:[Rate type]],OP_Rates!$M141),8))),0,1))</f>
        <v>-</v>
      </c>
    </row>
    <row r="142" spans="3:21" ht="15.75" hidden="1" outlineLevel="2" x14ac:dyDescent="0.25">
      <c r="C142" s="59" t="s">
        <v>221</v>
      </c>
      <c r="D142" s="59" t="s">
        <v>282</v>
      </c>
      <c r="E142" s="59" t="s">
        <v>92</v>
      </c>
      <c r="F142" s="59" t="s">
        <v>151</v>
      </c>
      <c r="G142" s="239" cm="1">
        <f t="array" ref="G142">IF(G107="-","-",
IF(ROUND(G107,8)=
IF($F142="Network",
IF($C142&lt;&gt;"Controlled load",
ROUND(INDEX(Calc_TUR_Net_2[[Ausnet]:[United Energy]],MATCH(1,(Calc_TUR_Net_2[[Customer type]:[Customer type]]=OP_Rates!$E142)*(Calc_TUR_Net_2[[Rate type]:[Rate type]]=OP_Rates!$C142),0),MATCH(OP_Rates!G$65,Calc_TUR_Net_2[[#Headers],[Ausnet]:[United Energy]],0)),8),
ROUND(INDEX(Calc_TUR_NetCL_2[[Ausnet]:[United Energy]],MATCH(OP_Rates!$E142,Calc_TUR_Net_2[[Customer type]:[Customer type]],0),MATCH(OP_Rates!G$65,Calc_TUR_Net_2[[#Headers],[Ausnet]:[United Energy]],0)),8)),
IF($F142="Environmental",
ROUND(SUMIFS(Calc_TUR_ENV_2[Ausnet],Calc_TUR_ENV_2[[Customer type]:[Customer type]],OP_Rates!$E142,Calc_TUR_ENV_2[[Rate type]:[Rate type]],OP_Rates!$C142),8))),0,1))</f>
        <v>0</v>
      </c>
      <c r="H142" s="239" cm="1">
        <f t="array" ref="H142">IF(H107="-","-",
IF(ROUND(H107,8)=
IF($F142="Network",
IF($C142&lt;&gt;"Controlled load",
ROUND(INDEX(Calc_TUR_Net_2[[Ausnet]:[United Energy]],MATCH(1,(Calc_TUR_Net_2[[Customer type]:[Customer type]]=OP_Rates!$E142)*(Calc_TUR_Net_2[[Rate type]:[Rate type]]=OP_Rates!$C142),0),MATCH(OP_Rates!H$65,Calc_TUR_Net_2[[#Headers],[Ausnet]:[United Energy]],0)),8),
ROUND(INDEX(Calc_TUR_NetCL_2[[Ausnet]:[United Energy]],MATCH(OP_Rates!$E142,Calc_TUR_Net_2[[Customer type]:[Customer type]],0),MATCH(OP_Rates!H$65,Calc_TUR_Net_2[[#Headers],[Ausnet]:[United Energy]],0)),8)),
IF($F142="Environmental",
ROUND(SUMIFS(Calc_TUR_ENV_2[Citipower],Calc_TUR_ENV_2[[Customer type]:[Customer type]],OP_Rates!$E142,Calc_TUR_ENV_2[[Rate type]:[Rate type]],OP_Rates!$C142),8))),0,1))</f>
        <v>0</v>
      </c>
      <c r="I142" s="239" cm="1">
        <f t="array" ref="I142">IF(I107="-","-",
IF(ROUND(I107,8)=
IF($F142="Network",
IF($C142&lt;&gt;"Controlled load",
ROUND(INDEX(Calc_TUR_Net_2[[Ausnet]:[United Energy]],MATCH(1,(Calc_TUR_Net_2[[Customer type]:[Customer type]]=OP_Rates!$E142)*(Calc_TUR_Net_2[[Rate type]:[Rate type]]=OP_Rates!$C142),0),MATCH(OP_Rates!I$65,Calc_TUR_Net_2[[#Headers],[Ausnet]:[United Energy]],0)),8),
ROUND(INDEX(Calc_TUR_NetCL_2[[Ausnet]:[United Energy]],MATCH(OP_Rates!$E142,Calc_TUR_Net_2[[Customer type]:[Customer type]],0),MATCH(OP_Rates!I$65,Calc_TUR_Net_2[[#Headers],[Ausnet]:[United Energy]],0)),8)),
IF($F142="Environmental",
ROUND(SUMIFS(Calc_TUR_ENV_2[Jemena],Calc_TUR_ENV_2[[Customer type]:[Customer type]],OP_Rates!$E142,Calc_TUR_ENV_2[[Rate type]:[Rate type]],OP_Rates!$C142),8))),0,1))</f>
        <v>0</v>
      </c>
      <c r="J142" s="239" cm="1">
        <f t="array" ref="J142">IF(J107="-","-",
IF(ROUND(J107,8)=
IF($F142="Network",
IF($C142&lt;&gt;"Controlled load",
ROUND(INDEX(Calc_TUR_Net_2[[Ausnet]:[United Energy]],MATCH(1,(Calc_TUR_Net_2[[Customer type]:[Customer type]]=OP_Rates!$E142)*(Calc_TUR_Net_2[[Rate type]:[Rate type]]=OP_Rates!$C142),0),MATCH(OP_Rates!J$65,Calc_TUR_Net_2[[#Headers],[Ausnet]:[United Energy]],0)),8),
ROUND(INDEX(Calc_TUR_NetCL_2[[Ausnet]:[United Energy]],MATCH(OP_Rates!$E142,Calc_TUR_Net_2[[Customer type]:[Customer type]],0),MATCH(OP_Rates!J$65,Calc_TUR_Net_2[[#Headers],[Ausnet]:[United Energy]],0)),8)),
IF($F142="Environmental",
ROUND(SUMIFS(Calc_TUR_ENV_2[Powercor],Calc_TUR_ENV_2[[Customer type]:[Customer type]],OP_Rates!$E142,Calc_TUR_ENV_2[[Rate type]:[Rate type]],OP_Rates!$C142),8))),0,1))</f>
        <v>0</v>
      </c>
      <c r="K142" s="239" cm="1">
        <f t="array" ref="K142">IF(K107="-","-",
IF(ROUND(K107,8)=
IF($F142="Network",
IF($C142&lt;&gt;"Controlled load",
ROUND(INDEX(Calc_TUR_Net_2[[Ausnet]:[United Energy]],MATCH(1,(Calc_TUR_Net_2[[Customer type]:[Customer type]]=OP_Rates!$E142)*(Calc_TUR_Net_2[[Rate type]:[Rate type]]=OP_Rates!$C142),0),MATCH(OP_Rates!K$65,Calc_TUR_Net_2[[#Headers],[Ausnet]:[United Energy]],0)),8),
ROUND(INDEX(Calc_TUR_NetCL_2[[Ausnet]:[United Energy]],MATCH(OP_Rates!$E142,Calc_TUR_Net_2[[Customer type]:[Customer type]],0),MATCH(OP_Rates!K$65,Calc_TUR_Net_2[[#Headers],[Ausnet]:[United Energy]],0)),8)),
IF($F142="Environmental",
ROUND(SUMIFS(Calc_TUR_ENV_2[United Energy],Calc_TUR_ENV_2[[Customer type]:[Customer type]],OP_Rates!$E142,Calc_TUR_ENV_2[[Rate type]:[Rate type]],OP_Rates!$C142),8))),0,1))</f>
        <v>0</v>
      </c>
      <c r="M142" s="59" t="s">
        <v>221</v>
      </c>
      <c r="N142" s="59" t="s">
        <v>282</v>
      </c>
      <c r="O142" s="59" t="s">
        <v>93</v>
      </c>
      <c r="P142" s="59" t="s">
        <v>151</v>
      </c>
      <c r="Q142" s="239" cm="1">
        <f t="array" ref="Q142">IF(Q107="-","-",
IF(ROUND(Q107,8)=
IF($P142="Network",
ROUND(INDEX(Calc_TUR_Net_2[[Ausnet]:[United Energy]],MATCH(1,(Calc_TUR_Net_2[[Customer type]:[Customer type]]=OP_Rates!$O142)*(Calc_TUR_Net_2[[Rate type]:[Rate type]]=OP_Rates!$M142),0),MATCH(OP_Rates!Q$65,Calc_TUR_Net_2[[#Headers],[Ausnet]:[United Energy]],0)),8),
IF($P142="Environmental",
ROUND(SUMIFS(Calc_TUR_ENV_2[Ausnet],Calc_TUR_ENV_2[[Customer type]:[Customer type]],OP_Rates!$O142,Calc_TUR_ENV_2[[Rate type]:[Rate type]],OP_Rates!$M142),8))),0,1))</f>
        <v>0</v>
      </c>
      <c r="R142" s="239" cm="1">
        <f t="array" ref="R142">IF(R107="-","-",
IF(ROUND(R107,8)=
IF($P142="Network",
ROUND(INDEX(Calc_TUR_Net_2[[Ausnet]:[United Energy]],MATCH(1,(Calc_TUR_Net_2[[Customer type]:[Customer type]]=OP_Rates!$O142)*(Calc_TUR_Net_2[[Rate type]:[Rate type]]=OP_Rates!$M142),0),MATCH(OP_Rates!R$65,Calc_TUR_Net_2[[#Headers],[Ausnet]:[United Energy]],0)),8),
IF($P142="Environmental",
ROUND(SUMIFS(Calc_TUR_ENV_2[Citipower],Calc_TUR_ENV_2[[Customer type]:[Customer type]],OP_Rates!$O142,Calc_TUR_ENV_2[[Rate type]:[Rate type]],OP_Rates!$M142),8))),0,1))</f>
        <v>0</v>
      </c>
      <c r="S142" s="239" cm="1">
        <f t="array" ref="S142">IF(S107="-","-",
IF(ROUND(S107,8)=
IF($P142="Network",
ROUND(INDEX(Calc_TUR_Net_2[[Ausnet]:[United Energy]],MATCH(1,(Calc_TUR_Net_2[[Customer type]:[Customer type]]=OP_Rates!$O142)*(Calc_TUR_Net_2[[Rate type]:[Rate type]]=OP_Rates!$M142),0),MATCH(OP_Rates!S$65,Calc_TUR_Net_2[[#Headers],[Ausnet]:[United Energy]],0)),8),
IF($P142="Environmental",
ROUND(SUMIFS(Calc_TUR_ENV_2[Jemena],Calc_TUR_ENV_2[[Customer type]:[Customer type]],OP_Rates!$O142,Calc_TUR_ENV_2[[Rate type]:[Rate type]],OP_Rates!$M142),8))),0,1))</f>
        <v>0</v>
      </c>
      <c r="T142" s="239" cm="1">
        <f t="array" ref="T142">IF(T107="-","-",
IF(ROUND(T107,8)=
IF($P142="Network",
ROUND(INDEX(Calc_TUR_Net_2[[Ausnet]:[United Energy]],MATCH(1,(Calc_TUR_Net_2[[Customer type]:[Customer type]]=OP_Rates!$O142)*(Calc_TUR_Net_2[[Rate type]:[Rate type]]=OP_Rates!$M142),0),MATCH(OP_Rates!T$65,Calc_TUR_Net_2[[#Headers],[Ausnet]:[United Energy]],0)),8),
IF($P142="Environmental",
ROUND(SUMIFS(Calc_TUR_ENV_2[Powercor],Calc_TUR_ENV_2[[Customer type]:[Customer type]],OP_Rates!$O142,Calc_TUR_ENV_2[[Rate type]:[Rate type]],OP_Rates!$M142),8))),0,1))</f>
        <v>0</v>
      </c>
      <c r="U142" s="239" cm="1">
        <f t="array" ref="U142">IF(U107="-","-",
IF(ROUND(U107,8)=
IF($P142="Network",
ROUND(INDEX(Calc_TUR_Net_2[[Ausnet]:[United Energy]],MATCH(1,(Calc_TUR_Net_2[[Customer type]:[Customer type]]=OP_Rates!$O142)*(Calc_TUR_Net_2[[Rate type]:[Rate type]]=OP_Rates!$M142),0),MATCH(OP_Rates!U$65,Calc_TUR_Net_2[[#Headers],[Ausnet]:[United Energy]],0)),8),
IF($P142="Environmental",
ROUND(SUMIFS(Calc_TUR_ENV_2[United Energy],Calc_TUR_ENV_2[[Customer type]:[Customer type]],OP_Rates!$O142,Calc_TUR_ENV_2[[Rate type]:[Rate type]],OP_Rates!$M142),8))),0,1))</f>
        <v>0</v>
      </c>
    </row>
    <row r="143" spans="3:21" ht="15.75" hidden="1" outlineLevel="2" x14ac:dyDescent="0.25">
      <c r="C143" s="59" t="s">
        <v>228</v>
      </c>
      <c r="D143" s="59" t="s">
        <v>282</v>
      </c>
      <c r="E143" s="59" t="s">
        <v>92</v>
      </c>
      <c r="F143" s="59" t="s">
        <v>151</v>
      </c>
      <c r="G143" s="239" cm="1">
        <f t="array" ref="G143">IF(G108="-","-",
IF(ROUND(G108,8)=
IF($F143="Network",
IF($C143&lt;&gt;"Controlled load",
ROUND(INDEX(Calc_TUR_Net_2[[Ausnet]:[United Energy]],MATCH(1,(Calc_TUR_Net_2[[Customer type]:[Customer type]]=OP_Rates!$E143)*(Calc_TUR_Net_2[[Rate type]:[Rate type]]=OP_Rates!$C143),0),MATCH(OP_Rates!G$65,Calc_TUR_Net_2[[#Headers],[Ausnet]:[United Energy]],0)),8),
ROUND(INDEX(Calc_TUR_NetCL_2[[Ausnet]:[United Energy]],MATCH(OP_Rates!$E143,Calc_TUR_Net_2[[Customer type]:[Customer type]],0),MATCH(OP_Rates!G$65,Calc_TUR_Net_2[[#Headers],[Ausnet]:[United Energy]],0)),8)),
IF($F143="Environmental",
ROUND(SUMIFS(Calc_TUR_ENV_2[Ausnet],Calc_TUR_ENV_2[[Customer type]:[Customer type]],OP_Rates!$E143,Calc_TUR_ENV_2[[Rate type]:[Rate type]],OP_Rates!$C143),8))),0,1))</f>
        <v>0</v>
      </c>
      <c r="H143" s="239" cm="1">
        <f t="array" ref="H143">IF(H108="-","-",
IF(ROUND(H108,8)=
IF($F143="Network",
IF($C143&lt;&gt;"Controlled load",
ROUND(INDEX(Calc_TUR_Net_2[[Ausnet]:[United Energy]],MATCH(1,(Calc_TUR_Net_2[[Customer type]:[Customer type]]=OP_Rates!$E143)*(Calc_TUR_Net_2[[Rate type]:[Rate type]]=OP_Rates!$C143),0),MATCH(OP_Rates!H$65,Calc_TUR_Net_2[[#Headers],[Ausnet]:[United Energy]],0)),8),
ROUND(INDEX(Calc_TUR_NetCL_2[[Ausnet]:[United Energy]],MATCH(OP_Rates!$E143,Calc_TUR_Net_2[[Customer type]:[Customer type]],0),MATCH(OP_Rates!H$65,Calc_TUR_Net_2[[#Headers],[Ausnet]:[United Energy]],0)),8)),
IF($F143="Environmental",
ROUND(SUMIFS(Calc_TUR_ENV_2[Citipower],Calc_TUR_ENV_2[[Customer type]:[Customer type]],OP_Rates!$E143,Calc_TUR_ENV_2[[Rate type]:[Rate type]],OP_Rates!$C143),8))),0,1))</f>
        <v>0</v>
      </c>
      <c r="I143" s="239" cm="1">
        <f t="array" ref="I143">IF(I108="-","-",
IF(ROUND(I108,8)=
IF($F143="Network",
IF($C143&lt;&gt;"Controlled load",
ROUND(INDEX(Calc_TUR_Net_2[[Ausnet]:[United Energy]],MATCH(1,(Calc_TUR_Net_2[[Customer type]:[Customer type]]=OP_Rates!$E143)*(Calc_TUR_Net_2[[Rate type]:[Rate type]]=OP_Rates!$C143),0),MATCH(OP_Rates!I$65,Calc_TUR_Net_2[[#Headers],[Ausnet]:[United Energy]],0)),8),
ROUND(INDEX(Calc_TUR_NetCL_2[[Ausnet]:[United Energy]],MATCH(OP_Rates!$E143,Calc_TUR_Net_2[[Customer type]:[Customer type]],0),MATCH(OP_Rates!I$65,Calc_TUR_Net_2[[#Headers],[Ausnet]:[United Energy]],0)),8)),
IF($F143="Environmental",
ROUND(SUMIFS(Calc_TUR_ENV_2[Jemena],Calc_TUR_ENV_2[[Customer type]:[Customer type]],OP_Rates!$E143,Calc_TUR_ENV_2[[Rate type]:[Rate type]],OP_Rates!$C143),8))),0,1))</f>
        <v>0</v>
      </c>
      <c r="J143" s="239" cm="1">
        <f t="array" ref="J143">IF(J108="-","-",
IF(ROUND(J108,8)=
IF($F143="Network",
IF($C143&lt;&gt;"Controlled load",
ROUND(INDEX(Calc_TUR_Net_2[[Ausnet]:[United Energy]],MATCH(1,(Calc_TUR_Net_2[[Customer type]:[Customer type]]=OP_Rates!$E143)*(Calc_TUR_Net_2[[Rate type]:[Rate type]]=OP_Rates!$C143),0),MATCH(OP_Rates!J$65,Calc_TUR_Net_2[[#Headers],[Ausnet]:[United Energy]],0)),8),
ROUND(INDEX(Calc_TUR_NetCL_2[[Ausnet]:[United Energy]],MATCH(OP_Rates!$E143,Calc_TUR_Net_2[[Customer type]:[Customer type]],0),MATCH(OP_Rates!J$65,Calc_TUR_Net_2[[#Headers],[Ausnet]:[United Energy]],0)),8)),
IF($F143="Environmental",
ROUND(SUMIFS(Calc_TUR_ENV_2[Powercor],Calc_TUR_ENV_2[[Customer type]:[Customer type]],OP_Rates!$E143,Calc_TUR_ENV_2[[Rate type]:[Rate type]],OP_Rates!$C143),8))),0,1))</f>
        <v>0</v>
      </c>
      <c r="K143" s="239" cm="1">
        <f t="array" ref="K143">IF(K108="-","-",
IF(ROUND(K108,8)=
IF($F143="Network",
IF($C143&lt;&gt;"Controlled load",
ROUND(INDEX(Calc_TUR_Net_2[[Ausnet]:[United Energy]],MATCH(1,(Calc_TUR_Net_2[[Customer type]:[Customer type]]=OP_Rates!$E143)*(Calc_TUR_Net_2[[Rate type]:[Rate type]]=OP_Rates!$C143),0),MATCH(OP_Rates!K$65,Calc_TUR_Net_2[[#Headers],[Ausnet]:[United Energy]],0)),8),
ROUND(INDEX(Calc_TUR_NetCL_2[[Ausnet]:[United Energy]],MATCH(OP_Rates!$E143,Calc_TUR_Net_2[[Customer type]:[Customer type]],0),MATCH(OP_Rates!K$65,Calc_TUR_Net_2[[#Headers],[Ausnet]:[United Energy]],0)),8)),
IF($F143="Environmental",
ROUND(SUMIFS(Calc_TUR_ENV_2[United Energy],Calc_TUR_ENV_2[[Customer type]:[Customer type]],OP_Rates!$E143,Calc_TUR_ENV_2[[Rate type]:[Rate type]],OP_Rates!$C143),8))),0,1))</f>
        <v>0</v>
      </c>
      <c r="M143" s="59" t="s">
        <v>228</v>
      </c>
      <c r="N143" s="59" t="s">
        <v>282</v>
      </c>
      <c r="O143" s="59" t="s">
        <v>93</v>
      </c>
      <c r="P143" s="59" t="s">
        <v>151</v>
      </c>
      <c r="Q143" s="239" cm="1">
        <f t="array" ref="Q143">IF(Q108="-","-",
IF(ROUND(Q108,8)=
IF($P143="Network",
ROUND(INDEX(Calc_TUR_Net_2[[Ausnet]:[United Energy]],MATCH(1,(Calc_TUR_Net_2[[Customer type]:[Customer type]]=OP_Rates!$O143)*(Calc_TUR_Net_2[[Rate type]:[Rate type]]=OP_Rates!$M143),0),MATCH(OP_Rates!Q$65,Calc_TUR_Net_2[[#Headers],[Ausnet]:[United Energy]],0)),8),
IF($P143="Environmental",
ROUND(SUMIFS(Calc_TUR_ENV_2[Ausnet],Calc_TUR_ENV_2[[Customer type]:[Customer type]],OP_Rates!$O143,Calc_TUR_ENV_2[[Rate type]:[Rate type]],OP_Rates!$M143),8))),0,1))</f>
        <v>0</v>
      </c>
      <c r="R143" s="239" cm="1">
        <f t="array" ref="R143">IF(R108="-","-",
IF(ROUND(R108,8)=
IF($P143="Network",
ROUND(INDEX(Calc_TUR_Net_2[[Ausnet]:[United Energy]],MATCH(1,(Calc_TUR_Net_2[[Customer type]:[Customer type]]=OP_Rates!$O143)*(Calc_TUR_Net_2[[Rate type]:[Rate type]]=OP_Rates!$M143),0),MATCH(OP_Rates!R$65,Calc_TUR_Net_2[[#Headers],[Ausnet]:[United Energy]],0)),8),
IF($P143="Environmental",
ROUND(SUMIFS(Calc_TUR_ENV_2[Citipower],Calc_TUR_ENV_2[[Customer type]:[Customer type]],OP_Rates!$O143,Calc_TUR_ENV_2[[Rate type]:[Rate type]],OP_Rates!$M143),8))),0,1))</f>
        <v>0</v>
      </c>
      <c r="S143" s="239" cm="1">
        <f t="array" ref="S143">IF(S108="-","-",
IF(ROUND(S108,8)=
IF($P143="Network",
ROUND(INDEX(Calc_TUR_Net_2[[Ausnet]:[United Energy]],MATCH(1,(Calc_TUR_Net_2[[Customer type]:[Customer type]]=OP_Rates!$O143)*(Calc_TUR_Net_2[[Rate type]:[Rate type]]=OP_Rates!$M143),0),MATCH(OP_Rates!S$65,Calc_TUR_Net_2[[#Headers],[Ausnet]:[United Energy]],0)),8),
IF($P143="Environmental",
ROUND(SUMIFS(Calc_TUR_ENV_2[Jemena],Calc_TUR_ENV_2[[Customer type]:[Customer type]],OP_Rates!$O143,Calc_TUR_ENV_2[[Rate type]:[Rate type]],OP_Rates!$M143),8))),0,1))</f>
        <v>0</v>
      </c>
      <c r="T143" s="239" cm="1">
        <f t="array" ref="T143">IF(T108="-","-",
IF(ROUND(T108,8)=
IF($P143="Network",
ROUND(INDEX(Calc_TUR_Net_2[[Ausnet]:[United Energy]],MATCH(1,(Calc_TUR_Net_2[[Customer type]:[Customer type]]=OP_Rates!$O143)*(Calc_TUR_Net_2[[Rate type]:[Rate type]]=OP_Rates!$M143),0),MATCH(OP_Rates!T$65,Calc_TUR_Net_2[[#Headers],[Ausnet]:[United Energy]],0)),8),
IF($P143="Environmental",
ROUND(SUMIFS(Calc_TUR_ENV_2[Powercor],Calc_TUR_ENV_2[[Customer type]:[Customer type]],OP_Rates!$O143,Calc_TUR_ENV_2[[Rate type]:[Rate type]],OP_Rates!$M143),8))),0,1))</f>
        <v>0</v>
      </c>
      <c r="U143" s="239" cm="1">
        <f t="array" ref="U143">IF(U108="-","-",
IF(ROUND(U108,8)=
IF($P143="Network",
ROUND(INDEX(Calc_TUR_Net_2[[Ausnet]:[United Energy]],MATCH(1,(Calc_TUR_Net_2[[Customer type]:[Customer type]]=OP_Rates!$O143)*(Calc_TUR_Net_2[[Rate type]:[Rate type]]=OP_Rates!$M143),0),MATCH(OP_Rates!U$65,Calc_TUR_Net_2[[#Headers],[Ausnet]:[United Energy]],0)),8),
IF($P143="Environmental",
ROUND(SUMIFS(Calc_TUR_ENV_2[United Energy],Calc_TUR_ENV_2[[Customer type]:[Customer type]],OP_Rates!$O143,Calc_TUR_ENV_2[[Rate type]:[Rate type]],OP_Rates!$M143),8))),0,1))</f>
        <v>0</v>
      </c>
    </row>
    <row r="144" spans="3:21" ht="15.75" hidden="1" outlineLevel="2" x14ac:dyDescent="0.25">
      <c r="C144" s="59" t="s">
        <v>549</v>
      </c>
      <c r="D144" s="59" t="s">
        <v>282</v>
      </c>
      <c r="E144" s="59" t="s">
        <v>92</v>
      </c>
      <c r="F144" s="59" t="s">
        <v>151</v>
      </c>
      <c r="G144" s="239" cm="1">
        <f t="array" ref="G144">IF(G109="-","-",
IF(ROUND(G109,8)=
IF($F144="Network",
IF($C144&lt;&gt;"Controlled load",
ROUND(INDEX(Calc_TUR_Net_2[[Ausnet]:[United Energy]],MATCH(1,(Calc_TUR_Net_2[[Customer type]:[Customer type]]=OP_Rates!$E144)*(Calc_TUR_Net_2[[Rate type]:[Rate type]]=OP_Rates!$C144),0),MATCH(OP_Rates!G$65,Calc_TUR_Net_2[[#Headers],[Ausnet]:[United Energy]],0)),8),
ROUND(INDEX(Calc_TUR_NetCL_2[[Ausnet]:[United Energy]],MATCH(OP_Rates!$E144,Calc_TUR_Net_2[[Customer type]:[Customer type]],0),MATCH(OP_Rates!G$65,Calc_TUR_Net_2[[#Headers],[Ausnet]:[United Energy]],0)),8)),
IF($F144="Environmental",
ROUND(SUMIFS(Calc_TUR_ENV_2[Ausnet],Calc_TUR_ENV_2[[Customer type]:[Customer type]],OP_Rates!$E144,Calc_TUR_ENV_2[[Rate type]:[Rate type]],OP_Rates!$C144),8))),0,1))</f>
        <v>0</v>
      </c>
      <c r="H144" s="239" cm="1">
        <f t="array" ref="H144">IF(H109="-","-",
IF(ROUND(H109,8)=
IF($F144="Network",
IF($C144&lt;&gt;"Controlled load",
ROUND(INDEX(Calc_TUR_Net_2[[Ausnet]:[United Energy]],MATCH(1,(Calc_TUR_Net_2[[Customer type]:[Customer type]]=OP_Rates!$E144)*(Calc_TUR_Net_2[[Rate type]:[Rate type]]=OP_Rates!$C144),0),MATCH(OP_Rates!H$65,Calc_TUR_Net_2[[#Headers],[Ausnet]:[United Energy]],0)),8),
ROUND(INDEX(Calc_TUR_NetCL_2[[Ausnet]:[United Energy]],MATCH(OP_Rates!$E144,Calc_TUR_Net_2[[Customer type]:[Customer type]],0),MATCH(OP_Rates!H$65,Calc_TUR_Net_2[[#Headers],[Ausnet]:[United Energy]],0)),8)),
IF($F144="Environmental",
ROUND(SUMIFS(Calc_TUR_ENV_2[Citipower],Calc_TUR_ENV_2[[Customer type]:[Customer type]],OP_Rates!$E144,Calc_TUR_ENV_2[[Rate type]:[Rate type]],OP_Rates!$C144),8))),0,1))</f>
        <v>0</v>
      </c>
      <c r="I144" s="239" cm="1">
        <f t="array" ref="I144">IF(I109="-","-",
IF(ROUND(I109,8)=
IF($F144="Network",
IF($C144&lt;&gt;"Controlled load",
ROUND(INDEX(Calc_TUR_Net_2[[Ausnet]:[United Energy]],MATCH(1,(Calc_TUR_Net_2[[Customer type]:[Customer type]]=OP_Rates!$E144)*(Calc_TUR_Net_2[[Rate type]:[Rate type]]=OP_Rates!$C144),0),MATCH(OP_Rates!I$65,Calc_TUR_Net_2[[#Headers],[Ausnet]:[United Energy]],0)),8),
ROUND(INDEX(Calc_TUR_NetCL_2[[Ausnet]:[United Energy]],MATCH(OP_Rates!$E144,Calc_TUR_Net_2[[Customer type]:[Customer type]],0),MATCH(OP_Rates!I$65,Calc_TUR_Net_2[[#Headers],[Ausnet]:[United Energy]],0)),8)),
IF($F144="Environmental",
ROUND(SUMIFS(Calc_TUR_ENV_2[Jemena],Calc_TUR_ENV_2[[Customer type]:[Customer type]],OP_Rates!$E144,Calc_TUR_ENV_2[[Rate type]:[Rate type]],OP_Rates!$C144),8))),0,1))</f>
        <v>0</v>
      </c>
      <c r="J144" s="239" cm="1">
        <f t="array" ref="J144">IF(J109="-","-",
IF(ROUND(J109,8)=
IF($F144="Network",
IF($C144&lt;&gt;"Controlled load",
ROUND(INDEX(Calc_TUR_Net_2[[Ausnet]:[United Energy]],MATCH(1,(Calc_TUR_Net_2[[Customer type]:[Customer type]]=OP_Rates!$E144)*(Calc_TUR_Net_2[[Rate type]:[Rate type]]=OP_Rates!$C144),0),MATCH(OP_Rates!J$65,Calc_TUR_Net_2[[#Headers],[Ausnet]:[United Energy]],0)),8),
ROUND(INDEX(Calc_TUR_NetCL_2[[Ausnet]:[United Energy]],MATCH(OP_Rates!$E144,Calc_TUR_Net_2[[Customer type]:[Customer type]],0),MATCH(OP_Rates!J$65,Calc_TUR_Net_2[[#Headers],[Ausnet]:[United Energy]],0)),8)),
IF($F144="Environmental",
ROUND(SUMIFS(Calc_TUR_ENV_2[Powercor],Calc_TUR_ENV_2[[Customer type]:[Customer type]],OP_Rates!$E144,Calc_TUR_ENV_2[[Rate type]:[Rate type]],OP_Rates!$C144),8))),0,1))</f>
        <v>0</v>
      </c>
      <c r="K144" s="239" cm="1">
        <f t="array" ref="K144">IF(K109="-","-",
IF(ROUND(K109,8)=
IF($F144="Network",
IF($C144&lt;&gt;"Controlled load",
ROUND(INDEX(Calc_TUR_Net_2[[Ausnet]:[United Energy]],MATCH(1,(Calc_TUR_Net_2[[Customer type]:[Customer type]]=OP_Rates!$E144)*(Calc_TUR_Net_2[[Rate type]:[Rate type]]=OP_Rates!$C144),0),MATCH(OP_Rates!K$65,Calc_TUR_Net_2[[#Headers],[Ausnet]:[United Energy]],0)),8),
ROUND(INDEX(Calc_TUR_NetCL_2[[Ausnet]:[United Energy]],MATCH(OP_Rates!$E144,Calc_TUR_Net_2[[Customer type]:[Customer type]],0),MATCH(OP_Rates!K$65,Calc_TUR_Net_2[[#Headers],[Ausnet]:[United Energy]],0)),8)),
IF($F144="Environmental",
ROUND(SUMIFS(Calc_TUR_ENV_2[United Energy],Calc_TUR_ENV_2[[Customer type]:[Customer type]],OP_Rates!$E144,Calc_TUR_ENV_2[[Rate type]:[Rate type]],OP_Rates!$C144),8))),0,1))</f>
        <v>0</v>
      </c>
      <c r="M144" s="59" t="s">
        <v>549</v>
      </c>
      <c r="N144" s="59" t="s">
        <v>282</v>
      </c>
      <c r="O144" s="59" t="s">
        <v>93</v>
      </c>
      <c r="P144" s="59" t="s">
        <v>151</v>
      </c>
      <c r="Q144" s="239" cm="1">
        <f t="array" ref="Q144">IF(Q109="-","-",
IF(ROUND(Q109,8)=
IF($P144="Network",
ROUND(INDEX(Calc_TUR_Net_2[[Ausnet]:[United Energy]],MATCH(1,(Calc_TUR_Net_2[[Customer type]:[Customer type]]=OP_Rates!$O144)*(Calc_TUR_Net_2[[Rate type]:[Rate type]]=OP_Rates!$M144),0),MATCH(OP_Rates!Q$65,Calc_TUR_Net_2[[#Headers],[Ausnet]:[United Energy]],0)),8),
IF($P144="Environmental",
ROUND(SUMIFS(Calc_TUR_ENV_2[Ausnet],Calc_TUR_ENV_2[[Customer type]:[Customer type]],OP_Rates!$O144,Calc_TUR_ENV_2[[Rate type]:[Rate type]],OP_Rates!$M144),8))),0,1))</f>
        <v>0</v>
      </c>
      <c r="R144" s="239" cm="1">
        <f t="array" ref="R144">IF(R109="-","-",
IF(ROUND(R109,8)=
IF($P144="Network",
ROUND(INDEX(Calc_TUR_Net_2[[Ausnet]:[United Energy]],MATCH(1,(Calc_TUR_Net_2[[Customer type]:[Customer type]]=OP_Rates!$O144)*(Calc_TUR_Net_2[[Rate type]:[Rate type]]=OP_Rates!$M144),0),MATCH(OP_Rates!R$65,Calc_TUR_Net_2[[#Headers],[Ausnet]:[United Energy]],0)),8),
IF($P144="Environmental",
ROUND(SUMIFS(Calc_TUR_ENV_2[Citipower],Calc_TUR_ENV_2[[Customer type]:[Customer type]],OP_Rates!$O144,Calc_TUR_ENV_2[[Rate type]:[Rate type]],OP_Rates!$M144),8))),0,1))</f>
        <v>0</v>
      </c>
      <c r="S144" s="239" cm="1">
        <f t="array" ref="S144">IF(S109="-","-",
IF(ROUND(S109,8)=
IF($P144="Network",
ROUND(INDEX(Calc_TUR_Net_2[[Ausnet]:[United Energy]],MATCH(1,(Calc_TUR_Net_2[[Customer type]:[Customer type]]=OP_Rates!$O144)*(Calc_TUR_Net_2[[Rate type]:[Rate type]]=OP_Rates!$M144),0),MATCH(OP_Rates!S$65,Calc_TUR_Net_2[[#Headers],[Ausnet]:[United Energy]],0)),8),
IF($P144="Environmental",
ROUND(SUMIFS(Calc_TUR_ENV_2[Jemena],Calc_TUR_ENV_2[[Customer type]:[Customer type]],OP_Rates!$O144,Calc_TUR_ENV_2[[Rate type]:[Rate type]],OP_Rates!$M144),8))),0,1))</f>
        <v>0</v>
      </c>
      <c r="T144" s="239" cm="1">
        <f t="array" ref="T144">IF(T109="-","-",
IF(ROUND(T109,8)=
IF($P144="Network",
ROUND(INDEX(Calc_TUR_Net_2[[Ausnet]:[United Energy]],MATCH(1,(Calc_TUR_Net_2[[Customer type]:[Customer type]]=OP_Rates!$O144)*(Calc_TUR_Net_2[[Rate type]:[Rate type]]=OP_Rates!$M144),0),MATCH(OP_Rates!T$65,Calc_TUR_Net_2[[#Headers],[Ausnet]:[United Energy]],0)),8),
IF($P144="Environmental",
ROUND(SUMIFS(Calc_TUR_ENV_2[Powercor],Calc_TUR_ENV_2[[Customer type]:[Customer type]],OP_Rates!$O144,Calc_TUR_ENV_2[[Rate type]:[Rate type]],OP_Rates!$M144),8))),0,1))</f>
        <v>0</v>
      </c>
      <c r="U144" s="239" cm="1">
        <f t="array" ref="U144">IF(U109="-","-",
IF(ROUND(U109,8)=
IF($P144="Network",
ROUND(INDEX(Calc_TUR_Net_2[[Ausnet]:[United Energy]],MATCH(1,(Calc_TUR_Net_2[[Customer type]:[Customer type]]=OP_Rates!$O144)*(Calc_TUR_Net_2[[Rate type]:[Rate type]]=OP_Rates!$M144),0),MATCH(OP_Rates!U$65,Calc_TUR_Net_2[[#Headers],[Ausnet]:[United Energy]],0)),8),
IF($P144="Environmental",
ROUND(SUMIFS(Calc_TUR_ENV_2[United Energy],Calc_TUR_ENV_2[[Customer type]:[Customer type]],OP_Rates!$O144,Calc_TUR_ENV_2[[Rate type]:[Rate type]],OP_Rates!$M144),8))),0,1))</f>
        <v>0</v>
      </c>
    </row>
    <row r="145" spans="3:21" ht="15.75" hidden="1" outlineLevel="2" x14ac:dyDescent="0.25">
      <c r="C145" s="59" t="s">
        <v>230</v>
      </c>
      <c r="D145" s="59" t="s">
        <v>282</v>
      </c>
      <c r="E145" s="59" t="s">
        <v>92</v>
      </c>
      <c r="F145" s="59" t="s">
        <v>151</v>
      </c>
      <c r="G145" s="239" cm="1">
        <f t="array" ref="G145">IF(G110="-","-",
IF(ROUND(G110,8)=
IF($F145="Network",
IF($C145&lt;&gt;"Controlled load",
ROUND(INDEX(Calc_TUR_Net_2[[Ausnet]:[United Energy]],MATCH(1,(Calc_TUR_Net_2[[Customer type]:[Customer type]]=OP_Rates!$E145)*(Calc_TUR_Net_2[[Rate type]:[Rate type]]=OP_Rates!$C145),0),MATCH(OP_Rates!G$65,Calc_TUR_Net_2[[#Headers],[Ausnet]:[United Energy]],0)),8),
ROUND(INDEX(Calc_TUR_NetCL_2[[Ausnet]:[United Energy]],MATCH(OP_Rates!$E145,Calc_TUR_Net_2[[Customer type]:[Customer type]],0),MATCH(OP_Rates!G$65,Calc_TUR_Net_2[[#Headers],[Ausnet]:[United Energy]],0)),8)),
IF($F145="Environmental",
ROUND(SUMIFS(Calc_TUR_ENV_2[Ausnet],Calc_TUR_ENV_2[[Customer type]:[Customer type]],OP_Rates!$E145,Calc_TUR_ENV_2[[Rate type]:[Rate type]],OP_Rates!$C145),8))),0,1))</f>
        <v>0</v>
      </c>
      <c r="H145" s="239" cm="1">
        <f t="array" ref="H145">IF(H110="-","-",
IF(ROUND(H110,8)=
IF($F145="Network",
IF($C145&lt;&gt;"Controlled load",
ROUND(INDEX(Calc_TUR_Net_2[[Ausnet]:[United Energy]],MATCH(1,(Calc_TUR_Net_2[[Customer type]:[Customer type]]=OP_Rates!$E145)*(Calc_TUR_Net_2[[Rate type]:[Rate type]]=OP_Rates!$C145),0),MATCH(OP_Rates!H$65,Calc_TUR_Net_2[[#Headers],[Ausnet]:[United Energy]],0)),8),
ROUND(INDEX(Calc_TUR_NetCL_2[[Ausnet]:[United Energy]],MATCH(OP_Rates!$E145,Calc_TUR_Net_2[[Customer type]:[Customer type]],0),MATCH(OP_Rates!H$65,Calc_TUR_Net_2[[#Headers],[Ausnet]:[United Energy]],0)),8)),
IF($F145="Environmental",
ROUND(SUMIFS(Calc_TUR_ENV_2[Citipower],Calc_TUR_ENV_2[[Customer type]:[Customer type]],OP_Rates!$E145,Calc_TUR_ENV_2[[Rate type]:[Rate type]],OP_Rates!$C145),8))),0,1))</f>
        <v>0</v>
      </c>
      <c r="I145" s="239" cm="1">
        <f t="array" ref="I145">IF(I110="-","-",
IF(ROUND(I110,8)=
IF($F145="Network",
IF($C145&lt;&gt;"Controlled load",
ROUND(INDEX(Calc_TUR_Net_2[[Ausnet]:[United Energy]],MATCH(1,(Calc_TUR_Net_2[[Customer type]:[Customer type]]=OP_Rates!$E145)*(Calc_TUR_Net_2[[Rate type]:[Rate type]]=OP_Rates!$C145),0),MATCH(OP_Rates!I$65,Calc_TUR_Net_2[[#Headers],[Ausnet]:[United Energy]],0)),8),
ROUND(INDEX(Calc_TUR_NetCL_2[[Ausnet]:[United Energy]],MATCH(OP_Rates!$E145,Calc_TUR_Net_2[[Customer type]:[Customer type]],0),MATCH(OP_Rates!I$65,Calc_TUR_Net_2[[#Headers],[Ausnet]:[United Energy]],0)),8)),
IF($F145="Environmental",
ROUND(SUMIFS(Calc_TUR_ENV_2[Jemena],Calc_TUR_ENV_2[[Customer type]:[Customer type]],OP_Rates!$E145,Calc_TUR_ENV_2[[Rate type]:[Rate type]],OP_Rates!$C145),8))),0,1))</f>
        <v>0</v>
      </c>
      <c r="J145" s="239" cm="1">
        <f t="array" ref="J145">IF(J110="-","-",
IF(ROUND(J110,8)=
IF($F145="Network",
IF($C145&lt;&gt;"Controlled load",
ROUND(INDEX(Calc_TUR_Net_2[[Ausnet]:[United Energy]],MATCH(1,(Calc_TUR_Net_2[[Customer type]:[Customer type]]=OP_Rates!$E145)*(Calc_TUR_Net_2[[Rate type]:[Rate type]]=OP_Rates!$C145),0),MATCH(OP_Rates!J$65,Calc_TUR_Net_2[[#Headers],[Ausnet]:[United Energy]],0)),8),
ROUND(INDEX(Calc_TUR_NetCL_2[[Ausnet]:[United Energy]],MATCH(OP_Rates!$E145,Calc_TUR_Net_2[[Customer type]:[Customer type]],0),MATCH(OP_Rates!J$65,Calc_TUR_Net_2[[#Headers],[Ausnet]:[United Energy]],0)),8)),
IF($F145="Environmental",
ROUND(SUMIFS(Calc_TUR_ENV_2[Powercor],Calc_TUR_ENV_2[[Customer type]:[Customer type]],OP_Rates!$E145,Calc_TUR_ENV_2[[Rate type]:[Rate type]],OP_Rates!$C145),8))),0,1))</f>
        <v>0</v>
      </c>
      <c r="K145" s="239" cm="1">
        <f t="array" ref="K145">IF(K110="-","-",
IF(ROUND(K110,8)=
IF($F145="Network",
IF($C145&lt;&gt;"Controlled load",
ROUND(INDEX(Calc_TUR_Net_2[[Ausnet]:[United Energy]],MATCH(1,(Calc_TUR_Net_2[[Customer type]:[Customer type]]=OP_Rates!$E145)*(Calc_TUR_Net_2[[Rate type]:[Rate type]]=OP_Rates!$C145),0),MATCH(OP_Rates!K$65,Calc_TUR_Net_2[[#Headers],[Ausnet]:[United Energy]],0)),8),
ROUND(INDEX(Calc_TUR_NetCL_2[[Ausnet]:[United Energy]],MATCH(OP_Rates!$E145,Calc_TUR_Net_2[[Customer type]:[Customer type]],0),MATCH(OP_Rates!K$65,Calc_TUR_Net_2[[#Headers],[Ausnet]:[United Energy]],0)),8)),
IF($F145="Environmental",
ROUND(SUMIFS(Calc_TUR_ENV_2[United Energy],Calc_TUR_ENV_2[[Customer type]:[Customer type]],OP_Rates!$E145,Calc_TUR_ENV_2[[Rate type]:[Rate type]],OP_Rates!$C145),8))),0,1))</f>
        <v>0</v>
      </c>
      <c r="M145" s="59" t="s">
        <v>230</v>
      </c>
      <c r="N145" s="59" t="s">
        <v>282</v>
      </c>
      <c r="O145" s="59" t="s">
        <v>93</v>
      </c>
      <c r="P145" s="59" t="s">
        <v>151</v>
      </c>
      <c r="Q145" s="239" cm="1">
        <f t="array" ref="Q145">IF(Q110="-","-",
IF(ROUND(Q110,8)=
IF($P145="Network",
ROUND(INDEX(Calc_TUR_Net_2[[Ausnet]:[United Energy]],MATCH(1,(Calc_TUR_Net_2[[Customer type]:[Customer type]]=OP_Rates!$O145)*(Calc_TUR_Net_2[[Rate type]:[Rate type]]=OP_Rates!$M145),0),MATCH(OP_Rates!Q$65,Calc_TUR_Net_2[[#Headers],[Ausnet]:[United Energy]],0)),8),
IF($P145="Environmental",
ROUND(SUMIFS(Calc_TUR_ENV_2[Ausnet],Calc_TUR_ENV_2[[Customer type]:[Customer type]],OP_Rates!$O145,Calc_TUR_ENV_2[[Rate type]:[Rate type]],OP_Rates!$M145),8))),0,1))</f>
        <v>0</v>
      </c>
      <c r="R145" s="239" cm="1">
        <f t="array" ref="R145">IF(R110="-","-",
IF(ROUND(R110,8)=
IF($P145="Network",
ROUND(INDEX(Calc_TUR_Net_2[[Ausnet]:[United Energy]],MATCH(1,(Calc_TUR_Net_2[[Customer type]:[Customer type]]=OP_Rates!$O145)*(Calc_TUR_Net_2[[Rate type]:[Rate type]]=OP_Rates!$M145),0),MATCH(OP_Rates!R$65,Calc_TUR_Net_2[[#Headers],[Ausnet]:[United Energy]],0)),8),
IF($P145="Environmental",
ROUND(SUMIFS(Calc_TUR_ENV_2[Citipower],Calc_TUR_ENV_2[[Customer type]:[Customer type]],OP_Rates!$O145,Calc_TUR_ENV_2[[Rate type]:[Rate type]],OP_Rates!$M145),8))),0,1))</f>
        <v>0</v>
      </c>
      <c r="S145" s="239" cm="1">
        <f t="array" ref="S145">IF(S110="-","-",
IF(ROUND(S110,8)=
IF($P145="Network",
ROUND(INDEX(Calc_TUR_Net_2[[Ausnet]:[United Energy]],MATCH(1,(Calc_TUR_Net_2[[Customer type]:[Customer type]]=OP_Rates!$O145)*(Calc_TUR_Net_2[[Rate type]:[Rate type]]=OP_Rates!$M145),0),MATCH(OP_Rates!S$65,Calc_TUR_Net_2[[#Headers],[Ausnet]:[United Energy]],0)),8),
IF($P145="Environmental",
ROUND(SUMIFS(Calc_TUR_ENV_2[Jemena],Calc_TUR_ENV_2[[Customer type]:[Customer type]],OP_Rates!$O145,Calc_TUR_ENV_2[[Rate type]:[Rate type]],OP_Rates!$M145),8))),0,1))</f>
        <v>0</v>
      </c>
      <c r="T145" s="239" cm="1">
        <f t="array" ref="T145">IF(T110="-","-",
IF(ROUND(T110,8)=
IF($P145="Network",
ROUND(INDEX(Calc_TUR_Net_2[[Ausnet]:[United Energy]],MATCH(1,(Calc_TUR_Net_2[[Customer type]:[Customer type]]=OP_Rates!$O145)*(Calc_TUR_Net_2[[Rate type]:[Rate type]]=OP_Rates!$M145),0),MATCH(OP_Rates!T$65,Calc_TUR_Net_2[[#Headers],[Ausnet]:[United Energy]],0)),8),
IF($P145="Environmental",
ROUND(SUMIFS(Calc_TUR_ENV_2[Powercor],Calc_TUR_ENV_2[[Customer type]:[Customer type]],OP_Rates!$O145,Calc_TUR_ENV_2[[Rate type]:[Rate type]],OP_Rates!$M145),8))),0,1))</f>
        <v>0</v>
      </c>
      <c r="U145" s="239" cm="1">
        <f t="array" ref="U145">IF(U110="-","-",
IF(ROUND(U110,8)=
IF($P145="Network",
ROUND(INDEX(Calc_TUR_Net_2[[Ausnet]:[United Energy]],MATCH(1,(Calc_TUR_Net_2[[Customer type]:[Customer type]]=OP_Rates!$O145)*(Calc_TUR_Net_2[[Rate type]:[Rate type]]=OP_Rates!$M145),0),MATCH(OP_Rates!U$65,Calc_TUR_Net_2[[#Headers],[Ausnet]:[United Energy]],0)),8),
IF($P145="Environmental",
ROUND(SUMIFS(Calc_TUR_ENV_2[United Energy],Calc_TUR_ENV_2[[Customer type]:[Customer type]],OP_Rates!$O145,Calc_TUR_ENV_2[[Rate type]:[Rate type]],OP_Rates!$M145),8))),0,1))</f>
        <v>0</v>
      </c>
    </row>
    <row r="146" spans="3:21" ht="15.75" hidden="1" outlineLevel="2" x14ac:dyDescent="0.25">
      <c r="C146" s="59" t="s">
        <v>609</v>
      </c>
      <c r="D146" s="59" t="s">
        <v>282</v>
      </c>
      <c r="E146" s="59" t="s">
        <v>92</v>
      </c>
      <c r="F146" s="59" t="s">
        <v>151</v>
      </c>
      <c r="G146" s="239" cm="1">
        <f t="array" ref="G146">IF(G111="-","-",
IF(ROUND(G111,8)=
IF($F146="Network",
IF($C146&lt;&gt;"Controlled load",
ROUND(INDEX(Calc_TUR_Net_2[[Ausnet]:[United Energy]],MATCH(1,(Calc_TUR_Net_2[[Customer type]:[Customer type]]=OP_Rates!$E146)*(Calc_TUR_Net_2[[Rate type]:[Rate type]]=OP_Rates!$C146),0),MATCH(OP_Rates!G$65,Calc_TUR_Net_2[[#Headers],[Ausnet]:[United Energy]],0)),8),
ROUND(INDEX(Calc_TUR_NetCL_2[[Ausnet]:[United Energy]],MATCH(OP_Rates!$E146,Calc_TUR_Net_2[[Customer type]:[Customer type]],0),MATCH(OP_Rates!G$65,Calc_TUR_Net_2[[#Headers],[Ausnet]:[United Energy]],0)),8)),
IF($F146="Environmental",
ROUND(SUMIFS(Calc_TUR_ENV_2[Ausnet],Calc_TUR_ENV_2[[Customer type]:[Customer type]],OP_Rates!$E146,Calc_TUR_ENV_2[[Rate type]:[Rate type]],OP_Rates!$C146),8))),0,1))</f>
        <v>0</v>
      </c>
      <c r="H146" s="239" cm="1">
        <f t="array" ref="H146">IF(H111="-","-",
IF(ROUND(H111,8)=
IF($F146="Network",
IF($C146&lt;&gt;"Controlled load",
ROUND(INDEX(Calc_TUR_Net_2[[Ausnet]:[United Energy]],MATCH(1,(Calc_TUR_Net_2[[Customer type]:[Customer type]]=OP_Rates!$E146)*(Calc_TUR_Net_2[[Rate type]:[Rate type]]=OP_Rates!$C146),0),MATCH(OP_Rates!H$65,Calc_TUR_Net_2[[#Headers],[Ausnet]:[United Energy]],0)),8),
ROUND(INDEX(Calc_TUR_NetCL_2[[Ausnet]:[United Energy]],MATCH(OP_Rates!$E146,Calc_TUR_Net_2[[Customer type]:[Customer type]],0),MATCH(OP_Rates!H$65,Calc_TUR_Net_2[[#Headers],[Ausnet]:[United Energy]],0)),8)),
IF($F146="Environmental",
ROUND(SUMIFS(Calc_TUR_ENV_2[Citipower],Calc_TUR_ENV_2[[Customer type]:[Customer type]],OP_Rates!$E146,Calc_TUR_ENV_2[[Rate type]:[Rate type]],OP_Rates!$C146),8))),0,1))</f>
        <v>0</v>
      </c>
      <c r="I146" s="239" cm="1">
        <f t="array" ref="I146">IF(I111="-","-",
IF(ROUND(I111,8)=
IF($F146="Network",
IF($C146&lt;&gt;"Controlled load",
ROUND(INDEX(Calc_TUR_Net_2[[Ausnet]:[United Energy]],MATCH(1,(Calc_TUR_Net_2[[Customer type]:[Customer type]]=OP_Rates!$E146)*(Calc_TUR_Net_2[[Rate type]:[Rate type]]=OP_Rates!$C146),0),MATCH(OP_Rates!I$65,Calc_TUR_Net_2[[#Headers],[Ausnet]:[United Energy]],0)),8),
ROUND(INDEX(Calc_TUR_NetCL_2[[Ausnet]:[United Energy]],MATCH(OP_Rates!$E146,Calc_TUR_Net_2[[Customer type]:[Customer type]],0),MATCH(OP_Rates!I$65,Calc_TUR_Net_2[[#Headers],[Ausnet]:[United Energy]],0)),8)),
IF($F146="Environmental",
ROUND(SUMIFS(Calc_TUR_ENV_2[Jemena],Calc_TUR_ENV_2[[Customer type]:[Customer type]],OP_Rates!$E146,Calc_TUR_ENV_2[[Rate type]:[Rate type]],OP_Rates!$C146),8))),0,1))</f>
        <v>0</v>
      </c>
      <c r="J146" s="239" cm="1">
        <f t="array" ref="J146">IF(J111="-","-",
IF(ROUND(J111,8)=
IF($F146="Network",
IF($C146&lt;&gt;"Controlled load",
ROUND(INDEX(Calc_TUR_Net_2[[Ausnet]:[United Energy]],MATCH(1,(Calc_TUR_Net_2[[Customer type]:[Customer type]]=OP_Rates!$E146)*(Calc_TUR_Net_2[[Rate type]:[Rate type]]=OP_Rates!$C146),0),MATCH(OP_Rates!J$65,Calc_TUR_Net_2[[#Headers],[Ausnet]:[United Energy]],0)),8),
ROUND(INDEX(Calc_TUR_NetCL_2[[Ausnet]:[United Energy]],MATCH(OP_Rates!$E146,Calc_TUR_Net_2[[Customer type]:[Customer type]],0),MATCH(OP_Rates!J$65,Calc_TUR_Net_2[[#Headers],[Ausnet]:[United Energy]],0)),8)),
IF($F146="Environmental",
ROUND(SUMIFS(Calc_TUR_ENV_2[Powercor],Calc_TUR_ENV_2[[Customer type]:[Customer type]],OP_Rates!$E146,Calc_TUR_ENV_2[[Rate type]:[Rate type]],OP_Rates!$C146),8))),0,1))</f>
        <v>0</v>
      </c>
      <c r="K146" s="239" cm="1">
        <f t="array" ref="K146">IF(K111="-","-",
IF(ROUND(K111,8)=
IF($F146="Network",
IF($C146&lt;&gt;"Controlled load",
ROUND(INDEX(Calc_TUR_Net_2[[Ausnet]:[United Energy]],MATCH(1,(Calc_TUR_Net_2[[Customer type]:[Customer type]]=OP_Rates!$E146)*(Calc_TUR_Net_2[[Rate type]:[Rate type]]=OP_Rates!$C146),0),MATCH(OP_Rates!K$65,Calc_TUR_Net_2[[#Headers],[Ausnet]:[United Energy]],0)),8),
ROUND(INDEX(Calc_TUR_NetCL_2[[Ausnet]:[United Energy]],MATCH(OP_Rates!$E146,Calc_TUR_Net_2[[Customer type]:[Customer type]],0),MATCH(OP_Rates!K$65,Calc_TUR_Net_2[[#Headers],[Ausnet]:[United Energy]],0)),8)),
IF($F146="Environmental",
ROUND(SUMIFS(Calc_TUR_ENV_2[United Energy],Calc_TUR_ENV_2[[Customer type]:[Customer type]],OP_Rates!$E146,Calc_TUR_ENV_2[[Rate type]:[Rate type]],OP_Rates!$C146),8))),0,1))</f>
        <v>0</v>
      </c>
      <c r="M146" s="59" t="s">
        <v>609</v>
      </c>
      <c r="N146" s="59" t="s">
        <v>282</v>
      </c>
      <c r="O146" s="59" t="s">
        <v>93</v>
      </c>
      <c r="P146" s="59" t="s">
        <v>151</v>
      </c>
      <c r="Q146" s="239" cm="1">
        <f t="array" ref="Q146">IF(Q111="-","-",
IF(ROUND(Q111,8)=
IF($P146="Network",
ROUND(INDEX(Calc_TUR_Net_2[[Ausnet]:[United Energy]],MATCH(1,(Calc_TUR_Net_2[[Customer type]:[Customer type]]=OP_Rates!$O146)*(Calc_TUR_Net_2[[Rate type]:[Rate type]]=OP_Rates!$M146),0),MATCH(OP_Rates!Q$65,Calc_TUR_Net_2[[#Headers],[Ausnet]:[United Energy]],0)),8),
IF($P146="Environmental",
ROUND(SUMIFS(Calc_TUR_ENV_2[Ausnet],Calc_TUR_ENV_2[[Customer type]:[Customer type]],OP_Rates!$O146,Calc_TUR_ENV_2[[Rate type]:[Rate type]],OP_Rates!$M146),8))),0,1))</f>
        <v>0</v>
      </c>
      <c r="R146" s="239" cm="1">
        <f t="array" ref="R146">IF(R111="-","-",
IF(ROUND(R111,8)=
IF($P146="Network",
ROUND(INDEX(Calc_TUR_Net_2[[Ausnet]:[United Energy]],MATCH(1,(Calc_TUR_Net_2[[Customer type]:[Customer type]]=OP_Rates!$O146)*(Calc_TUR_Net_2[[Rate type]:[Rate type]]=OP_Rates!$M146),0),MATCH(OP_Rates!R$65,Calc_TUR_Net_2[[#Headers],[Ausnet]:[United Energy]],0)),8),
IF($P146="Environmental",
ROUND(SUMIFS(Calc_TUR_ENV_2[Citipower],Calc_TUR_ENV_2[[Customer type]:[Customer type]],OP_Rates!$O146,Calc_TUR_ENV_2[[Rate type]:[Rate type]],OP_Rates!$M146),8))),0,1))</f>
        <v>0</v>
      </c>
      <c r="S146" s="239" cm="1">
        <f t="array" ref="S146">IF(S111="-","-",
IF(ROUND(S111,8)=
IF($P146="Network",
ROUND(INDEX(Calc_TUR_Net_2[[Ausnet]:[United Energy]],MATCH(1,(Calc_TUR_Net_2[[Customer type]:[Customer type]]=OP_Rates!$O146)*(Calc_TUR_Net_2[[Rate type]:[Rate type]]=OP_Rates!$M146),0),MATCH(OP_Rates!S$65,Calc_TUR_Net_2[[#Headers],[Ausnet]:[United Energy]],0)),8),
IF($P146="Environmental",
ROUND(SUMIFS(Calc_TUR_ENV_2[Jemena],Calc_TUR_ENV_2[[Customer type]:[Customer type]],OP_Rates!$O146,Calc_TUR_ENV_2[[Rate type]:[Rate type]],OP_Rates!$M146),8))),0,1))</f>
        <v>0</v>
      </c>
      <c r="T146" s="239" cm="1">
        <f t="array" ref="T146">IF(T111="-","-",
IF(ROUND(T111,8)=
IF($P146="Network",
ROUND(INDEX(Calc_TUR_Net_2[[Ausnet]:[United Energy]],MATCH(1,(Calc_TUR_Net_2[[Customer type]:[Customer type]]=OP_Rates!$O146)*(Calc_TUR_Net_2[[Rate type]:[Rate type]]=OP_Rates!$M146),0),MATCH(OP_Rates!T$65,Calc_TUR_Net_2[[#Headers],[Ausnet]:[United Energy]],0)),8),
IF($P146="Environmental",
ROUND(SUMIFS(Calc_TUR_ENV_2[Powercor],Calc_TUR_ENV_2[[Customer type]:[Customer type]],OP_Rates!$O146,Calc_TUR_ENV_2[[Rate type]:[Rate type]],OP_Rates!$M146),8))),0,1))</f>
        <v>0</v>
      </c>
      <c r="U146" s="239" cm="1">
        <f t="array" ref="U146">IF(U111="-","-",
IF(ROUND(U111,8)=
IF($P146="Network",
ROUND(INDEX(Calc_TUR_Net_2[[Ausnet]:[United Energy]],MATCH(1,(Calc_TUR_Net_2[[Customer type]:[Customer type]]=OP_Rates!$O146)*(Calc_TUR_Net_2[[Rate type]:[Rate type]]=OP_Rates!$M146),0),MATCH(OP_Rates!U$65,Calc_TUR_Net_2[[#Headers],[Ausnet]:[United Energy]],0)),8),
IF($P146="Environmental",
ROUND(SUMIFS(Calc_TUR_ENV_2[United Energy],Calc_TUR_ENV_2[[Customer type]:[Customer type]],OP_Rates!$O146,Calc_TUR_ENV_2[[Rate type]:[Rate type]],OP_Rates!$M146),8))),0,1))</f>
        <v>0</v>
      </c>
    </row>
    <row r="147" spans="3:21" ht="15.75" hidden="1" outlineLevel="2" x14ac:dyDescent="0.25">
      <c r="C147" s="59" t="s">
        <v>287</v>
      </c>
      <c r="D147" s="59" t="s">
        <v>282</v>
      </c>
      <c r="E147" s="59" t="s">
        <v>92</v>
      </c>
      <c r="F147" s="59" t="s">
        <v>151</v>
      </c>
      <c r="G147" s="239" cm="1">
        <f t="array" ref="G147">IF(G112="-","-",
IF(ROUND(G112,8)=
IF($F147="Network",
IF($C147&lt;&gt;"Controlled load",
ROUND(INDEX(Calc_TUR_Net_2[[Ausnet]:[United Energy]],MATCH(1,(Calc_TUR_Net_2[[Customer type]:[Customer type]]=OP_Rates!$E147)*(Calc_TUR_Net_2[[Rate type]:[Rate type]]=OP_Rates!$C147),0),MATCH(OP_Rates!G$65,Calc_TUR_Net_2[[#Headers],[Ausnet]:[United Energy]],0)),8),
ROUND(INDEX(Calc_TUR_NetCL_2[[Ausnet]:[United Energy]],MATCH(OP_Rates!$E147,Calc_TUR_Net_2[[Customer type]:[Customer type]],0),MATCH(OP_Rates!G$65,Calc_TUR_Net_2[[#Headers],[Ausnet]:[United Energy]],0)),8)),
IF($F147="Environmental",
ROUND(SUMIFS(Calc_TUR_ENV_2[Ausnet],Calc_TUR_ENV_2[[Customer type]:[Customer type]],OP_Rates!$E147,Calc_TUR_ENV_2[[Rate type]:[Rate type]],OP_Rates!$C147),8))),0,1))</f>
        <v>0</v>
      </c>
      <c r="H147" s="239" cm="1">
        <f t="array" ref="H147">IF(H112="-","-",
IF(ROUND(H112,8)=
IF($F147="Network",
IF($C147&lt;&gt;"Controlled load",
ROUND(INDEX(Calc_TUR_Net_2[[Ausnet]:[United Energy]],MATCH(1,(Calc_TUR_Net_2[[Customer type]:[Customer type]]=OP_Rates!$E147)*(Calc_TUR_Net_2[[Rate type]:[Rate type]]=OP_Rates!$C147),0),MATCH(OP_Rates!H$65,Calc_TUR_Net_2[[#Headers],[Ausnet]:[United Energy]],0)),8),
ROUND(INDEX(Calc_TUR_NetCL_2[[Ausnet]:[United Energy]],MATCH(OP_Rates!$E147,Calc_TUR_Net_2[[Customer type]:[Customer type]],0),MATCH(OP_Rates!H$65,Calc_TUR_Net_2[[#Headers],[Ausnet]:[United Energy]],0)),8)),
IF($F147="Environmental",
ROUND(SUMIFS(Calc_TUR_ENV_2[Citipower],Calc_TUR_ENV_2[[Customer type]:[Customer type]],OP_Rates!$E147,Calc_TUR_ENV_2[[Rate type]:[Rate type]],OP_Rates!$C147),8))),0,1))</f>
        <v>0</v>
      </c>
      <c r="I147" s="239" cm="1">
        <f t="array" ref="I147">IF(I112="-","-",
IF(ROUND(I112,8)=
IF($F147="Network",
IF($C147&lt;&gt;"Controlled load",
ROUND(INDEX(Calc_TUR_Net_2[[Ausnet]:[United Energy]],MATCH(1,(Calc_TUR_Net_2[[Customer type]:[Customer type]]=OP_Rates!$E147)*(Calc_TUR_Net_2[[Rate type]:[Rate type]]=OP_Rates!$C147),0),MATCH(OP_Rates!I$65,Calc_TUR_Net_2[[#Headers],[Ausnet]:[United Energy]],0)),8),
ROUND(INDEX(Calc_TUR_NetCL_2[[Ausnet]:[United Energy]],MATCH(OP_Rates!$E147,Calc_TUR_Net_2[[Customer type]:[Customer type]],0),MATCH(OP_Rates!I$65,Calc_TUR_Net_2[[#Headers],[Ausnet]:[United Energy]],0)),8)),
IF($F147="Environmental",
ROUND(SUMIFS(Calc_TUR_ENV_2[Jemena],Calc_TUR_ENV_2[[Customer type]:[Customer type]],OP_Rates!$E147,Calc_TUR_ENV_2[[Rate type]:[Rate type]],OP_Rates!$C147),8))),0,1))</f>
        <v>0</v>
      </c>
      <c r="J147" s="239" cm="1">
        <f t="array" ref="J147">IF(J112="-","-",
IF(ROUND(J112,8)=
IF($F147="Network",
IF($C147&lt;&gt;"Controlled load",
ROUND(INDEX(Calc_TUR_Net_2[[Ausnet]:[United Energy]],MATCH(1,(Calc_TUR_Net_2[[Customer type]:[Customer type]]=OP_Rates!$E147)*(Calc_TUR_Net_2[[Rate type]:[Rate type]]=OP_Rates!$C147),0),MATCH(OP_Rates!J$65,Calc_TUR_Net_2[[#Headers],[Ausnet]:[United Energy]],0)),8),
ROUND(INDEX(Calc_TUR_NetCL_2[[Ausnet]:[United Energy]],MATCH(OP_Rates!$E147,Calc_TUR_Net_2[[Customer type]:[Customer type]],0),MATCH(OP_Rates!J$65,Calc_TUR_Net_2[[#Headers],[Ausnet]:[United Energy]],0)),8)),
IF($F147="Environmental",
ROUND(SUMIFS(Calc_TUR_ENV_2[Powercor],Calc_TUR_ENV_2[[Customer type]:[Customer type]],OP_Rates!$E147,Calc_TUR_ENV_2[[Rate type]:[Rate type]],OP_Rates!$C147),8))),0,1))</f>
        <v>0</v>
      </c>
      <c r="K147" s="239" cm="1">
        <f t="array" ref="K147">IF(K112="-","-",
IF(ROUND(K112,8)=
IF($F147="Network",
IF($C147&lt;&gt;"Controlled load",
ROUND(INDEX(Calc_TUR_Net_2[[Ausnet]:[United Energy]],MATCH(1,(Calc_TUR_Net_2[[Customer type]:[Customer type]]=OP_Rates!$E147)*(Calc_TUR_Net_2[[Rate type]:[Rate type]]=OP_Rates!$C147),0),MATCH(OP_Rates!K$65,Calc_TUR_Net_2[[#Headers],[Ausnet]:[United Energy]],0)),8),
ROUND(INDEX(Calc_TUR_NetCL_2[[Ausnet]:[United Energy]],MATCH(OP_Rates!$E147,Calc_TUR_Net_2[[Customer type]:[Customer type]],0),MATCH(OP_Rates!K$65,Calc_TUR_Net_2[[#Headers],[Ausnet]:[United Energy]],0)),8)),
IF($F147="Environmental",
ROUND(SUMIFS(Calc_TUR_ENV_2[United Energy],Calc_TUR_ENV_2[[Customer type]:[Customer type]],OP_Rates!$E147,Calc_TUR_ENV_2[[Rate type]:[Rate type]],OP_Rates!$C147),8))),0,1))</f>
        <v>0</v>
      </c>
      <c r="M147" s="59"/>
      <c r="N147" s="59"/>
      <c r="O147" s="59"/>
      <c r="P147" s="59"/>
      <c r="Q147" s="239"/>
      <c r="R147" s="239"/>
      <c r="S147" s="239"/>
      <c r="T147" s="239"/>
      <c r="U147" s="239"/>
    </row>
    <row r="148" spans="3:21" outlineLevel="1" collapsed="1" x14ac:dyDescent="0.25"/>
    <row r="149" spans="3:21" x14ac:dyDescent="0.25">
      <c r="G149" s="342"/>
    </row>
    <row r="150" spans="3:21" x14ac:dyDescent="0.25">
      <c r="G150" s="342"/>
    </row>
    <row r="151" spans="3:21" x14ac:dyDescent="0.25">
      <c r="G151" s="342"/>
    </row>
    <row r="167" spans="6:10" x14ac:dyDescent="0.25">
      <c r="F167" s="113"/>
      <c r="G167" s="113"/>
      <c r="H167" s="113"/>
      <c r="I167" s="113"/>
      <c r="J167" s="113"/>
    </row>
    <row r="168" spans="6:10" x14ac:dyDescent="0.25">
      <c r="F168" s="113"/>
      <c r="G168" s="113"/>
      <c r="H168" s="113"/>
      <c r="I168" s="113"/>
      <c r="J168" s="113"/>
    </row>
    <row r="169" spans="6:10" x14ac:dyDescent="0.25">
      <c r="F169" s="113"/>
      <c r="G169" s="113"/>
      <c r="H169" s="113"/>
      <c r="I169" s="113"/>
      <c r="J169" s="113"/>
    </row>
    <row r="170" spans="6:10" x14ac:dyDescent="0.25">
      <c r="F170" s="113"/>
      <c r="G170" s="113"/>
      <c r="H170" s="113"/>
      <c r="I170" s="113"/>
      <c r="J170" s="113"/>
    </row>
    <row r="171" spans="6:10" x14ac:dyDescent="0.25">
      <c r="F171" s="113"/>
      <c r="G171" s="113"/>
      <c r="H171" s="113"/>
      <c r="I171" s="113"/>
      <c r="J171" s="113"/>
    </row>
    <row r="172" spans="6:10" x14ac:dyDescent="0.25">
      <c r="F172" s="113"/>
      <c r="G172" s="113"/>
      <c r="H172" s="113"/>
      <c r="I172" s="113"/>
      <c r="J172" s="113"/>
    </row>
    <row r="173" spans="6:10" x14ac:dyDescent="0.25">
      <c r="F173" s="113"/>
      <c r="G173" s="113"/>
      <c r="H173" s="113"/>
      <c r="I173" s="113"/>
      <c r="J173" s="113"/>
    </row>
  </sheetData>
  <sheetProtection algorithmName="SHA-512" hashValue="+XJ5E2YEB1M9SDGt+tC8OCbxtJEmFKaj9Q+LGHdlpcD8CmMKoqSp599oCHn7b6G/KIjE+yrmoQobirAe/eBVgQ==" saltValue="8FvzPCGYnK2RZHWA1alhGw==" spinCount="100000" sheet="1" objects="1" scenarios="1"/>
  <mergeCells count="1">
    <mergeCell ref="A2:A3"/>
  </mergeCells>
  <pageMargins left="0.7" right="0.7" top="0.75" bottom="0.75" header="0.3" footer="0.3"/>
  <tableParts count="12">
    <tablePart r:id="rId1"/>
    <tablePart r:id="rId2"/>
    <tablePart r:id="rId3"/>
    <tablePart r:id="rId4"/>
    <tablePart r:id="rId5"/>
    <tablePart r:id="rId6"/>
    <tablePart r:id="rId7"/>
    <tablePart r:id="rId8"/>
    <tablePart r:id="rId9"/>
    <tablePart r:id="rId10"/>
    <tablePart r:id="rId11"/>
    <tablePart r:id="rId12"/>
  </tableParts>
  <extLst>
    <ext xmlns:x14="http://schemas.microsoft.com/office/spreadsheetml/2009/9/main" uri="{CCE6A557-97BC-4b89-ADB6-D9C93CAAB3DF}">
      <x14:dataValidations xmlns:xm="http://schemas.microsoft.com/office/excel/2006/main" count="2">
        <x14:dataValidation type="list" allowBlank="1" showInputMessage="1" showErrorMessage="1" xr:uid="{AE1D8D9F-4D5B-4AC8-9791-FC1C8C5CF940}">
          <x14:formula1>
            <xm:f>'Lookup refs'!$G$8:$G$10</xm:f>
          </x14:formula1>
          <xm:sqref>O55:O62 O9:O16 E128:E135 O128:O135 O20:O27 E20:E27 E93:E100 O93:O100 E82:E89 O82:O89 E9:E16 E55:E62 E44:E51 O44:O51 E117:E124 O117:O124 O104:O112 E104:E112 E139:E147 O139:O147 E31:E39 O31:O39 E66:E74 O66:O74</xm:sqref>
        </x14:dataValidation>
        <x14:dataValidation type="list" allowBlank="1" showInputMessage="1" showErrorMessage="1" xr:uid="{1A9A4095-A88F-441F-8070-8597F2CE1034}">
          <x14:formula1>
            <xm:f>'Lookup refs'!$E$8:$E$20</xm:f>
          </x14:formula1>
          <xm:sqref>D93:D100 D55:D62 N20:N27 N128:N135 D128:D135 D20:D27 N9:N16 N93:N100 D82:D89 N82:N89 D9:D16 N55:N62 D44:D51 N44:N51 D117:D124 N117:N124 N104:N112 D104:D112 D139:D147 N139:N147 D31:D39 N31:N39 D66:D74 N66:N74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B1C5C-D042-428B-AB68-13F89BD3F2D5}">
  <sheetPr>
    <tabColor rgb="FFCE0058"/>
  </sheetPr>
  <dimension ref="A1:R44"/>
  <sheetViews>
    <sheetView showGridLines="0" topLeftCell="B1" zoomScale="70" zoomScaleNormal="70" workbookViewId="0">
      <pane ySplit="3" topLeftCell="A4" activePane="bottomLeft" state="frozen"/>
      <selection pane="bottomLeft" activeCell="C4" sqref="C4"/>
    </sheetView>
  </sheetViews>
  <sheetFormatPr defaultColWidth="9.42578125" defaultRowHeight="15" outlineLevelCol="1" x14ac:dyDescent="0.25"/>
  <cols>
    <col min="1" max="1" width="100.5703125" hidden="1" customWidth="1" outlineLevel="1"/>
    <col min="2" max="2" width="10.5703125" style="6" customWidth="1" collapsed="1"/>
    <col min="3" max="3" width="20.5703125" customWidth="1"/>
    <col min="4" max="4" width="23.5703125" bestFit="1" customWidth="1"/>
    <col min="5" max="9" width="20.5703125" customWidth="1"/>
    <col min="10" max="10" width="5.5703125" customWidth="1"/>
    <col min="11" max="18" width="20.5703125" customWidth="1"/>
  </cols>
  <sheetData>
    <row r="1" spans="1:18" ht="15" customHeight="1" x14ac:dyDescent="0.25">
      <c r="A1" s="1" t="s">
        <v>20</v>
      </c>
      <c r="B1" s="21"/>
      <c r="C1" s="22"/>
      <c r="D1" s="22"/>
      <c r="E1" s="22"/>
      <c r="F1" s="22"/>
      <c r="G1" s="123" t="s">
        <v>411</v>
      </c>
      <c r="H1" s="96"/>
      <c r="I1" s="22"/>
      <c r="J1" s="22"/>
      <c r="K1" s="22"/>
      <c r="L1" s="22"/>
      <c r="M1" s="22"/>
      <c r="N1" s="22"/>
      <c r="O1" s="22"/>
      <c r="P1" s="22"/>
      <c r="Q1" s="22"/>
      <c r="R1" s="22"/>
    </row>
    <row r="2" spans="1:18" s="4" customFormat="1" ht="50.1" customHeight="1" x14ac:dyDescent="0.25">
      <c r="A2" s="382" t="s">
        <v>21</v>
      </c>
      <c r="B2" s="25"/>
      <c r="C2" s="25" t="str">
        <f>Disclaimer!$B$1</f>
        <v>VDO calculation model</v>
      </c>
      <c r="D2" s="25"/>
      <c r="E2" s="25"/>
      <c r="F2" s="25"/>
      <c r="G2" s="240" t="str">
        <f>Calc_Rates!$D$5</f>
        <v>VDO 2022-23 - Draft</v>
      </c>
      <c r="H2" s="240" t="str">
        <f>Calc_Rates!$D$254</f>
        <v>VDO 2022 - Final</v>
      </c>
      <c r="I2" s="25"/>
      <c r="J2" s="25"/>
      <c r="K2" s="25"/>
      <c r="L2" s="25"/>
      <c r="M2" s="25"/>
      <c r="N2" s="25"/>
      <c r="O2" s="25"/>
      <c r="P2" s="25"/>
      <c r="Q2" s="25"/>
      <c r="R2" s="25"/>
    </row>
    <row r="3" spans="1:18" s="4" customFormat="1" ht="30" customHeight="1" x14ac:dyDescent="0.25">
      <c r="A3" s="383"/>
      <c r="B3" s="27">
        <f ca="1">_xlfn.SHEET()</f>
        <v>11</v>
      </c>
      <c r="C3" s="26" t="s">
        <v>332</v>
      </c>
      <c r="D3" s="26"/>
      <c r="E3" s="26"/>
      <c r="F3" s="26"/>
      <c r="G3" s="95">
        <f>SUM(E15:I17)+SUM(M15:Q17)</f>
        <v>0</v>
      </c>
      <c r="H3" s="95">
        <f>SUM(E29:I31)+SUM(M29:Q31)</f>
        <v>0</v>
      </c>
      <c r="I3" s="26"/>
      <c r="J3" s="26"/>
      <c r="K3" s="26"/>
      <c r="L3" s="26"/>
      <c r="M3" s="26"/>
      <c r="N3" s="26"/>
      <c r="O3" s="26"/>
      <c r="P3" s="26"/>
      <c r="Q3" s="26"/>
      <c r="R3" s="26"/>
    </row>
    <row r="4" spans="1:18" x14ac:dyDescent="0.25">
      <c r="B4"/>
    </row>
    <row r="5" spans="1:18" ht="16.5" thickBot="1" x14ac:dyDescent="0.3">
      <c r="A5" s="1" t="s">
        <v>23</v>
      </c>
      <c r="B5" s="9">
        <f ca="1">MAX(B$3:B4)+0.1</f>
        <v>11.1</v>
      </c>
      <c r="C5" s="28" t="str">
        <f>"CMAB amounts - "&amp;Calc_Rates!$D$5</f>
        <v>CMAB amounts - VDO 2022-23 - Draft</v>
      </c>
      <c r="D5" s="28"/>
      <c r="E5" s="28"/>
      <c r="F5" s="28"/>
      <c r="G5" s="28"/>
      <c r="H5" s="28"/>
      <c r="I5" s="28"/>
      <c r="J5" s="28"/>
      <c r="K5" s="28"/>
      <c r="L5" s="28"/>
      <c r="M5" s="28"/>
      <c r="N5" s="28"/>
      <c r="O5" s="28"/>
      <c r="P5" s="28"/>
      <c r="Q5" s="28"/>
      <c r="R5" s="28"/>
    </row>
    <row r="7" spans="1:18" ht="15.75" x14ac:dyDescent="0.25">
      <c r="C7" s="54" t="s">
        <v>101</v>
      </c>
      <c r="D7" s="41" t="str">
        <f>Calc_Rates!$D$5</f>
        <v>VDO 2022-23 - Draft</v>
      </c>
    </row>
    <row r="9" spans="1:18" ht="15.75" x14ac:dyDescent="0.25">
      <c r="C9" s="29" t="s">
        <v>92</v>
      </c>
      <c r="K9" s="29" t="s">
        <v>93</v>
      </c>
    </row>
    <row r="10" spans="1:18" ht="15.75" x14ac:dyDescent="0.25">
      <c r="C10" s="43" t="s">
        <v>91</v>
      </c>
      <c r="D10" s="43" t="s">
        <v>90</v>
      </c>
      <c r="E10" s="60" t="s">
        <v>268</v>
      </c>
      <c r="F10" s="60" t="s">
        <v>269</v>
      </c>
      <c r="G10" s="60" t="s">
        <v>270</v>
      </c>
      <c r="H10" s="60" t="s">
        <v>271</v>
      </c>
      <c r="I10" s="60" t="s">
        <v>272</v>
      </c>
      <c r="K10" s="43" t="s">
        <v>91</v>
      </c>
      <c r="L10" s="43" t="s">
        <v>90</v>
      </c>
      <c r="M10" s="60" t="s">
        <v>268</v>
      </c>
      <c r="N10" s="60" t="s">
        <v>269</v>
      </c>
      <c r="O10" s="60" t="s">
        <v>270</v>
      </c>
      <c r="P10" s="60" t="s">
        <v>271</v>
      </c>
      <c r="Q10" s="60" t="s">
        <v>272</v>
      </c>
    </row>
    <row r="11" spans="1:18" x14ac:dyDescent="0.25">
      <c r="C11" s="23" t="s">
        <v>92</v>
      </c>
      <c r="D11" s="23" t="s">
        <v>220</v>
      </c>
      <c r="E11" s="120">
        <f>IFERROR(
IF($D$7="VDO 2021 - Final",
ROUNDUP(
(INDEX(OP_TotalRates_RES_1[[Ausnet]:[United Energy]],MATCH("Anytime - supply",OP_TotalRates_RES_1[[Rate name]:[Rate name]],0),MATCH(E$10,OP_TotalRates_RES_1[[#Headers],[Ausnet]:[United Energy]],0))*DiY)+
(IFERROR((INDEX(OP_TotalRates_RES_1[[Ausnet]:[United Energy]],MATCH("Block 1",OP_TotalRates_RES_1[[Rate name]:[Rate name]],0),MATCH(E$10,OP_TotalRates_RES_1[[#Headers],[Ausnet]:[United Energy]],0))*
INDEX(Input_Usage[[F-PreviousVDO_Input]:[F-NextVDO_Input]],MATCH($D11&amp;" - Block 1",Input_Usage[[Ref]:[Ref]],0),MATCH($D$7,Inputs!$I$134:$O$134,0))),0)+
IFERROR((INDEX(OP_TotalRates_RES_1[[Ausnet]:[United Energy]],MATCH("Balance",OP_TotalRates_RES_1[[Rate name]:[Rate name]],0),MATCH(E$10,OP_TotalRates_RES_1[[#Headers],[Ausnet]:[United Energy]],0))*
INDEX(Input_Usage[[F-PreviousVDO_Input]:[F-NextVDO_Input]],MATCH($D11&amp;" - Balance",Input_Usage[[Ref]:[Ref]],0),MATCH($D$7,Inputs!$I$134:$O$134,0))),0)+
IFERROR((INDEX(OP_TotalRates_RES_1[[Ausnet]:[United Energy]],MATCH("Single rate",OP_TotalRates_RES_1[[Rate name]:[Rate name]],0),MATCH(E$10,OP_TotalRates_RES_1[[#Headers],[Ausnet]:[United Energy]],0))*
INDEX(Input_Usage[[F-PreviousVDO_Input]:[F-NextVDO_Input]],MATCH($D11&amp;" - Annual",Input_Usage[[Ref]:[Ref]],0),MATCH($D$7,Inputs!$I$134:$O$134,0))),0)),0),
ROUNDUP(
(INDEX(OP_TotalRates_RES_1[[Ausnet]:[United Energy]],MATCH("TOU - supply",OP_TotalRates_RES_1[[Rate name]:[Rate name]],0),MATCH(E$10,OP_TotalRates_RES_1[[#Headers],[Ausnet]:[United Energy]],0))*DiY)+
(INDEX(OP_TotalRates_RES_1[[Ausnet]:[United Energy]],MATCH("Peak",OP_TotalRates_RES_1[[Rate name]:[Rate name]],0),MATCH(E$10,OP_TotalRates_RES_1[[#Headers],[Ausnet]:[United Energy]],0))*
INDEX(Input_Usage[[F-PreviousVDO_Input]:[F-NextVDO_Input]],MATCH($D11&amp;" - Peak",Input_Usage[[Ref]:[Ref]],0),MATCH($D$7,Inputs!$I$134:$O$134,0)))+
IFERROR((INDEX(OP_TotalRates_RES_1[[Ausnet]:[United Energy]],MATCH("TOU - Shoulder",OP_TotalRates_RES_1[[Rate name]:[Rate name]],0),MATCH(E$10,OP_TotalRates_RES_1[[#Headers],[Ausnet]:[United Energy]],0))*
INDEX(Input_Usage[[F-PreviousVDO_Input]:[F-NextVDO_Input]],MATCH($D11&amp;" - Shoulder",Input_Usage[[Ref]:[Ref]],0),MATCH($D$7,Inputs!$I$134:$O$134,0))),0)+
(INDEX(OP_TotalRates_RES_1[[Ausnet]:[United Energy]],MATCH("Off peak",OP_TotalRates_RES_1[[Rate name]:[Rate name]],0),MATCH(E$10,OP_TotalRates_RES_1[[#Headers],[Ausnet]:[United Energy]],0))*
INDEX(Input_Usage[[F-PreviousVDO_Input]:[F-NextVDO_Input]],MATCH($D11&amp;" - Off peak",Input_Usage[[Ref]:[Ref]],0),MATCH($D$7,Inputs!$I$134:$O$134,0))),0)),"-")</f>
        <v>950</v>
      </c>
      <c r="F11" s="120">
        <f>IFERROR(
IF($D$7="VDO 2021 - Final",
ROUNDUP(
(INDEX(OP_TotalRates_RES_1[[Ausnet]:[United Energy]],MATCH("Anytime - supply",OP_TotalRates_RES_1[[Rate name]:[Rate name]],0),MATCH(F$10,OP_TotalRates_RES_1[[#Headers],[Ausnet]:[United Energy]],0))*DiY)+
(IFERROR((INDEX(OP_TotalRates_RES_1[[Ausnet]:[United Energy]],MATCH("Block 1",OP_TotalRates_RES_1[[Rate name]:[Rate name]],0),MATCH(F$10,OP_TotalRates_RES_1[[#Headers],[Ausnet]:[United Energy]],0))*
INDEX(Input_Usage[[F-PreviousVDO_Input]:[F-NextVDO_Input]],MATCH($D11&amp;" - Block 1",Input_Usage[[Ref]:[Ref]],0),MATCH($D$7,Inputs!$I$134:$O$134,0))),0)+
IFERROR((INDEX(OP_TotalRates_RES_1[[Ausnet]:[United Energy]],MATCH("Balance",OP_TotalRates_RES_1[[Rate name]:[Rate name]],0),MATCH(F$10,OP_TotalRates_RES_1[[#Headers],[Ausnet]:[United Energy]],0))*
INDEX(Input_Usage[[F-PreviousVDO_Input]:[F-NextVDO_Input]],MATCH($D11&amp;" - Balance",Input_Usage[[Ref]:[Ref]],0),MATCH($D$7,Inputs!$I$134:$O$134,0))),0)+
IFERROR((INDEX(OP_TotalRates_RES_1[[Ausnet]:[United Energy]],MATCH("Single rate",OP_TotalRates_RES_1[[Rate name]:[Rate name]],0),MATCH(F$10,OP_TotalRates_RES_1[[#Headers],[Ausnet]:[United Energy]],0))*
INDEX(Input_Usage[[F-PreviousVDO_Input]:[F-NextVDO_Input]],MATCH($D11&amp;" - Annual",Input_Usage[[Ref]:[Ref]],0),MATCH($D$7,Inputs!$I$134:$O$134,0))),0)),0),
ROUNDUP(
(INDEX(OP_TotalRates_RES_1[[Ausnet]:[United Energy]],MATCH("TOU - supply",OP_TotalRates_RES_1[[Rate name]:[Rate name]],0),MATCH(F$10,OP_TotalRates_RES_1[[#Headers],[Ausnet]:[United Energy]],0))*DiY)+
(INDEX(OP_TotalRates_RES_1[[Ausnet]:[United Energy]],MATCH("Peak",OP_TotalRates_RES_1[[Rate name]:[Rate name]],0),MATCH(F$10,OP_TotalRates_RES_1[[#Headers],[Ausnet]:[United Energy]],0))*
INDEX(Input_Usage[[F-PreviousVDO_Input]:[F-NextVDO_Input]],MATCH($D11&amp;" - Peak",Input_Usage[[Ref]:[Ref]],0),MATCH($D$7,Inputs!$I$134:$O$134,0)))+
IFERROR((INDEX(OP_TotalRates_RES_1[[Ausnet]:[United Energy]],MATCH("TOU - Shoulder",OP_TotalRates_RES_1[[Rate name]:[Rate name]],0),MATCH(F$10,OP_TotalRates_RES_1[[#Headers],[Ausnet]:[United Energy]],0))*
INDEX(Input_Usage[[F-PreviousVDO_Input]:[F-NextVDO_Input]],MATCH($D11&amp;" - Shoulder",Input_Usage[[Ref]:[Ref]],0),MATCH($D$7,Inputs!$I$134:$O$134,0))),0)+
(INDEX(OP_TotalRates_RES_1[[Ausnet]:[United Energy]],MATCH("Off peak",OP_TotalRates_RES_1[[Rate name]:[Rate name]],0),MATCH(F$10,OP_TotalRates_RES_1[[#Headers],[Ausnet]:[United Energy]],0))*
INDEX(Input_Usage[[F-PreviousVDO_Input]:[F-NextVDO_Input]],MATCH($D11&amp;" - Off peak",Input_Usage[[Ref]:[Ref]],0),MATCH($D$7,Inputs!$I$134:$O$134,0))),0)),"-")</f>
        <v>846</v>
      </c>
      <c r="G11" s="120">
        <f>IFERROR(
IF($D$7="VDO 2021 - Final",
ROUNDUP(
(INDEX(OP_TotalRates_RES_1[[Ausnet]:[United Energy]],MATCH("Anytime - supply",OP_TotalRates_RES_1[[Rate name]:[Rate name]],0),MATCH(G$10,OP_TotalRates_RES_1[[#Headers],[Ausnet]:[United Energy]],0))*DiY)+
(IFERROR((INDEX(OP_TotalRates_RES_1[[Ausnet]:[United Energy]],MATCH("Block 1",OP_TotalRates_RES_1[[Rate name]:[Rate name]],0),MATCH(G$10,OP_TotalRates_RES_1[[#Headers],[Ausnet]:[United Energy]],0))*
INDEX(Input_Usage[[F-PreviousVDO_Input]:[F-NextVDO_Input]],MATCH($D11&amp;" - Block 1",Input_Usage[[Ref]:[Ref]],0),MATCH($D$7,Inputs!$I$134:$O$134,0))),0)+
IFERROR((INDEX(OP_TotalRates_RES_1[[Ausnet]:[United Energy]],MATCH("Balance",OP_TotalRates_RES_1[[Rate name]:[Rate name]],0),MATCH(G$10,OP_TotalRates_RES_1[[#Headers],[Ausnet]:[United Energy]],0))*
INDEX(Input_Usage[[F-PreviousVDO_Input]:[F-NextVDO_Input]],MATCH($D11&amp;" - Balance",Input_Usage[[Ref]:[Ref]],0),MATCH($D$7,Inputs!$I$134:$O$134,0))),0)+
IFERROR((INDEX(OP_TotalRates_RES_1[[Ausnet]:[United Energy]],MATCH("Single rate",OP_TotalRates_RES_1[[Rate name]:[Rate name]],0),MATCH(G$10,OP_TotalRates_RES_1[[#Headers],[Ausnet]:[United Energy]],0))*
INDEX(Input_Usage[[F-PreviousVDO_Input]:[F-NextVDO_Input]],MATCH($D11&amp;" - Annual",Input_Usage[[Ref]:[Ref]],0),MATCH($D$7,Inputs!$I$134:$O$134,0))),0)),0),
ROUNDUP(
(INDEX(OP_TotalRates_RES_1[[Ausnet]:[United Energy]],MATCH("TOU - supply",OP_TotalRates_RES_1[[Rate name]:[Rate name]],0),MATCH(G$10,OP_TotalRates_RES_1[[#Headers],[Ausnet]:[United Energy]],0))*DiY)+
(INDEX(OP_TotalRates_RES_1[[Ausnet]:[United Energy]],MATCH("Peak",OP_TotalRates_RES_1[[Rate name]:[Rate name]],0),MATCH(G$10,OP_TotalRates_RES_1[[#Headers],[Ausnet]:[United Energy]],0))*
INDEX(Input_Usage[[F-PreviousVDO_Input]:[F-NextVDO_Input]],MATCH($D11&amp;" - Peak",Input_Usage[[Ref]:[Ref]],0),MATCH($D$7,Inputs!$I$134:$O$134,0)))+
IFERROR((INDEX(OP_TotalRates_RES_1[[Ausnet]:[United Energy]],MATCH("TOU - Shoulder",OP_TotalRates_RES_1[[Rate name]:[Rate name]],0),MATCH(G$10,OP_TotalRates_RES_1[[#Headers],[Ausnet]:[United Energy]],0))*
INDEX(Input_Usage[[F-PreviousVDO_Input]:[F-NextVDO_Input]],MATCH($D11&amp;" - Shoulder",Input_Usage[[Ref]:[Ref]],0),MATCH($D$7,Inputs!$I$134:$O$134,0))),0)+
(INDEX(OP_TotalRates_RES_1[[Ausnet]:[United Energy]],MATCH("Off peak",OP_TotalRates_RES_1[[Rate name]:[Rate name]],0),MATCH(G$10,OP_TotalRates_RES_1[[#Headers],[Ausnet]:[United Energy]],0))*
INDEX(Input_Usage[[F-PreviousVDO_Input]:[F-NextVDO_Input]],MATCH($D11&amp;" - Off peak",Input_Usage[[Ref]:[Ref]],0),MATCH($D$7,Inputs!$I$134:$O$134,0))),0)),"-")</f>
        <v>824</v>
      </c>
      <c r="H11" s="120">
        <f>IFERROR(
IF($D$7="VDO 2021 - Final",
ROUNDUP(
(INDEX(OP_TotalRates_RES_1[[Ausnet]:[United Energy]],MATCH("Anytime - supply",OP_TotalRates_RES_1[[Rate name]:[Rate name]],0),MATCH(H$10,OP_TotalRates_RES_1[[#Headers],[Ausnet]:[United Energy]],0))*DiY)+
(IFERROR((INDEX(OP_TotalRates_RES_1[[Ausnet]:[United Energy]],MATCH("Block 1",OP_TotalRates_RES_1[[Rate name]:[Rate name]],0),MATCH(H$10,OP_TotalRates_RES_1[[#Headers],[Ausnet]:[United Energy]],0))*
INDEX(Input_Usage[[F-PreviousVDO_Input]:[F-NextVDO_Input]],MATCH($D11&amp;" - Block 1",Input_Usage[[Ref]:[Ref]],0),MATCH($D$7,Inputs!$I$134:$O$134,0))),0)+
IFERROR((INDEX(OP_TotalRates_RES_1[[Ausnet]:[United Energy]],MATCH("Balance",OP_TotalRates_RES_1[[Rate name]:[Rate name]],0),MATCH(H$10,OP_TotalRates_RES_1[[#Headers],[Ausnet]:[United Energy]],0))*
INDEX(Input_Usage[[F-PreviousVDO_Input]:[F-NextVDO_Input]],MATCH($D11&amp;" - Balance",Input_Usage[[Ref]:[Ref]],0),MATCH($D$7,Inputs!$I$134:$O$134,0))),0)+
IFERROR((INDEX(OP_TotalRates_RES_1[[Ausnet]:[United Energy]],MATCH("Single rate",OP_TotalRates_RES_1[[Rate name]:[Rate name]],0),MATCH(H$10,OP_TotalRates_RES_1[[#Headers],[Ausnet]:[United Energy]],0))*
INDEX(Input_Usage[[F-PreviousVDO_Input]:[F-NextVDO_Input]],MATCH($D11&amp;" - Annual",Input_Usage[[Ref]:[Ref]],0),MATCH($D$7,Inputs!$I$134:$O$134,0))),0)),0),
ROUNDUP(
(INDEX(OP_TotalRates_RES_1[[Ausnet]:[United Energy]],MATCH("TOU - supply",OP_TotalRates_RES_1[[Rate name]:[Rate name]],0),MATCH(H$10,OP_TotalRates_RES_1[[#Headers],[Ausnet]:[United Energy]],0))*DiY)+
(INDEX(OP_TotalRates_RES_1[[Ausnet]:[United Energy]],MATCH("Peak",OP_TotalRates_RES_1[[Rate name]:[Rate name]],0),MATCH(H$10,OP_TotalRates_RES_1[[#Headers],[Ausnet]:[United Energy]],0))*
INDEX(Input_Usage[[F-PreviousVDO_Input]:[F-NextVDO_Input]],MATCH($D11&amp;" - Peak",Input_Usage[[Ref]:[Ref]],0),MATCH($D$7,Inputs!$I$134:$O$134,0)))+
IFERROR((INDEX(OP_TotalRates_RES_1[[Ausnet]:[United Energy]],MATCH("TOU - Shoulder",OP_TotalRates_RES_1[[Rate name]:[Rate name]],0),MATCH(H$10,OP_TotalRates_RES_1[[#Headers],[Ausnet]:[United Energy]],0))*
INDEX(Input_Usage[[F-PreviousVDO_Input]:[F-NextVDO_Input]],MATCH($D11&amp;" - Shoulder",Input_Usage[[Ref]:[Ref]],0),MATCH($D$7,Inputs!$I$134:$O$134,0))),0)+
(INDEX(OP_TotalRates_RES_1[[Ausnet]:[United Energy]],MATCH("Off peak",OP_TotalRates_RES_1[[Rate name]:[Rate name]],0),MATCH(H$10,OP_TotalRates_RES_1[[#Headers],[Ausnet]:[United Energy]],0))*
INDEX(Input_Usage[[F-PreviousVDO_Input]:[F-NextVDO_Input]],MATCH($D11&amp;" - Off peak",Input_Usage[[Ref]:[Ref]],0),MATCH($D$7,Inputs!$I$134:$O$134,0))),0)),"-")</f>
        <v>917</v>
      </c>
      <c r="I11" s="120">
        <f>IFERROR(
IF($D$7="VDO 2021 - Final",
ROUNDUP(
(INDEX(OP_TotalRates_RES_1[[Ausnet]:[United Energy]],MATCH("Anytime - supply",OP_TotalRates_RES_1[[Rate name]:[Rate name]],0),MATCH(I$10,OP_TotalRates_RES_1[[#Headers],[Ausnet]:[United Energy]],0))*DiY)+
(IFERROR((INDEX(OP_TotalRates_RES_1[[Ausnet]:[United Energy]],MATCH("Block 1",OP_TotalRates_RES_1[[Rate name]:[Rate name]],0),MATCH(I$10,OP_TotalRates_RES_1[[#Headers],[Ausnet]:[United Energy]],0))*
INDEX(Input_Usage[[F-PreviousVDO_Input]:[F-NextVDO_Input]],MATCH($D11&amp;" - Block 1",Input_Usage[[Ref]:[Ref]],0),MATCH($D$7,Inputs!$I$134:$O$134,0))),0)+
IFERROR((INDEX(OP_TotalRates_RES_1[[Ausnet]:[United Energy]],MATCH("Balance",OP_TotalRates_RES_1[[Rate name]:[Rate name]],0),MATCH(I$10,OP_TotalRates_RES_1[[#Headers],[Ausnet]:[United Energy]],0))*
INDEX(Input_Usage[[F-PreviousVDO_Input]:[F-NextVDO_Input]],MATCH($D11&amp;" - Balance",Input_Usage[[Ref]:[Ref]],0),MATCH($D$7,Inputs!$I$134:$O$134,0))),0)+
IFERROR((INDEX(OP_TotalRates_RES_1[[Ausnet]:[United Energy]],MATCH("Single rate",OP_TotalRates_RES_1[[Rate name]:[Rate name]],0),MATCH(I$10,OP_TotalRates_RES_1[[#Headers],[Ausnet]:[United Energy]],0))*
INDEX(Input_Usage[[F-PreviousVDO_Input]:[F-NextVDO_Input]],MATCH($D11&amp;" - Annual",Input_Usage[[Ref]:[Ref]],0),MATCH($D$7,Inputs!$I$134:$O$134,0))),0)),0),
ROUNDUP(
(INDEX(OP_TotalRates_RES_1[[Ausnet]:[United Energy]],MATCH("TOU - supply",OP_TotalRates_RES_1[[Rate name]:[Rate name]],0),MATCH(I$10,OP_TotalRates_RES_1[[#Headers],[Ausnet]:[United Energy]],0))*DiY)+
(INDEX(OP_TotalRates_RES_1[[Ausnet]:[United Energy]],MATCH("Peak",OP_TotalRates_RES_1[[Rate name]:[Rate name]],0),MATCH(I$10,OP_TotalRates_RES_1[[#Headers],[Ausnet]:[United Energy]],0))*
INDEX(Input_Usage[[F-PreviousVDO_Input]:[F-NextVDO_Input]],MATCH($D11&amp;" - Peak",Input_Usage[[Ref]:[Ref]],0),MATCH($D$7,Inputs!$I$134:$O$134,0)))+
IFERROR((INDEX(OP_TotalRates_RES_1[[Ausnet]:[United Energy]],MATCH("TOU - Shoulder",OP_TotalRates_RES_1[[Rate name]:[Rate name]],0),MATCH(I$10,OP_TotalRates_RES_1[[#Headers],[Ausnet]:[United Energy]],0))*
INDEX(Input_Usage[[F-PreviousVDO_Input]:[F-NextVDO_Input]],MATCH($D11&amp;" - Shoulder",Input_Usage[[Ref]:[Ref]],0),MATCH($D$7,Inputs!$I$134:$O$134,0))),0)+
(INDEX(OP_TotalRates_RES_1[[Ausnet]:[United Energy]],MATCH("Off peak",OP_TotalRates_RES_1[[Rate name]:[Rate name]],0),MATCH(I$10,OP_TotalRates_RES_1[[#Headers],[Ausnet]:[United Energy]],0))*
INDEX(Input_Usage[[F-PreviousVDO_Input]:[F-NextVDO_Input]],MATCH($D11&amp;" - Off peak",Input_Usage[[Ref]:[Ref]],0),MATCH($D$7,Inputs!$I$134:$O$134,0))),0)),"-")</f>
        <v>827</v>
      </c>
      <c r="K11" s="23" t="s">
        <v>93</v>
      </c>
      <c r="L11" s="23" t="s">
        <v>225</v>
      </c>
      <c r="M11" s="120">
        <f>IFERROR(
IF($D$7="VDO 2021 - Final",
ROUNDUP(
(INDEX(OP_TotalRates_SME_1[[Ausnet]:[United Energy]],MATCH("Anytime - supply",OP_TotalRates_SME_1[[Rate name]:[Rate name]],0),MATCH(M$10,OP_TotalRates_SME_1[[#Headers],[Ausnet]:[United Energy]],0))*DiY)+
(IFERROR((INDEX(OP_TotalRates_SME_1[[Ausnet]:[United Energy]],MATCH("Block 1",OP_TotalRates_SME_1[[Rate name]:[Rate name]],0),MATCH(M$10,OP_TotalRates_SME_1[[#Headers],[Ausnet]:[United Energy]],0))*
INDEX(Input_Usage[[F-PreviousVDO_Input]:[F-NextVDO_Input]],MATCH($L11&amp;" - Block 1",Input_Usage[[Ref]:[Ref]],0),MATCH($D$7,Inputs!$I$134:$O$134,0))),0)+
IFERROR((INDEX(OP_TotalRates_SME_1[[Ausnet]:[United Energy]],MATCH("Balance",OP_TotalRates_SME_1[[Rate name]:[Rate name]],0),MATCH(M$10,OP_TotalRates_SME_1[[#Headers],[Ausnet]:[United Energy]],0))*
INDEX(Input_Usage[[F-PreviousVDO_Input]:[F-NextVDO_Input]],MATCH($L11&amp;" - Balance",Input_Usage[[Ref]:[Ref]],0),MATCH($D$7,Inputs!$I$134:$O$134,0))),0)+
IFERROR((INDEX(OP_TotalRates_SME_1[[Ausnet]:[United Energy]],MATCH("Single rate",OP_TotalRates_SME_1[[Rate name]:[Rate name]],0),MATCH(M$10,OP_TotalRates_SME_1[[#Headers],[Ausnet]:[United Energy]],0))*
INDEX(Input_Usage[[F-PreviousVDO_Input]:[F-NextVDO_Input]],MATCH($L11&amp;" - Annual",Input_Usage[[Ref]:[Ref]],0),MATCH($D$7,Inputs!$I$134:$O$134,0))),0)),0),
ROUNDUP(
(INDEX(OP_TotalRates_SME_1[[Ausnet]:[United Energy]],MATCH("TOU - supply",OP_TotalRates_SME_1[[Rate name]:[Rate name]],0),MATCH(M$10,OP_TotalRates_SME_1[[#Headers],[Ausnet]:[United Energy]],0))*DiY)+
(INDEX(OP_TotalRates_SME_1[[Ausnet]:[United Energy]],MATCH("Peak",OP_TotalRates_SME_1[[Rate name]:[Rate name]],0),MATCH(M$10,OP_TotalRates_SME_1[[#Headers],[Ausnet]:[United Energy]],0))*
INDEX(Input_Usage[[F-PreviousVDO_Input]:[F-NextVDO_Input]],MATCH($L11&amp;" - Peak",Input_Usage[[Ref]:[Ref]],0),MATCH($D$7,Inputs!$I$134:$O$134,0)))+
IFERROR((INDEX(OP_TotalRates_SME_1[[Ausnet]:[United Energy]],MATCH("TOU - Shoulder",OP_TotalRates_SME_1[[Rate name]:[Rate name]],0),MATCH(M$10,OP_TotalRates_SME_1[[#Headers],[Ausnet]:[United Energy]],0))*
INDEX(Input_Usage[[F-PreviousVDO_Input]:[F-NextVDO_Input]],MATCH($L11&amp;" - Shoulder",Input_Usage[[Ref]:[Ref]],0),MATCH($D$7,Inputs!$I$134:$O$134,0))),0)+
(INDEX(OP_TotalRates_SME_1[[Ausnet]:[United Energy]],MATCH("Off peak",OP_TotalRates_SME_1[[Rate name]:[Rate name]],0),MATCH(M$10,OP_TotalRates_SME_1[[#Headers],[Ausnet]:[United Energy]],0))*
INDEX(Input_Usage[[F-PreviousVDO_Input]:[F-NextVDO_Input]],MATCH($L11&amp;" - Off peak",Input_Usage[[Ref]:[Ref]],0),MATCH($D$7,Inputs!$I$134:$O$134,0))),0)),"-")</f>
        <v>3403</v>
      </c>
      <c r="N11" s="120">
        <f>IFERROR(
IF($D$7="VDO 2021 - Final",
ROUNDUP(
(INDEX(OP_TotalRates_SME_1[[Ausnet]:[United Energy]],MATCH("Anytime - supply",OP_TotalRates_SME_1[[Rate name]:[Rate name]],0),MATCH(N$10,OP_TotalRates_SME_1[[#Headers],[Ausnet]:[United Energy]],0))*DiY)+
(IFERROR((INDEX(OP_TotalRates_SME_1[[Ausnet]:[United Energy]],MATCH("Block 1",OP_TotalRates_SME_1[[Rate name]:[Rate name]],0),MATCH(N$10,OP_TotalRates_SME_1[[#Headers],[Ausnet]:[United Energy]],0))*
INDEX(Input_Usage[[F-PreviousVDO_Input]:[F-NextVDO_Input]],MATCH($L11&amp;" - Block 1",Input_Usage[[Ref]:[Ref]],0),MATCH($D$7,Inputs!$I$134:$O$134,0))),0)+
IFERROR((INDEX(OP_TotalRates_SME_1[[Ausnet]:[United Energy]],MATCH("Balance",OP_TotalRates_SME_1[[Rate name]:[Rate name]],0),MATCH(N$10,OP_TotalRates_SME_1[[#Headers],[Ausnet]:[United Energy]],0))*
INDEX(Input_Usage[[F-PreviousVDO_Input]:[F-NextVDO_Input]],MATCH($L11&amp;" - Balance",Input_Usage[[Ref]:[Ref]],0),MATCH($D$7,Inputs!$I$134:$O$134,0))),0)+
IFERROR((INDEX(OP_TotalRates_SME_1[[Ausnet]:[United Energy]],MATCH("Single rate",OP_TotalRates_SME_1[[Rate name]:[Rate name]],0),MATCH(N$10,OP_TotalRates_SME_1[[#Headers],[Ausnet]:[United Energy]],0))*
INDEX(Input_Usage[[F-PreviousVDO_Input]:[F-NextVDO_Input]],MATCH($L11&amp;" - Annual",Input_Usage[[Ref]:[Ref]],0),MATCH($D$7,Inputs!$I$134:$O$134,0))),0)),0),
ROUNDUP(
(INDEX(OP_TotalRates_SME_1[[Ausnet]:[United Energy]],MATCH("TOU - supply",OP_TotalRates_SME_1[[Rate name]:[Rate name]],0),MATCH(N$10,OP_TotalRates_SME_1[[#Headers],[Ausnet]:[United Energy]],0))*DiY)+
(INDEX(OP_TotalRates_SME_1[[Ausnet]:[United Energy]],MATCH("Peak",OP_TotalRates_SME_1[[Rate name]:[Rate name]],0),MATCH(N$10,OP_TotalRates_SME_1[[#Headers],[Ausnet]:[United Energy]],0))*
INDEX(Input_Usage[[F-PreviousVDO_Input]:[F-NextVDO_Input]],MATCH($L11&amp;" - Peak",Input_Usage[[Ref]:[Ref]],0),MATCH($D$7,Inputs!$I$134:$O$134,0)))+
IFERROR((INDEX(OP_TotalRates_SME_1[[Ausnet]:[United Energy]],MATCH("TOU - Shoulder",OP_TotalRates_SME_1[[Rate name]:[Rate name]],0),MATCH(N$10,OP_TotalRates_SME_1[[#Headers],[Ausnet]:[United Energy]],0))*
INDEX(Input_Usage[[F-PreviousVDO_Input]:[F-NextVDO_Input]],MATCH($L11&amp;" - Shoulder",Input_Usage[[Ref]:[Ref]],0),MATCH($D$7,Inputs!$I$134:$O$134,0))),0)+
(INDEX(OP_TotalRates_SME_1[[Ausnet]:[United Energy]],MATCH("Off peak",OP_TotalRates_SME_1[[Rate name]:[Rate name]],0),MATCH(N$10,OP_TotalRates_SME_1[[#Headers],[Ausnet]:[United Energy]],0))*
INDEX(Input_Usage[[F-PreviousVDO_Input]:[F-NextVDO_Input]],MATCH($L11&amp;" - Off peak",Input_Usage[[Ref]:[Ref]],0),MATCH($D$7,Inputs!$I$134:$O$134,0))),0)),"-")</f>
        <v>3026</v>
      </c>
      <c r="O11" s="120">
        <f>IFERROR(
IF($D$7="VDO 2021 - Final",
ROUNDUP(
(INDEX(OP_TotalRates_SME_1[[Ausnet]:[United Energy]],MATCH("Anytime - supply",OP_TotalRates_SME_1[[Rate name]:[Rate name]],0),MATCH(O$10,OP_TotalRates_SME_1[[#Headers],[Ausnet]:[United Energy]],0))*DiY)+
(IFERROR((INDEX(OP_TotalRates_SME_1[[Ausnet]:[United Energy]],MATCH("Block 1",OP_TotalRates_SME_1[[Rate name]:[Rate name]],0),MATCH(O$10,OP_TotalRates_SME_1[[#Headers],[Ausnet]:[United Energy]],0))*
INDEX(Input_Usage[[F-PreviousVDO_Input]:[F-NextVDO_Input]],MATCH($L11&amp;" - Block 1",Input_Usage[[Ref]:[Ref]],0),MATCH($D$7,Inputs!$I$134:$O$134,0))),0)+
IFERROR((INDEX(OP_TotalRates_SME_1[[Ausnet]:[United Energy]],MATCH("Balance",OP_TotalRates_SME_1[[Rate name]:[Rate name]],0),MATCH(O$10,OP_TotalRates_SME_1[[#Headers],[Ausnet]:[United Energy]],0))*
INDEX(Input_Usage[[F-PreviousVDO_Input]:[F-NextVDO_Input]],MATCH($L11&amp;" - Balance",Input_Usage[[Ref]:[Ref]],0),MATCH($D$7,Inputs!$I$134:$O$134,0))),0)+
IFERROR((INDEX(OP_TotalRates_SME_1[[Ausnet]:[United Energy]],MATCH("Single rate",OP_TotalRates_SME_1[[Rate name]:[Rate name]],0),MATCH(O$10,OP_TotalRates_SME_1[[#Headers],[Ausnet]:[United Energy]],0))*
INDEX(Input_Usage[[F-PreviousVDO_Input]:[F-NextVDO_Input]],MATCH($L11&amp;" - Annual",Input_Usage[[Ref]:[Ref]],0),MATCH($D$7,Inputs!$I$134:$O$134,0))),0)),0),
ROUNDUP(
(INDEX(OP_TotalRates_SME_1[[Ausnet]:[United Energy]],MATCH("TOU - supply",OP_TotalRates_SME_1[[Rate name]:[Rate name]],0),MATCH(O$10,OP_TotalRates_SME_1[[#Headers],[Ausnet]:[United Energy]],0))*DiY)+
(INDEX(OP_TotalRates_SME_1[[Ausnet]:[United Energy]],MATCH("Peak",OP_TotalRates_SME_1[[Rate name]:[Rate name]],0),MATCH(O$10,OP_TotalRates_SME_1[[#Headers],[Ausnet]:[United Energy]],0))*
INDEX(Input_Usage[[F-PreviousVDO_Input]:[F-NextVDO_Input]],MATCH($L11&amp;" - Peak",Input_Usage[[Ref]:[Ref]],0),MATCH($D$7,Inputs!$I$134:$O$134,0)))+
IFERROR((INDEX(OP_TotalRates_SME_1[[Ausnet]:[United Energy]],MATCH("TOU - Shoulder",OP_TotalRates_SME_1[[Rate name]:[Rate name]],0),MATCH(O$10,OP_TotalRates_SME_1[[#Headers],[Ausnet]:[United Energy]],0))*
INDEX(Input_Usage[[F-PreviousVDO_Input]:[F-NextVDO_Input]],MATCH($L11&amp;" - Shoulder",Input_Usage[[Ref]:[Ref]],0),MATCH($D$7,Inputs!$I$134:$O$134,0))),0)+
(INDEX(OP_TotalRates_SME_1[[Ausnet]:[United Energy]],MATCH("Off peak",OP_TotalRates_SME_1[[Rate name]:[Rate name]],0),MATCH(O$10,OP_TotalRates_SME_1[[#Headers],[Ausnet]:[United Energy]],0))*
INDEX(Input_Usage[[F-PreviousVDO_Input]:[F-NextVDO_Input]],MATCH($L11&amp;" - Off peak",Input_Usage[[Ref]:[Ref]],0),MATCH($D$7,Inputs!$I$134:$O$134,0))),0)),"-")</f>
        <v>3195</v>
      </c>
      <c r="P11" s="120">
        <f>IFERROR(
IF($D$7="VDO 2021 - Final",
ROUNDUP(
(INDEX(OP_TotalRates_SME_1[[Ausnet]:[United Energy]],MATCH("Anytime - supply",OP_TotalRates_SME_1[[Rate name]:[Rate name]],0),MATCH(P$10,OP_TotalRates_SME_1[[#Headers],[Ausnet]:[United Energy]],0))*DiY)+
(IFERROR((INDEX(OP_TotalRates_SME_1[[Ausnet]:[United Energy]],MATCH("Block 1",OP_TotalRates_SME_1[[Rate name]:[Rate name]],0),MATCH(P$10,OP_TotalRates_SME_1[[#Headers],[Ausnet]:[United Energy]],0))*
INDEX(Input_Usage[[F-PreviousVDO_Input]:[F-NextVDO_Input]],MATCH($L11&amp;" - Block 1",Input_Usage[[Ref]:[Ref]],0),MATCH($D$7,Inputs!$I$134:$O$134,0))),0)+
IFERROR((INDEX(OP_TotalRates_SME_1[[Ausnet]:[United Energy]],MATCH("Balance",OP_TotalRates_SME_1[[Rate name]:[Rate name]],0),MATCH(P$10,OP_TotalRates_SME_1[[#Headers],[Ausnet]:[United Energy]],0))*
INDEX(Input_Usage[[F-PreviousVDO_Input]:[F-NextVDO_Input]],MATCH($L11&amp;" - Balance",Input_Usage[[Ref]:[Ref]],0),MATCH($D$7,Inputs!$I$134:$O$134,0))),0)+
IFERROR((INDEX(OP_TotalRates_SME_1[[Ausnet]:[United Energy]],MATCH("Single rate",OP_TotalRates_SME_1[[Rate name]:[Rate name]],0),MATCH(P$10,OP_TotalRates_SME_1[[#Headers],[Ausnet]:[United Energy]],0))*
INDEX(Input_Usage[[F-PreviousVDO_Input]:[F-NextVDO_Input]],MATCH($L11&amp;" - Annual",Input_Usage[[Ref]:[Ref]],0),MATCH($D$7,Inputs!$I$134:$O$134,0))),0)),0),
ROUNDUP(
(INDEX(OP_TotalRates_SME_1[[Ausnet]:[United Energy]],MATCH("TOU - supply",OP_TotalRates_SME_1[[Rate name]:[Rate name]],0),MATCH(P$10,OP_TotalRates_SME_1[[#Headers],[Ausnet]:[United Energy]],0))*DiY)+
(INDEX(OP_TotalRates_SME_1[[Ausnet]:[United Energy]],MATCH("Peak",OP_TotalRates_SME_1[[Rate name]:[Rate name]],0),MATCH(P$10,OP_TotalRates_SME_1[[#Headers],[Ausnet]:[United Energy]],0))*
INDEX(Input_Usage[[F-PreviousVDO_Input]:[F-NextVDO_Input]],MATCH($L11&amp;" - Peak",Input_Usage[[Ref]:[Ref]],0),MATCH($D$7,Inputs!$I$134:$O$134,0)))+
IFERROR((INDEX(OP_TotalRates_SME_1[[Ausnet]:[United Energy]],MATCH("TOU - Shoulder",OP_TotalRates_SME_1[[Rate name]:[Rate name]],0),MATCH(P$10,OP_TotalRates_SME_1[[#Headers],[Ausnet]:[United Energy]],0))*
INDEX(Input_Usage[[F-PreviousVDO_Input]:[F-NextVDO_Input]],MATCH($L11&amp;" - Shoulder",Input_Usage[[Ref]:[Ref]],0),MATCH($D$7,Inputs!$I$134:$O$134,0))),0)+
(INDEX(OP_TotalRates_SME_1[[Ausnet]:[United Energy]],MATCH("Off peak",OP_TotalRates_SME_1[[Rate name]:[Rate name]],0),MATCH(P$10,OP_TotalRates_SME_1[[#Headers],[Ausnet]:[United Energy]],0))*
INDEX(Input_Usage[[F-PreviousVDO_Input]:[F-NextVDO_Input]],MATCH($L11&amp;" - Off peak",Input_Usage[[Ref]:[Ref]],0),MATCH($D$7,Inputs!$I$134:$O$134,0))),0)),"-")</f>
        <v>3179</v>
      </c>
      <c r="Q11" s="120">
        <f>IFERROR(
IF($D$7="VDO 2021 - Final",
ROUNDUP(
(INDEX(OP_TotalRates_SME_1[[Ausnet]:[United Energy]],MATCH("Anytime - supply",OP_TotalRates_SME_1[[Rate name]:[Rate name]],0),MATCH(Q$10,OP_TotalRates_SME_1[[#Headers],[Ausnet]:[United Energy]],0))*DiY)+
(IFERROR((INDEX(OP_TotalRates_SME_1[[Ausnet]:[United Energy]],MATCH("Block 1",OP_TotalRates_SME_1[[Rate name]:[Rate name]],0),MATCH(Q$10,OP_TotalRates_SME_1[[#Headers],[Ausnet]:[United Energy]],0))*
INDEX(Input_Usage[[F-PreviousVDO_Input]:[F-NextVDO_Input]],MATCH($L11&amp;" - Block 1",Input_Usage[[Ref]:[Ref]],0),MATCH($D$7,Inputs!$I$134:$O$134,0))),0)+
IFERROR((INDEX(OP_TotalRates_SME_1[[Ausnet]:[United Energy]],MATCH("Balance",OP_TotalRates_SME_1[[Rate name]:[Rate name]],0),MATCH(Q$10,OP_TotalRates_SME_1[[#Headers],[Ausnet]:[United Energy]],0))*
INDEX(Input_Usage[[F-PreviousVDO_Input]:[F-NextVDO_Input]],MATCH($L11&amp;" - Balance",Input_Usage[[Ref]:[Ref]],0),MATCH($D$7,Inputs!$I$134:$O$134,0))),0)+
IFERROR((INDEX(OP_TotalRates_SME_1[[Ausnet]:[United Energy]],MATCH("Single rate",OP_TotalRates_SME_1[[Rate name]:[Rate name]],0),MATCH(Q$10,OP_TotalRates_SME_1[[#Headers],[Ausnet]:[United Energy]],0))*
INDEX(Input_Usage[[F-PreviousVDO_Input]:[F-NextVDO_Input]],MATCH($L11&amp;" - Annual",Input_Usage[[Ref]:[Ref]],0),MATCH($D$7,Inputs!$I$134:$O$134,0))),0)),0),
ROUNDUP(
(INDEX(OP_TotalRates_SME_1[[Ausnet]:[United Energy]],MATCH("TOU - supply",OP_TotalRates_SME_1[[Rate name]:[Rate name]],0),MATCH(Q$10,OP_TotalRates_SME_1[[#Headers],[Ausnet]:[United Energy]],0))*DiY)+
(INDEX(OP_TotalRates_SME_1[[Ausnet]:[United Energy]],MATCH("Peak",OP_TotalRates_SME_1[[Rate name]:[Rate name]],0),MATCH(Q$10,OP_TotalRates_SME_1[[#Headers],[Ausnet]:[United Energy]],0))*
INDEX(Input_Usage[[F-PreviousVDO_Input]:[F-NextVDO_Input]],MATCH($L11&amp;" - Peak",Input_Usage[[Ref]:[Ref]],0),MATCH($D$7,Inputs!$I$134:$O$134,0)))+
IFERROR((INDEX(OP_TotalRates_SME_1[[Ausnet]:[United Energy]],MATCH("TOU - Shoulder",OP_TotalRates_SME_1[[Rate name]:[Rate name]],0),MATCH(Q$10,OP_TotalRates_SME_1[[#Headers],[Ausnet]:[United Energy]],0))*
INDEX(Input_Usage[[F-PreviousVDO_Input]:[F-NextVDO_Input]],MATCH($L11&amp;" - Shoulder",Input_Usage[[Ref]:[Ref]],0),MATCH($D$7,Inputs!$I$134:$O$134,0))),0)+
(INDEX(OP_TotalRates_SME_1[[Ausnet]:[United Energy]],MATCH("Off peak",OP_TotalRates_SME_1[[Rate name]:[Rate name]],0),MATCH(Q$10,OP_TotalRates_SME_1[[#Headers],[Ausnet]:[United Energy]],0))*
INDEX(Input_Usage[[F-PreviousVDO_Input]:[F-NextVDO_Input]],MATCH($L11&amp;" - Off peak",Input_Usage[[Ref]:[Ref]],0),MATCH($D$7,Inputs!$I$134:$O$134,0))),0)),"-")</f>
        <v>3040</v>
      </c>
    </row>
    <row r="12" spans="1:18" x14ac:dyDescent="0.25">
      <c r="C12" s="23" t="s">
        <v>92</v>
      </c>
      <c r="D12" s="23" t="s">
        <v>223</v>
      </c>
      <c r="E12" s="120">
        <f>IFERROR(
IF($D$7="VDO 2021 - Final",
ROUNDUP(
(INDEX(OP_TotalRates_RES_1[[Ausnet]:[United Energy]],MATCH("Anytime - supply",OP_TotalRates_RES_1[[Rate name]:[Rate name]],0),MATCH(E$10,OP_TotalRates_RES_1[[#Headers],[Ausnet]:[United Energy]],0))*DiY)+
(IFERROR((INDEX(OP_TotalRates_RES_1[[Ausnet]:[United Energy]],MATCH("Block 1",OP_TotalRates_RES_1[[Rate name]:[Rate name]],0),MATCH(E$10,OP_TotalRates_RES_1[[#Headers],[Ausnet]:[United Energy]],0))*
INDEX(Input_Usage[[F-PreviousVDO_Input]:[F-NextVDO_Input]],MATCH($D12&amp;" - Block 1",Input_Usage[[Ref]:[Ref]],0),MATCH($D$7,Inputs!$I$134:$O$134,0))),0)+
IFERROR((INDEX(OP_TotalRates_RES_1[[Ausnet]:[United Energy]],MATCH("Balance",OP_TotalRates_RES_1[[Rate name]:[Rate name]],0),MATCH(E$10,OP_TotalRates_RES_1[[#Headers],[Ausnet]:[United Energy]],0))*
INDEX(Input_Usage[[F-PreviousVDO_Input]:[F-NextVDO_Input]],MATCH($D12&amp;" - Balance",Input_Usage[[Ref]:[Ref]],0),MATCH($D$7,Inputs!$I$134:$O$134,0))),0)+
IFERROR((INDEX(OP_TotalRates_RES_1[[Ausnet]:[United Energy]],MATCH("Single rate",OP_TotalRates_RES_1[[Rate name]:[Rate name]],0),MATCH(E$10,OP_TotalRates_RES_1[[#Headers],[Ausnet]:[United Energy]],0))*
INDEX(Input_Usage[[F-PreviousVDO_Input]:[F-NextVDO_Input]],MATCH($D12&amp;" - Annual",Input_Usage[[Ref]:[Ref]],0),MATCH($D$7,Inputs!$I$134:$O$134,0))),0)),0),
ROUNDUP(
(INDEX(OP_TotalRates_RES_1[[Ausnet]:[United Energy]],MATCH("TOU - supply",OP_TotalRates_RES_1[[Rate name]:[Rate name]],0),MATCH(E$10,OP_TotalRates_RES_1[[#Headers],[Ausnet]:[United Energy]],0))*DiY)+
(INDEX(OP_TotalRates_RES_1[[Ausnet]:[United Energy]],MATCH("Peak",OP_TotalRates_RES_1[[Rate name]:[Rate name]],0),MATCH(E$10,OP_TotalRates_RES_1[[#Headers],[Ausnet]:[United Energy]],0))*
INDEX(Input_Usage[[F-PreviousVDO_Input]:[F-NextVDO_Input]],MATCH($D12&amp;" - Peak",Input_Usage[[Ref]:[Ref]],0),MATCH($D$7,Inputs!$I$134:$O$134,0)))+
IFERROR((INDEX(OP_TotalRates_RES_1[[Ausnet]:[United Energy]],MATCH("TOU - Shoulder",OP_TotalRates_RES_1[[Rate name]:[Rate name]],0),MATCH(E$10,OP_TotalRates_RES_1[[#Headers],[Ausnet]:[United Energy]],0))*
INDEX(Input_Usage[[F-PreviousVDO_Input]:[F-NextVDO_Input]],MATCH($D12&amp;" - Shoulder",Input_Usage[[Ref]:[Ref]],0),MATCH($D$7,Inputs!$I$134:$O$134,0))),0)+
(INDEX(OP_TotalRates_RES_1[[Ausnet]:[United Energy]],MATCH("Off peak",OP_TotalRates_RES_1[[Rate name]:[Rate name]],0),MATCH(E$10,OP_TotalRates_RES_1[[#Headers],[Ausnet]:[United Energy]],0))*
INDEX(Input_Usage[[F-PreviousVDO_Input]:[F-NextVDO_Input]],MATCH($D12&amp;" - Off peak",Input_Usage[[Ref]:[Ref]],0),MATCH($D$7,Inputs!$I$134:$O$134,0))),0)),"-")</f>
        <v>1449</v>
      </c>
      <c r="F12" s="120">
        <f>IFERROR(
IF($D$7="VDO 2021 - Final",
ROUNDUP(
(INDEX(OP_TotalRates_RES_1[[Ausnet]:[United Energy]],MATCH("Anytime - supply",OP_TotalRates_RES_1[[Rate name]:[Rate name]],0),MATCH(F$10,OP_TotalRates_RES_1[[#Headers],[Ausnet]:[United Energy]],0))*DiY)+
(IFERROR((INDEX(OP_TotalRates_RES_1[[Ausnet]:[United Energy]],MATCH("Block 1",OP_TotalRates_RES_1[[Rate name]:[Rate name]],0),MATCH(F$10,OP_TotalRates_RES_1[[#Headers],[Ausnet]:[United Energy]],0))*
INDEX(Input_Usage[[F-PreviousVDO_Input]:[F-NextVDO_Input]],MATCH($D12&amp;" - Block 1",Input_Usage[[Ref]:[Ref]],0),MATCH($D$7,Inputs!$I$134:$O$134,0))),0)+
IFERROR((INDEX(OP_TotalRates_RES_1[[Ausnet]:[United Energy]],MATCH("Balance",OP_TotalRates_RES_1[[Rate name]:[Rate name]],0),MATCH(F$10,OP_TotalRates_RES_1[[#Headers],[Ausnet]:[United Energy]],0))*
INDEX(Input_Usage[[F-PreviousVDO_Input]:[F-NextVDO_Input]],MATCH($D12&amp;" - Balance",Input_Usage[[Ref]:[Ref]],0),MATCH($D$7,Inputs!$I$134:$O$134,0))),0)+
IFERROR((INDEX(OP_TotalRates_RES_1[[Ausnet]:[United Energy]],MATCH("Single rate",OP_TotalRates_RES_1[[Rate name]:[Rate name]],0),MATCH(F$10,OP_TotalRates_RES_1[[#Headers],[Ausnet]:[United Energy]],0))*
INDEX(Input_Usage[[F-PreviousVDO_Input]:[F-NextVDO_Input]],MATCH($D12&amp;" - Annual",Input_Usage[[Ref]:[Ref]],0),MATCH($D$7,Inputs!$I$134:$O$134,0))),0)),0),
ROUNDUP(
(INDEX(OP_TotalRates_RES_1[[Ausnet]:[United Energy]],MATCH("TOU - supply",OP_TotalRates_RES_1[[Rate name]:[Rate name]],0),MATCH(F$10,OP_TotalRates_RES_1[[#Headers],[Ausnet]:[United Energy]],0))*DiY)+
(INDEX(OP_TotalRates_RES_1[[Ausnet]:[United Energy]],MATCH("Peak",OP_TotalRates_RES_1[[Rate name]:[Rate name]],0),MATCH(F$10,OP_TotalRates_RES_1[[#Headers],[Ausnet]:[United Energy]],0))*
INDEX(Input_Usage[[F-PreviousVDO_Input]:[F-NextVDO_Input]],MATCH($D12&amp;" - Peak",Input_Usage[[Ref]:[Ref]],0),MATCH($D$7,Inputs!$I$134:$O$134,0)))+
IFERROR((INDEX(OP_TotalRates_RES_1[[Ausnet]:[United Energy]],MATCH("TOU - Shoulder",OP_TotalRates_RES_1[[Rate name]:[Rate name]],0),MATCH(F$10,OP_TotalRates_RES_1[[#Headers],[Ausnet]:[United Energy]],0))*
INDEX(Input_Usage[[F-PreviousVDO_Input]:[F-NextVDO_Input]],MATCH($D12&amp;" - Shoulder",Input_Usage[[Ref]:[Ref]],0),MATCH($D$7,Inputs!$I$134:$O$134,0))),0)+
(INDEX(OP_TotalRates_RES_1[[Ausnet]:[United Energy]],MATCH("Off peak",OP_TotalRates_RES_1[[Rate name]:[Rate name]],0),MATCH(F$10,OP_TotalRates_RES_1[[#Headers],[Ausnet]:[United Energy]],0))*
INDEX(Input_Usage[[F-PreviousVDO_Input]:[F-NextVDO_Input]],MATCH($D12&amp;" - Off peak",Input_Usage[[Ref]:[Ref]],0),MATCH($D$7,Inputs!$I$134:$O$134,0))),0)),"-")</f>
        <v>1280</v>
      </c>
      <c r="G12" s="120">
        <f>IFERROR(
IF($D$7="VDO 2021 - Final",
ROUNDUP(
(INDEX(OP_TotalRates_RES_1[[Ausnet]:[United Energy]],MATCH("Anytime - supply",OP_TotalRates_RES_1[[Rate name]:[Rate name]],0),MATCH(G$10,OP_TotalRates_RES_1[[#Headers],[Ausnet]:[United Energy]],0))*DiY)+
(IFERROR((INDEX(OP_TotalRates_RES_1[[Ausnet]:[United Energy]],MATCH("Block 1",OP_TotalRates_RES_1[[Rate name]:[Rate name]],0),MATCH(G$10,OP_TotalRates_RES_1[[#Headers],[Ausnet]:[United Energy]],0))*
INDEX(Input_Usage[[F-PreviousVDO_Input]:[F-NextVDO_Input]],MATCH($D12&amp;" - Block 1",Input_Usage[[Ref]:[Ref]],0),MATCH($D$7,Inputs!$I$134:$O$134,0))),0)+
IFERROR((INDEX(OP_TotalRates_RES_1[[Ausnet]:[United Energy]],MATCH("Balance",OP_TotalRates_RES_1[[Rate name]:[Rate name]],0),MATCH(G$10,OP_TotalRates_RES_1[[#Headers],[Ausnet]:[United Energy]],0))*
INDEX(Input_Usage[[F-PreviousVDO_Input]:[F-NextVDO_Input]],MATCH($D12&amp;" - Balance",Input_Usage[[Ref]:[Ref]],0),MATCH($D$7,Inputs!$I$134:$O$134,0))),0)+
IFERROR((INDEX(OP_TotalRates_RES_1[[Ausnet]:[United Energy]],MATCH("Single rate",OP_TotalRates_RES_1[[Rate name]:[Rate name]],0),MATCH(G$10,OP_TotalRates_RES_1[[#Headers],[Ausnet]:[United Energy]],0))*
INDEX(Input_Usage[[F-PreviousVDO_Input]:[F-NextVDO_Input]],MATCH($D12&amp;" - Annual",Input_Usage[[Ref]:[Ref]],0),MATCH($D$7,Inputs!$I$134:$O$134,0))),0)),0),
ROUNDUP(
(INDEX(OP_TotalRates_RES_1[[Ausnet]:[United Energy]],MATCH("TOU - supply",OP_TotalRates_RES_1[[Rate name]:[Rate name]],0),MATCH(G$10,OP_TotalRates_RES_1[[#Headers],[Ausnet]:[United Energy]],0))*DiY)+
(INDEX(OP_TotalRates_RES_1[[Ausnet]:[United Energy]],MATCH("Peak",OP_TotalRates_RES_1[[Rate name]:[Rate name]],0),MATCH(G$10,OP_TotalRates_RES_1[[#Headers],[Ausnet]:[United Energy]],0))*
INDEX(Input_Usage[[F-PreviousVDO_Input]:[F-NextVDO_Input]],MATCH($D12&amp;" - Peak",Input_Usage[[Ref]:[Ref]],0),MATCH($D$7,Inputs!$I$134:$O$134,0)))+
IFERROR((INDEX(OP_TotalRates_RES_1[[Ausnet]:[United Energy]],MATCH("TOU - Shoulder",OP_TotalRates_RES_1[[Rate name]:[Rate name]],0),MATCH(G$10,OP_TotalRates_RES_1[[#Headers],[Ausnet]:[United Energy]],0))*
INDEX(Input_Usage[[F-PreviousVDO_Input]:[F-NextVDO_Input]],MATCH($D12&amp;" - Shoulder",Input_Usage[[Ref]:[Ref]],0),MATCH($D$7,Inputs!$I$134:$O$134,0))),0)+
(INDEX(OP_TotalRates_RES_1[[Ausnet]:[United Energy]],MATCH("Off peak",OP_TotalRates_RES_1[[Rate name]:[Rate name]],0),MATCH(G$10,OP_TotalRates_RES_1[[#Headers],[Ausnet]:[United Energy]],0))*
INDEX(Input_Usage[[F-PreviousVDO_Input]:[F-NextVDO_Input]],MATCH($D12&amp;" - Off peak",Input_Usage[[Ref]:[Ref]],0),MATCH($D$7,Inputs!$I$134:$O$134,0))),0)),"-")</f>
        <v>1253</v>
      </c>
      <c r="H12" s="120">
        <f>IFERROR(
IF($D$7="VDO 2021 - Final",
ROUNDUP(
(INDEX(OP_TotalRates_RES_1[[Ausnet]:[United Energy]],MATCH("Anytime - supply",OP_TotalRates_RES_1[[Rate name]:[Rate name]],0),MATCH(H$10,OP_TotalRates_RES_1[[#Headers],[Ausnet]:[United Energy]],0))*DiY)+
(IFERROR((INDEX(OP_TotalRates_RES_1[[Ausnet]:[United Energy]],MATCH("Block 1",OP_TotalRates_RES_1[[Rate name]:[Rate name]],0),MATCH(H$10,OP_TotalRates_RES_1[[#Headers],[Ausnet]:[United Energy]],0))*
INDEX(Input_Usage[[F-PreviousVDO_Input]:[F-NextVDO_Input]],MATCH($D12&amp;" - Block 1",Input_Usage[[Ref]:[Ref]],0),MATCH($D$7,Inputs!$I$134:$O$134,0))),0)+
IFERROR((INDEX(OP_TotalRates_RES_1[[Ausnet]:[United Energy]],MATCH("Balance",OP_TotalRates_RES_1[[Rate name]:[Rate name]],0),MATCH(H$10,OP_TotalRates_RES_1[[#Headers],[Ausnet]:[United Energy]],0))*
INDEX(Input_Usage[[F-PreviousVDO_Input]:[F-NextVDO_Input]],MATCH($D12&amp;" - Balance",Input_Usage[[Ref]:[Ref]],0),MATCH($D$7,Inputs!$I$134:$O$134,0))),0)+
IFERROR((INDEX(OP_TotalRates_RES_1[[Ausnet]:[United Energy]],MATCH("Single rate",OP_TotalRates_RES_1[[Rate name]:[Rate name]],0),MATCH(H$10,OP_TotalRates_RES_1[[#Headers],[Ausnet]:[United Energy]],0))*
INDEX(Input_Usage[[F-PreviousVDO_Input]:[F-NextVDO_Input]],MATCH($D12&amp;" - Annual",Input_Usage[[Ref]:[Ref]],0),MATCH($D$7,Inputs!$I$134:$O$134,0))),0)),0),
ROUNDUP(
(INDEX(OP_TotalRates_RES_1[[Ausnet]:[United Energy]],MATCH("TOU - supply",OP_TotalRates_RES_1[[Rate name]:[Rate name]],0),MATCH(H$10,OP_TotalRates_RES_1[[#Headers],[Ausnet]:[United Energy]],0))*DiY)+
(INDEX(OP_TotalRates_RES_1[[Ausnet]:[United Energy]],MATCH("Peak",OP_TotalRates_RES_1[[Rate name]:[Rate name]],0),MATCH(H$10,OP_TotalRates_RES_1[[#Headers],[Ausnet]:[United Energy]],0))*
INDEX(Input_Usage[[F-PreviousVDO_Input]:[F-NextVDO_Input]],MATCH($D12&amp;" - Peak",Input_Usage[[Ref]:[Ref]],0),MATCH($D$7,Inputs!$I$134:$O$134,0)))+
IFERROR((INDEX(OP_TotalRates_RES_1[[Ausnet]:[United Energy]],MATCH("TOU - Shoulder",OP_TotalRates_RES_1[[Rate name]:[Rate name]],0),MATCH(H$10,OP_TotalRates_RES_1[[#Headers],[Ausnet]:[United Energy]],0))*
INDEX(Input_Usage[[F-PreviousVDO_Input]:[F-NextVDO_Input]],MATCH($D12&amp;" - Shoulder",Input_Usage[[Ref]:[Ref]],0),MATCH($D$7,Inputs!$I$134:$O$134,0))),0)+
(INDEX(OP_TotalRates_RES_1[[Ausnet]:[United Energy]],MATCH("Off peak",OP_TotalRates_RES_1[[Rate name]:[Rate name]],0),MATCH(H$10,OP_TotalRates_RES_1[[#Headers],[Ausnet]:[United Energy]],0))*
INDEX(Input_Usage[[F-PreviousVDO_Input]:[F-NextVDO_Input]],MATCH($D12&amp;" - Off peak",Input_Usage[[Ref]:[Ref]],0),MATCH($D$7,Inputs!$I$134:$O$134,0))),0)),"-")</f>
        <v>1366</v>
      </c>
      <c r="I12" s="120">
        <f>IFERROR(
IF($D$7="VDO 2021 - Final",
ROUNDUP(
(INDEX(OP_TotalRates_RES_1[[Ausnet]:[United Energy]],MATCH("Anytime - supply",OP_TotalRates_RES_1[[Rate name]:[Rate name]],0),MATCH(I$10,OP_TotalRates_RES_1[[#Headers],[Ausnet]:[United Energy]],0))*DiY)+
(IFERROR((INDEX(OP_TotalRates_RES_1[[Ausnet]:[United Energy]],MATCH("Block 1",OP_TotalRates_RES_1[[Rate name]:[Rate name]],0),MATCH(I$10,OP_TotalRates_RES_1[[#Headers],[Ausnet]:[United Energy]],0))*
INDEX(Input_Usage[[F-PreviousVDO_Input]:[F-NextVDO_Input]],MATCH($D12&amp;" - Block 1",Input_Usage[[Ref]:[Ref]],0),MATCH($D$7,Inputs!$I$134:$O$134,0))),0)+
IFERROR((INDEX(OP_TotalRates_RES_1[[Ausnet]:[United Energy]],MATCH("Balance",OP_TotalRates_RES_1[[Rate name]:[Rate name]],0),MATCH(I$10,OP_TotalRates_RES_1[[#Headers],[Ausnet]:[United Energy]],0))*
INDEX(Input_Usage[[F-PreviousVDO_Input]:[F-NextVDO_Input]],MATCH($D12&amp;" - Balance",Input_Usage[[Ref]:[Ref]],0),MATCH($D$7,Inputs!$I$134:$O$134,0))),0)+
IFERROR((INDEX(OP_TotalRates_RES_1[[Ausnet]:[United Energy]],MATCH("Single rate",OP_TotalRates_RES_1[[Rate name]:[Rate name]],0),MATCH(I$10,OP_TotalRates_RES_1[[#Headers],[Ausnet]:[United Energy]],0))*
INDEX(Input_Usage[[F-PreviousVDO_Input]:[F-NextVDO_Input]],MATCH($D12&amp;" - Annual",Input_Usage[[Ref]:[Ref]],0),MATCH($D$7,Inputs!$I$134:$O$134,0))),0)),0),
ROUNDUP(
(INDEX(OP_TotalRates_RES_1[[Ausnet]:[United Energy]],MATCH("TOU - supply",OP_TotalRates_RES_1[[Rate name]:[Rate name]],0),MATCH(I$10,OP_TotalRates_RES_1[[#Headers],[Ausnet]:[United Energy]],0))*DiY)+
(INDEX(OP_TotalRates_RES_1[[Ausnet]:[United Energy]],MATCH("Peak",OP_TotalRates_RES_1[[Rate name]:[Rate name]],0),MATCH(I$10,OP_TotalRates_RES_1[[#Headers],[Ausnet]:[United Energy]],0))*
INDEX(Input_Usage[[F-PreviousVDO_Input]:[F-NextVDO_Input]],MATCH($D12&amp;" - Peak",Input_Usage[[Ref]:[Ref]],0),MATCH($D$7,Inputs!$I$134:$O$134,0)))+
IFERROR((INDEX(OP_TotalRates_RES_1[[Ausnet]:[United Energy]],MATCH("TOU - Shoulder",OP_TotalRates_RES_1[[Rate name]:[Rate name]],0),MATCH(I$10,OP_TotalRates_RES_1[[#Headers],[Ausnet]:[United Energy]],0))*
INDEX(Input_Usage[[F-PreviousVDO_Input]:[F-NextVDO_Input]],MATCH($D12&amp;" - Shoulder",Input_Usage[[Ref]:[Ref]],0),MATCH($D$7,Inputs!$I$134:$O$134,0))),0)+
(INDEX(OP_TotalRates_RES_1[[Ausnet]:[United Energy]],MATCH("Off peak",OP_TotalRates_RES_1[[Rate name]:[Rate name]],0),MATCH(I$10,OP_TotalRates_RES_1[[#Headers],[Ausnet]:[United Energy]],0))*
INDEX(Input_Usage[[F-PreviousVDO_Input]:[F-NextVDO_Input]],MATCH($D12&amp;" - Off peak",Input_Usage[[Ref]:[Ref]],0),MATCH($D$7,Inputs!$I$134:$O$134,0))),0)),"-")</f>
        <v>1273</v>
      </c>
      <c r="K12" s="23" t="s">
        <v>93</v>
      </c>
      <c r="L12" s="23" t="s">
        <v>226</v>
      </c>
      <c r="M12" s="120">
        <f>IFERROR(
IF($D$7="VDO 2021 - Final",
ROUNDUP(
(INDEX(OP_TotalRates_SME_1[[Ausnet]:[United Energy]],MATCH("Anytime - supply",OP_TotalRates_SME_1[[Rate name]:[Rate name]],0),MATCH(M$10,OP_TotalRates_SME_1[[#Headers],[Ausnet]:[United Energy]],0))*DiY)+
(IFERROR((INDEX(OP_TotalRates_SME_1[[Ausnet]:[United Energy]],MATCH("Block 1",OP_TotalRates_SME_1[[Rate name]:[Rate name]],0),MATCH(M$10,OP_TotalRates_SME_1[[#Headers],[Ausnet]:[United Energy]],0))*
INDEX(Input_Usage[[F-PreviousVDO_Input]:[F-NextVDO_Input]],MATCH($L12&amp;" - Block 1",Input_Usage[[Ref]:[Ref]],0),MATCH($D$7,Inputs!$I$134:$O$134,0))),0)+
IFERROR((INDEX(OP_TotalRates_SME_1[[Ausnet]:[United Energy]],MATCH("Balance",OP_TotalRates_SME_1[[Rate name]:[Rate name]],0),MATCH(M$10,OP_TotalRates_SME_1[[#Headers],[Ausnet]:[United Energy]],0))*
INDEX(Input_Usage[[F-PreviousVDO_Input]:[F-NextVDO_Input]],MATCH($L12&amp;" - Balance",Input_Usage[[Ref]:[Ref]],0),MATCH($D$7,Inputs!$I$134:$O$134,0))),0)+
IFERROR((INDEX(OP_TotalRates_SME_1[[Ausnet]:[United Energy]],MATCH("Single rate",OP_TotalRates_SME_1[[Rate name]:[Rate name]],0),MATCH(M$10,OP_TotalRates_SME_1[[#Headers],[Ausnet]:[United Energy]],0))*
INDEX(Input_Usage[[F-PreviousVDO_Input]:[F-NextVDO_Input]],MATCH($L12&amp;" - Annual",Input_Usage[[Ref]:[Ref]],0),MATCH($D$7,Inputs!$I$134:$O$134,0))),0)),0),
ROUNDUP(
(INDEX(OP_TotalRates_SME_1[[Ausnet]:[United Energy]],MATCH("TOU - supply",OP_TotalRates_SME_1[[Rate name]:[Rate name]],0),MATCH(M$10,OP_TotalRates_SME_1[[#Headers],[Ausnet]:[United Energy]],0))*DiY)+
(INDEX(OP_TotalRates_SME_1[[Ausnet]:[United Energy]],MATCH("Peak",OP_TotalRates_SME_1[[Rate name]:[Rate name]],0),MATCH(M$10,OP_TotalRates_SME_1[[#Headers],[Ausnet]:[United Energy]],0))*
INDEX(Input_Usage[[F-PreviousVDO_Input]:[F-NextVDO_Input]],MATCH($L12&amp;" - Peak",Input_Usage[[Ref]:[Ref]],0),MATCH($D$7,Inputs!$I$134:$O$134,0)))+
IFERROR((INDEX(OP_TotalRates_SME_1[[Ausnet]:[United Energy]],MATCH("TOU - Shoulder",OP_TotalRates_SME_1[[Rate name]:[Rate name]],0),MATCH(M$10,OP_TotalRates_SME_1[[#Headers],[Ausnet]:[United Energy]],0))*
INDEX(Input_Usage[[F-PreviousVDO_Input]:[F-NextVDO_Input]],MATCH($L12&amp;" - Shoulder",Input_Usage[[Ref]:[Ref]],0),MATCH($D$7,Inputs!$I$134:$O$134,0))),0)+
(INDEX(OP_TotalRates_SME_1[[Ausnet]:[United Energy]],MATCH("Off peak",OP_TotalRates_SME_1[[Rate name]:[Rate name]],0),MATCH(M$10,OP_TotalRates_SME_1[[#Headers],[Ausnet]:[United Energy]],0))*
INDEX(Input_Usage[[F-PreviousVDO_Input]:[F-NextVDO_Input]],MATCH($L12&amp;" - Off peak",Input_Usage[[Ref]:[Ref]],0),MATCH($D$7,Inputs!$I$134:$O$134,0))),0)),"-")</f>
        <v>5372</v>
      </c>
      <c r="N12" s="120">
        <f>IFERROR(
IF($D$7="VDO 2021 - Final",
ROUNDUP(
(INDEX(OP_TotalRates_SME_1[[Ausnet]:[United Energy]],MATCH("Anytime - supply",OP_TotalRates_SME_1[[Rate name]:[Rate name]],0),MATCH(N$10,OP_TotalRates_SME_1[[#Headers],[Ausnet]:[United Energy]],0))*DiY)+
(IFERROR((INDEX(OP_TotalRates_SME_1[[Ausnet]:[United Energy]],MATCH("Block 1",OP_TotalRates_SME_1[[Rate name]:[Rate name]],0),MATCH(N$10,OP_TotalRates_SME_1[[#Headers],[Ausnet]:[United Energy]],0))*
INDEX(Input_Usage[[F-PreviousVDO_Input]:[F-NextVDO_Input]],MATCH($L12&amp;" - Block 1",Input_Usage[[Ref]:[Ref]],0),MATCH($D$7,Inputs!$I$134:$O$134,0))),0)+
IFERROR((INDEX(OP_TotalRates_SME_1[[Ausnet]:[United Energy]],MATCH("Balance",OP_TotalRates_SME_1[[Rate name]:[Rate name]],0),MATCH(N$10,OP_TotalRates_SME_1[[#Headers],[Ausnet]:[United Energy]],0))*
INDEX(Input_Usage[[F-PreviousVDO_Input]:[F-NextVDO_Input]],MATCH($L12&amp;" - Balance",Input_Usage[[Ref]:[Ref]],0),MATCH($D$7,Inputs!$I$134:$O$134,0))),0)+
IFERROR((INDEX(OP_TotalRates_SME_1[[Ausnet]:[United Energy]],MATCH("Single rate",OP_TotalRates_SME_1[[Rate name]:[Rate name]],0),MATCH(N$10,OP_TotalRates_SME_1[[#Headers],[Ausnet]:[United Energy]],0))*
INDEX(Input_Usage[[F-PreviousVDO_Input]:[F-NextVDO_Input]],MATCH($L12&amp;" - Annual",Input_Usage[[Ref]:[Ref]],0),MATCH($D$7,Inputs!$I$134:$O$134,0))),0)),0),
ROUNDUP(
(INDEX(OP_TotalRates_SME_1[[Ausnet]:[United Energy]],MATCH("TOU - supply",OP_TotalRates_SME_1[[Rate name]:[Rate name]],0),MATCH(N$10,OP_TotalRates_SME_1[[#Headers],[Ausnet]:[United Energy]],0))*DiY)+
(INDEX(OP_TotalRates_SME_1[[Ausnet]:[United Energy]],MATCH("Peak",OP_TotalRates_SME_1[[Rate name]:[Rate name]],0),MATCH(N$10,OP_TotalRates_SME_1[[#Headers],[Ausnet]:[United Energy]],0))*
INDEX(Input_Usage[[F-PreviousVDO_Input]:[F-NextVDO_Input]],MATCH($L12&amp;" - Peak",Input_Usage[[Ref]:[Ref]],0),MATCH($D$7,Inputs!$I$134:$O$134,0)))+
IFERROR((INDEX(OP_TotalRates_SME_1[[Ausnet]:[United Energy]],MATCH("TOU - Shoulder",OP_TotalRates_SME_1[[Rate name]:[Rate name]],0),MATCH(N$10,OP_TotalRates_SME_1[[#Headers],[Ausnet]:[United Energy]],0))*
INDEX(Input_Usage[[F-PreviousVDO_Input]:[F-NextVDO_Input]],MATCH($L12&amp;" - Shoulder",Input_Usage[[Ref]:[Ref]],0),MATCH($D$7,Inputs!$I$134:$O$134,0))),0)+
(INDEX(OP_TotalRates_SME_1[[Ausnet]:[United Energy]],MATCH("Off peak",OP_TotalRates_SME_1[[Rate name]:[Rate name]],0),MATCH(N$10,OP_TotalRates_SME_1[[#Headers],[Ausnet]:[United Energy]],0))*
INDEX(Input_Usage[[F-PreviousVDO_Input]:[F-NextVDO_Input]],MATCH($L12&amp;" - Off peak",Input_Usage[[Ref]:[Ref]],0),MATCH($D$7,Inputs!$I$134:$O$134,0))),0)),"-")</f>
        <v>4713</v>
      </c>
      <c r="O12" s="120">
        <f>IFERROR(
IF($D$7="VDO 2021 - Final",
ROUNDUP(
(INDEX(OP_TotalRates_SME_1[[Ausnet]:[United Energy]],MATCH("Anytime - supply",OP_TotalRates_SME_1[[Rate name]:[Rate name]],0),MATCH(O$10,OP_TotalRates_SME_1[[#Headers],[Ausnet]:[United Energy]],0))*DiY)+
(IFERROR((INDEX(OP_TotalRates_SME_1[[Ausnet]:[United Energy]],MATCH("Block 1",OP_TotalRates_SME_1[[Rate name]:[Rate name]],0),MATCH(O$10,OP_TotalRates_SME_1[[#Headers],[Ausnet]:[United Energy]],0))*
INDEX(Input_Usage[[F-PreviousVDO_Input]:[F-NextVDO_Input]],MATCH($L12&amp;" - Block 1",Input_Usage[[Ref]:[Ref]],0),MATCH($D$7,Inputs!$I$134:$O$134,0))),0)+
IFERROR((INDEX(OP_TotalRates_SME_1[[Ausnet]:[United Energy]],MATCH("Balance",OP_TotalRates_SME_1[[Rate name]:[Rate name]],0),MATCH(O$10,OP_TotalRates_SME_1[[#Headers],[Ausnet]:[United Energy]],0))*
INDEX(Input_Usage[[F-PreviousVDO_Input]:[F-NextVDO_Input]],MATCH($L12&amp;" - Balance",Input_Usage[[Ref]:[Ref]],0),MATCH($D$7,Inputs!$I$134:$O$134,0))),0)+
IFERROR((INDEX(OP_TotalRates_SME_1[[Ausnet]:[United Energy]],MATCH("Single rate",OP_TotalRates_SME_1[[Rate name]:[Rate name]],0),MATCH(O$10,OP_TotalRates_SME_1[[#Headers],[Ausnet]:[United Energy]],0))*
INDEX(Input_Usage[[F-PreviousVDO_Input]:[F-NextVDO_Input]],MATCH($L12&amp;" - Annual",Input_Usage[[Ref]:[Ref]],0),MATCH($D$7,Inputs!$I$134:$O$134,0))),0)),0),
ROUNDUP(
(INDEX(OP_TotalRates_SME_1[[Ausnet]:[United Energy]],MATCH("TOU - supply",OP_TotalRates_SME_1[[Rate name]:[Rate name]],0),MATCH(O$10,OP_TotalRates_SME_1[[#Headers],[Ausnet]:[United Energy]],0))*DiY)+
(INDEX(OP_TotalRates_SME_1[[Ausnet]:[United Energy]],MATCH("Peak",OP_TotalRates_SME_1[[Rate name]:[Rate name]],0),MATCH(O$10,OP_TotalRates_SME_1[[#Headers],[Ausnet]:[United Energy]],0))*
INDEX(Input_Usage[[F-PreviousVDO_Input]:[F-NextVDO_Input]],MATCH($L12&amp;" - Peak",Input_Usage[[Ref]:[Ref]],0),MATCH($D$7,Inputs!$I$134:$O$134,0)))+
IFERROR((INDEX(OP_TotalRates_SME_1[[Ausnet]:[United Energy]],MATCH("TOU - Shoulder",OP_TotalRates_SME_1[[Rate name]:[Rate name]],0),MATCH(O$10,OP_TotalRates_SME_1[[#Headers],[Ausnet]:[United Energy]],0))*
INDEX(Input_Usage[[F-PreviousVDO_Input]:[F-NextVDO_Input]],MATCH($L12&amp;" - Shoulder",Input_Usage[[Ref]:[Ref]],0),MATCH($D$7,Inputs!$I$134:$O$134,0))),0)+
(INDEX(OP_TotalRates_SME_1[[Ausnet]:[United Energy]],MATCH("Off peak",OP_TotalRates_SME_1[[Rate name]:[Rate name]],0),MATCH(O$10,OP_TotalRates_SME_1[[#Headers],[Ausnet]:[United Energy]],0))*
INDEX(Input_Usage[[F-PreviousVDO_Input]:[F-NextVDO_Input]],MATCH($L12&amp;" - Off peak",Input_Usage[[Ref]:[Ref]],0),MATCH($D$7,Inputs!$I$134:$O$134,0))),0)),"-")</f>
        <v>4936</v>
      </c>
      <c r="P12" s="120">
        <f>IFERROR(
IF($D$7="VDO 2021 - Final",
ROUNDUP(
(INDEX(OP_TotalRates_SME_1[[Ausnet]:[United Energy]],MATCH("Anytime - supply",OP_TotalRates_SME_1[[Rate name]:[Rate name]],0),MATCH(P$10,OP_TotalRates_SME_1[[#Headers],[Ausnet]:[United Energy]],0))*DiY)+
(IFERROR((INDEX(OP_TotalRates_SME_1[[Ausnet]:[United Energy]],MATCH("Block 1",OP_TotalRates_SME_1[[Rate name]:[Rate name]],0),MATCH(P$10,OP_TotalRates_SME_1[[#Headers],[Ausnet]:[United Energy]],0))*
INDEX(Input_Usage[[F-PreviousVDO_Input]:[F-NextVDO_Input]],MATCH($L12&amp;" - Block 1",Input_Usage[[Ref]:[Ref]],0),MATCH($D$7,Inputs!$I$134:$O$134,0))),0)+
IFERROR((INDEX(OP_TotalRates_SME_1[[Ausnet]:[United Energy]],MATCH("Balance",OP_TotalRates_SME_1[[Rate name]:[Rate name]],0),MATCH(P$10,OP_TotalRates_SME_1[[#Headers],[Ausnet]:[United Energy]],0))*
INDEX(Input_Usage[[F-PreviousVDO_Input]:[F-NextVDO_Input]],MATCH($L12&amp;" - Balance",Input_Usage[[Ref]:[Ref]],0),MATCH($D$7,Inputs!$I$134:$O$134,0))),0)+
IFERROR((INDEX(OP_TotalRates_SME_1[[Ausnet]:[United Energy]],MATCH("Single rate",OP_TotalRates_SME_1[[Rate name]:[Rate name]],0),MATCH(P$10,OP_TotalRates_SME_1[[#Headers],[Ausnet]:[United Energy]],0))*
INDEX(Input_Usage[[F-PreviousVDO_Input]:[F-NextVDO_Input]],MATCH($L12&amp;" - Annual",Input_Usage[[Ref]:[Ref]],0),MATCH($D$7,Inputs!$I$134:$O$134,0))),0)),0),
ROUNDUP(
(INDEX(OP_TotalRates_SME_1[[Ausnet]:[United Energy]],MATCH("TOU - supply",OP_TotalRates_SME_1[[Rate name]:[Rate name]],0),MATCH(P$10,OP_TotalRates_SME_1[[#Headers],[Ausnet]:[United Energy]],0))*DiY)+
(INDEX(OP_TotalRates_SME_1[[Ausnet]:[United Energy]],MATCH("Peak",OP_TotalRates_SME_1[[Rate name]:[Rate name]],0),MATCH(P$10,OP_TotalRates_SME_1[[#Headers],[Ausnet]:[United Energy]],0))*
INDEX(Input_Usage[[F-PreviousVDO_Input]:[F-NextVDO_Input]],MATCH($L12&amp;" - Peak",Input_Usage[[Ref]:[Ref]],0),MATCH($D$7,Inputs!$I$134:$O$134,0)))+
IFERROR((INDEX(OP_TotalRates_SME_1[[Ausnet]:[United Energy]],MATCH("TOU - Shoulder",OP_TotalRates_SME_1[[Rate name]:[Rate name]],0),MATCH(P$10,OP_TotalRates_SME_1[[#Headers],[Ausnet]:[United Energy]],0))*
INDEX(Input_Usage[[F-PreviousVDO_Input]:[F-NextVDO_Input]],MATCH($L12&amp;" - Shoulder",Input_Usage[[Ref]:[Ref]],0),MATCH($D$7,Inputs!$I$134:$O$134,0))),0)+
(INDEX(OP_TotalRates_SME_1[[Ausnet]:[United Energy]],MATCH("Off peak",OP_TotalRates_SME_1[[Rate name]:[Rate name]],0),MATCH(P$10,OP_TotalRates_SME_1[[#Headers],[Ausnet]:[United Energy]],0))*
INDEX(Input_Usage[[F-PreviousVDO_Input]:[F-NextVDO_Input]],MATCH($L12&amp;" - Off peak",Input_Usage[[Ref]:[Ref]],0),MATCH($D$7,Inputs!$I$134:$O$134,0))),0)),"-")</f>
        <v>4956</v>
      </c>
      <c r="Q12" s="120">
        <f>IFERROR(
IF($D$7="VDO 2021 - Final",
ROUNDUP(
(INDEX(OP_TotalRates_SME_1[[Ausnet]:[United Energy]],MATCH("Anytime - supply",OP_TotalRates_SME_1[[Rate name]:[Rate name]],0),MATCH(Q$10,OP_TotalRates_SME_1[[#Headers],[Ausnet]:[United Energy]],0))*DiY)+
(IFERROR((INDEX(OP_TotalRates_SME_1[[Ausnet]:[United Energy]],MATCH("Block 1",OP_TotalRates_SME_1[[Rate name]:[Rate name]],0),MATCH(Q$10,OP_TotalRates_SME_1[[#Headers],[Ausnet]:[United Energy]],0))*
INDEX(Input_Usage[[F-PreviousVDO_Input]:[F-NextVDO_Input]],MATCH($L12&amp;" - Block 1",Input_Usage[[Ref]:[Ref]],0),MATCH($D$7,Inputs!$I$134:$O$134,0))),0)+
IFERROR((INDEX(OP_TotalRates_SME_1[[Ausnet]:[United Energy]],MATCH("Balance",OP_TotalRates_SME_1[[Rate name]:[Rate name]],0),MATCH(Q$10,OP_TotalRates_SME_1[[#Headers],[Ausnet]:[United Energy]],0))*
INDEX(Input_Usage[[F-PreviousVDO_Input]:[F-NextVDO_Input]],MATCH($L12&amp;" - Balance",Input_Usage[[Ref]:[Ref]],0),MATCH($D$7,Inputs!$I$134:$O$134,0))),0)+
IFERROR((INDEX(OP_TotalRates_SME_1[[Ausnet]:[United Energy]],MATCH("Single rate",OP_TotalRates_SME_1[[Rate name]:[Rate name]],0),MATCH(Q$10,OP_TotalRates_SME_1[[#Headers],[Ausnet]:[United Energy]],0))*
INDEX(Input_Usage[[F-PreviousVDO_Input]:[F-NextVDO_Input]],MATCH($L12&amp;" - Annual",Input_Usage[[Ref]:[Ref]],0),MATCH($D$7,Inputs!$I$134:$O$134,0))),0)),0),
ROUNDUP(
(INDEX(OP_TotalRates_SME_1[[Ausnet]:[United Energy]],MATCH("TOU - supply",OP_TotalRates_SME_1[[Rate name]:[Rate name]],0),MATCH(Q$10,OP_TotalRates_SME_1[[#Headers],[Ausnet]:[United Energy]],0))*DiY)+
(INDEX(OP_TotalRates_SME_1[[Ausnet]:[United Energy]],MATCH("Peak",OP_TotalRates_SME_1[[Rate name]:[Rate name]],0),MATCH(Q$10,OP_TotalRates_SME_1[[#Headers],[Ausnet]:[United Energy]],0))*
INDEX(Input_Usage[[F-PreviousVDO_Input]:[F-NextVDO_Input]],MATCH($L12&amp;" - Peak",Input_Usage[[Ref]:[Ref]],0),MATCH($D$7,Inputs!$I$134:$O$134,0)))+
IFERROR((INDEX(OP_TotalRates_SME_1[[Ausnet]:[United Energy]],MATCH("TOU - Shoulder",OP_TotalRates_SME_1[[Rate name]:[Rate name]],0),MATCH(Q$10,OP_TotalRates_SME_1[[#Headers],[Ausnet]:[United Energy]],0))*
INDEX(Input_Usage[[F-PreviousVDO_Input]:[F-NextVDO_Input]],MATCH($L12&amp;" - Shoulder",Input_Usage[[Ref]:[Ref]],0),MATCH($D$7,Inputs!$I$134:$O$134,0))),0)+
(INDEX(OP_TotalRates_SME_1[[Ausnet]:[United Energy]],MATCH("Off peak",OP_TotalRates_SME_1[[Rate name]:[Rate name]],0),MATCH(Q$10,OP_TotalRates_SME_1[[#Headers],[Ausnet]:[United Energy]],0))*
INDEX(Input_Usage[[F-PreviousVDO_Input]:[F-NextVDO_Input]],MATCH($L12&amp;" - Off peak",Input_Usage[[Ref]:[Ref]],0),MATCH($D$7,Inputs!$I$134:$O$134,0))),0)),"-")</f>
        <v>4782</v>
      </c>
    </row>
    <row r="13" spans="1:18" x14ac:dyDescent="0.25">
      <c r="C13" s="44" t="s">
        <v>92</v>
      </c>
      <c r="D13" s="44" t="s">
        <v>224</v>
      </c>
      <c r="E13" s="120">
        <f>IFERROR(
IF($D$7="VDO 2021 - Final",
ROUNDUP(
(INDEX(OP_TotalRates_RES_1[[Ausnet]:[United Energy]],MATCH("Anytime - supply",OP_TotalRates_RES_1[[Rate name]:[Rate name]],0),MATCH(E$10,OP_TotalRates_RES_1[[#Headers],[Ausnet]:[United Energy]],0))*DiY)+
(IFERROR((INDEX(OP_TotalRates_RES_1[[Ausnet]:[United Energy]],MATCH("Block 1",OP_TotalRates_RES_1[[Rate name]:[Rate name]],0),MATCH(E$10,OP_TotalRates_RES_1[[#Headers],[Ausnet]:[United Energy]],0))*
INDEX(Input_Usage[[F-PreviousVDO_Input]:[F-NextVDO_Input]],MATCH($D13&amp;" - Block 1",Input_Usage[[Ref]:[Ref]],0),MATCH($D$7,Inputs!$I$134:$O$134,0))),0)+
IFERROR((INDEX(OP_TotalRates_RES_1[[Ausnet]:[United Energy]],MATCH("Balance",OP_TotalRates_RES_1[[Rate name]:[Rate name]],0),MATCH(E$10,OP_TotalRates_RES_1[[#Headers],[Ausnet]:[United Energy]],0))*
INDEX(Input_Usage[[F-PreviousVDO_Input]:[F-NextVDO_Input]],MATCH($D13&amp;" - Balance",Input_Usage[[Ref]:[Ref]],0),MATCH($D$7,Inputs!$I$134:$O$134,0))),0)+
IFERROR((INDEX(OP_TotalRates_RES_1[[Ausnet]:[United Energy]],MATCH("Single rate",OP_TotalRates_RES_1[[Rate name]:[Rate name]],0),MATCH(E$10,OP_TotalRates_RES_1[[#Headers],[Ausnet]:[United Energy]],0))*
INDEX(Input_Usage[[F-PreviousVDO_Input]:[F-NextVDO_Input]],MATCH($D13&amp;" - Annual",Input_Usage[[Ref]:[Ref]],0),MATCH($D$7,Inputs!$I$134:$O$134,0))),0)),0),
ROUNDUP(
(INDEX(OP_TotalRates_RES_1[[Ausnet]:[United Energy]],MATCH("TOU - supply",OP_TotalRates_RES_1[[Rate name]:[Rate name]],0),MATCH(E$10,OP_TotalRates_RES_1[[#Headers],[Ausnet]:[United Energy]],0))*DiY)+
(INDEX(OP_TotalRates_RES_1[[Ausnet]:[United Energy]],MATCH("Peak",OP_TotalRates_RES_1[[Rate name]:[Rate name]],0),MATCH(E$10,OP_TotalRates_RES_1[[#Headers],[Ausnet]:[United Energy]],0))*
INDEX(Input_Usage[[F-PreviousVDO_Input]:[F-NextVDO_Input]],MATCH($D13&amp;" - Peak",Input_Usage[[Ref]:[Ref]],0),MATCH($D$7,Inputs!$I$134:$O$134,0)))+
IFERROR((INDEX(OP_TotalRates_RES_1[[Ausnet]:[United Energy]],MATCH("TOU - Shoulder",OP_TotalRates_RES_1[[Rate name]:[Rate name]],0),MATCH(E$10,OP_TotalRates_RES_1[[#Headers],[Ausnet]:[United Energy]],0))*
INDEX(Input_Usage[[F-PreviousVDO_Input]:[F-NextVDO_Input]],MATCH($D13&amp;" - Shoulder",Input_Usage[[Ref]:[Ref]],0),MATCH($D$7,Inputs!$I$134:$O$134,0))),0)+
(INDEX(OP_TotalRates_RES_1[[Ausnet]:[United Energy]],MATCH("Off peak",OP_TotalRates_RES_1[[Rate name]:[Rate name]],0),MATCH(E$10,OP_TotalRates_RES_1[[#Headers],[Ausnet]:[United Energy]],0))*
INDEX(Input_Usage[[F-PreviousVDO_Input]:[F-NextVDO_Input]],MATCH($D13&amp;" - Off peak",Input_Usage[[Ref]:[Ref]],0),MATCH($D$7,Inputs!$I$134:$O$134,0))),0)),"-")</f>
        <v>2449</v>
      </c>
      <c r="F13" s="120">
        <f>IFERROR(
IF($D$7="VDO 2021 - Final",
ROUNDUP(
(INDEX(OP_TotalRates_RES_1[[Ausnet]:[United Energy]],MATCH("Anytime - supply",OP_TotalRates_RES_1[[Rate name]:[Rate name]],0),MATCH(F$10,OP_TotalRates_RES_1[[#Headers],[Ausnet]:[United Energy]],0))*DiY)+
(IFERROR((INDEX(OP_TotalRates_RES_1[[Ausnet]:[United Energy]],MATCH("Block 1",OP_TotalRates_RES_1[[Rate name]:[Rate name]],0),MATCH(F$10,OP_TotalRates_RES_1[[#Headers],[Ausnet]:[United Energy]],0))*
INDEX(Input_Usage[[F-PreviousVDO_Input]:[F-NextVDO_Input]],MATCH($D13&amp;" - Block 1",Input_Usage[[Ref]:[Ref]],0),MATCH($D$7,Inputs!$I$134:$O$134,0))),0)+
IFERROR((INDEX(OP_TotalRates_RES_1[[Ausnet]:[United Energy]],MATCH("Balance",OP_TotalRates_RES_1[[Rate name]:[Rate name]],0),MATCH(F$10,OP_TotalRates_RES_1[[#Headers],[Ausnet]:[United Energy]],0))*
INDEX(Input_Usage[[F-PreviousVDO_Input]:[F-NextVDO_Input]],MATCH($D13&amp;" - Balance",Input_Usage[[Ref]:[Ref]],0),MATCH($D$7,Inputs!$I$134:$O$134,0))),0)+
IFERROR((INDEX(OP_TotalRates_RES_1[[Ausnet]:[United Energy]],MATCH("Single rate",OP_TotalRates_RES_1[[Rate name]:[Rate name]],0),MATCH(F$10,OP_TotalRates_RES_1[[#Headers],[Ausnet]:[United Energy]],0))*
INDEX(Input_Usage[[F-PreviousVDO_Input]:[F-NextVDO_Input]],MATCH($D13&amp;" - Annual",Input_Usage[[Ref]:[Ref]],0),MATCH($D$7,Inputs!$I$134:$O$134,0))),0)),0),
ROUNDUP(
(INDEX(OP_TotalRates_RES_1[[Ausnet]:[United Energy]],MATCH("TOU - supply",OP_TotalRates_RES_1[[Rate name]:[Rate name]],0),MATCH(F$10,OP_TotalRates_RES_1[[#Headers],[Ausnet]:[United Energy]],0))*DiY)+
(INDEX(OP_TotalRates_RES_1[[Ausnet]:[United Energy]],MATCH("Peak",OP_TotalRates_RES_1[[Rate name]:[Rate name]],0),MATCH(F$10,OP_TotalRates_RES_1[[#Headers],[Ausnet]:[United Energy]],0))*
INDEX(Input_Usage[[F-PreviousVDO_Input]:[F-NextVDO_Input]],MATCH($D13&amp;" - Peak",Input_Usage[[Ref]:[Ref]],0),MATCH($D$7,Inputs!$I$134:$O$134,0)))+
IFERROR((INDEX(OP_TotalRates_RES_1[[Ausnet]:[United Energy]],MATCH("TOU - Shoulder",OP_TotalRates_RES_1[[Rate name]:[Rate name]],0),MATCH(F$10,OP_TotalRates_RES_1[[#Headers],[Ausnet]:[United Energy]],0))*
INDEX(Input_Usage[[F-PreviousVDO_Input]:[F-NextVDO_Input]],MATCH($D13&amp;" - Shoulder",Input_Usage[[Ref]:[Ref]],0),MATCH($D$7,Inputs!$I$134:$O$134,0))),0)+
(INDEX(OP_TotalRates_RES_1[[Ausnet]:[United Energy]],MATCH("Off peak",OP_TotalRates_RES_1[[Rate name]:[Rate name]],0),MATCH(F$10,OP_TotalRates_RES_1[[#Headers],[Ausnet]:[United Energy]],0))*
INDEX(Input_Usage[[F-PreviousVDO_Input]:[F-NextVDO_Input]],MATCH($D13&amp;" - Off peak",Input_Usage[[Ref]:[Ref]],0),MATCH($D$7,Inputs!$I$134:$O$134,0))),0)),"-")</f>
        <v>2146</v>
      </c>
      <c r="G13" s="120">
        <f>IFERROR(
IF($D$7="VDO 2021 - Final",
ROUNDUP(
(INDEX(OP_TotalRates_RES_1[[Ausnet]:[United Energy]],MATCH("Anytime - supply",OP_TotalRates_RES_1[[Rate name]:[Rate name]],0),MATCH(G$10,OP_TotalRates_RES_1[[#Headers],[Ausnet]:[United Energy]],0))*DiY)+
(IFERROR((INDEX(OP_TotalRates_RES_1[[Ausnet]:[United Energy]],MATCH("Block 1",OP_TotalRates_RES_1[[Rate name]:[Rate name]],0),MATCH(G$10,OP_TotalRates_RES_1[[#Headers],[Ausnet]:[United Energy]],0))*
INDEX(Input_Usage[[F-PreviousVDO_Input]:[F-NextVDO_Input]],MATCH($D13&amp;" - Block 1",Input_Usage[[Ref]:[Ref]],0),MATCH($D$7,Inputs!$I$134:$O$134,0))),0)+
IFERROR((INDEX(OP_TotalRates_RES_1[[Ausnet]:[United Energy]],MATCH("Balance",OP_TotalRates_RES_1[[Rate name]:[Rate name]],0),MATCH(G$10,OP_TotalRates_RES_1[[#Headers],[Ausnet]:[United Energy]],0))*
INDEX(Input_Usage[[F-PreviousVDO_Input]:[F-NextVDO_Input]],MATCH($D13&amp;" - Balance",Input_Usage[[Ref]:[Ref]],0),MATCH($D$7,Inputs!$I$134:$O$134,0))),0)+
IFERROR((INDEX(OP_TotalRates_RES_1[[Ausnet]:[United Energy]],MATCH("Single rate",OP_TotalRates_RES_1[[Rate name]:[Rate name]],0),MATCH(G$10,OP_TotalRates_RES_1[[#Headers],[Ausnet]:[United Energy]],0))*
INDEX(Input_Usage[[F-PreviousVDO_Input]:[F-NextVDO_Input]],MATCH($D13&amp;" - Annual",Input_Usage[[Ref]:[Ref]],0),MATCH($D$7,Inputs!$I$134:$O$134,0))),0)),0),
ROUNDUP(
(INDEX(OP_TotalRates_RES_1[[Ausnet]:[United Energy]],MATCH("TOU - supply",OP_TotalRates_RES_1[[Rate name]:[Rate name]],0),MATCH(G$10,OP_TotalRates_RES_1[[#Headers],[Ausnet]:[United Energy]],0))*DiY)+
(INDEX(OP_TotalRates_RES_1[[Ausnet]:[United Energy]],MATCH("Peak",OP_TotalRates_RES_1[[Rate name]:[Rate name]],0),MATCH(G$10,OP_TotalRates_RES_1[[#Headers],[Ausnet]:[United Energy]],0))*
INDEX(Input_Usage[[F-PreviousVDO_Input]:[F-NextVDO_Input]],MATCH($D13&amp;" - Peak",Input_Usage[[Ref]:[Ref]],0),MATCH($D$7,Inputs!$I$134:$O$134,0)))+
IFERROR((INDEX(OP_TotalRates_RES_1[[Ausnet]:[United Energy]],MATCH("TOU - Shoulder",OP_TotalRates_RES_1[[Rate name]:[Rate name]],0),MATCH(G$10,OP_TotalRates_RES_1[[#Headers],[Ausnet]:[United Energy]],0))*
INDEX(Input_Usage[[F-PreviousVDO_Input]:[F-NextVDO_Input]],MATCH($D13&amp;" - Shoulder",Input_Usage[[Ref]:[Ref]],0),MATCH($D$7,Inputs!$I$134:$O$134,0))),0)+
(INDEX(OP_TotalRates_RES_1[[Ausnet]:[United Energy]],MATCH("Off peak",OP_TotalRates_RES_1[[Rate name]:[Rate name]],0),MATCH(G$10,OP_TotalRates_RES_1[[#Headers],[Ausnet]:[United Energy]],0))*
INDEX(Input_Usage[[F-PreviousVDO_Input]:[F-NextVDO_Input]],MATCH($D13&amp;" - Off peak",Input_Usage[[Ref]:[Ref]],0),MATCH($D$7,Inputs!$I$134:$O$134,0))),0)),"-")</f>
        <v>2109</v>
      </c>
      <c r="H13" s="120">
        <f>IFERROR(
IF($D$7="VDO 2021 - Final",
ROUNDUP(
(INDEX(OP_TotalRates_RES_1[[Ausnet]:[United Energy]],MATCH("Anytime - supply",OP_TotalRates_RES_1[[Rate name]:[Rate name]],0),MATCH(H$10,OP_TotalRates_RES_1[[#Headers],[Ausnet]:[United Energy]],0))*DiY)+
(IFERROR((INDEX(OP_TotalRates_RES_1[[Ausnet]:[United Energy]],MATCH("Block 1",OP_TotalRates_RES_1[[Rate name]:[Rate name]],0),MATCH(H$10,OP_TotalRates_RES_1[[#Headers],[Ausnet]:[United Energy]],0))*
INDEX(Input_Usage[[F-PreviousVDO_Input]:[F-NextVDO_Input]],MATCH($D13&amp;" - Block 1",Input_Usage[[Ref]:[Ref]],0),MATCH($D$7,Inputs!$I$134:$O$134,0))),0)+
IFERROR((INDEX(OP_TotalRates_RES_1[[Ausnet]:[United Energy]],MATCH("Balance",OP_TotalRates_RES_1[[Rate name]:[Rate name]],0),MATCH(H$10,OP_TotalRates_RES_1[[#Headers],[Ausnet]:[United Energy]],0))*
INDEX(Input_Usage[[F-PreviousVDO_Input]:[F-NextVDO_Input]],MATCH($D13&amp;" - Balance",Input_Usage[[Ref]:[Ref]],0),MATCH($D$7,Inputs!$I$134:$O$134,0))),0)+
IFERROR((INDEX(OP_TotalRates_RES_1[[Ausnet]:[United Energy]],MATCH("Single rate",OP_TotalRates_RES_1[[Rate name]:[Rate name]],0),MATCH(H$10,OP_TotalRates_RES_1[[#Headers],[Ausnet]:[United Energy]],0))*
INDEX(Input_Usage[[F-PreviousVDO_Input]:[F-NextVDO_Input]],MATCH($D13&amp;" - Annual",Input_Usage[[Ref]:[Ref]],0),MATCH($D$7,Inputs!$I$134:$O$134,0))),0)),0),
ROUNDUP(
(INDEX(OP_TotalRates_RES_1[[Ausnet]:[United Energy]],MATCH("TOU - supply",OP_TotalRates_RES_1[[Rate name]:[Rate name]],0),MATCH(H$10,OP_TotalRates_RES_1[[#Headers],[Ausnet]:[United Energy]],0))*DiY)+
(INDEX(OP_TotalRates_RES_1[[Ausnet]:[United Energy]],MATCH("Peak",OP_TotalRates_RES_1[[Rate name]:[Rate name]],0),MATCH(H$10,OP_TotalRates_RES_1[[#Headers],[Ausnet]:[United Energy]],0))*
INDEX(Input_Usage[[F-PreviousVDO_Input]:[F-NextVDO_Input]],MATCH($D13&amp;" - Peak",Input_Usage[[Ref]:[Ref]],0),MATCH($D$7,Inputs!$I$134:$O$134,0)))+
IFERROR((INDEX(OP_TotalRates_RES_1[[Ausnet]:[United Energy]],MATCH("TOU - Shoulder",OP_TotalRates_RES_1[[Rate name]:[Rate name]],0),MATCH(H$10,OP_TotalRates_RES_1[[#Headers],[Ausnet]:[United Energy]],0))*
INDEX(Input_Usage[[F-PreviousVDO_Input]:[F-NextVDO_Input]],MATCH($D13&amp;" - Shoulder",Input_Usage[[Ref]:[Ref]],0),MATCH($D$7,Inputs!$I$134:$O$134,0))),0)+
(INDEX(OP_TotalRates_RES_1[[Ausnet]:[United Energy]],MATCH("Off peak",OP_TotalRates_RES_1[[Rate name]:[Rate name]],0),MATCH(H$10,OP_TotalRates_RES_1[[#Headers],[Ausnet]:[United Energy]],0))*
INDEX(Input_Usage[[F-PreviousVDO_Input]:[F-NextVDO_Input]],MATCH($D13&amp;" - Off peak",Input_Usage[[Ref]:[Ref]],0),MATCH($D$7,Inputs!$I$134:$O$134,0))),0)),"-")</f>
        <v>2264</v>
      </c>
      <c r="I13" s="120">
        <f>IFERROR(
IF($D$7="VDO 2021 - Final",
ROUNDUP(
(INDEX(OP_TotalRates_RES_1[[Ausnet]:[United Energy]],MATCH("Anytime - supply",OP_TotalRates_RES_1[[Rate name]:[Rate name]],0),MATCH(I$10,OP_TotalRates_RES_1[[#Headers],[Ausnet]:[United Energy]],0))*DiY)+
(IFERROR((INDEX(OP_TotalRates_RES_1[[Ausnet]:[United Energy]],MATCH("Block 1",OP_TotalRates_RES_1[[Rate name]:[Rate name]],0),MATCH(I$10,OP_TotalRates_RES_1[[#Headers],[Ausnet]:[United Energy]],0))*
INDEX(Input_Usage[[F-PreviousVDO_Input]:[F-NextVDO_Input]],MATCH($D13&amp;" - Block 1",Input_Usage[[Ref]:[Ref]],0),MATCH($D$7,Inputs!$I$134:$O$134,0))),0)+
IFERROR((INDEX(OP_TotalRates_RES_1[[Ausnet]:[United Energy]],MATCH("Balance",OP_TotalRates_RES_1[[Rate name]:[Rate name]],0),MATCH(I$10,OP_TotalRates_RES_1[[#Headers],[Ausnet]:[United Energy]],0))*
INDEX(Input_Usage[[F-PreviousVDO_Input]:[F-NextVDO_Input]],MATCH($D13&amp;" - Balance",Input_Usage[[Ref]:[Ref]],0),MATCH($D$7,Inputs!$I$134:$O$134,0))),0)+
IFERROR((INDEX(OP_TotalRates_RES_1[[Ausnet]:[United Energy]],MATCH("Single rate",OP_TotalRates_RES_1[[Rate name]:[Rate name]],0),MATCH(I$10,OP_TotalRates_RES_1[[#Headers],[Ausnet]:[United Energy]],0))*
INDEX(Input_Usage[[F-PreviousVDO_Input]:[F-NextVDO_Input]],MATCH($D13&amp;" - Annual",Input_Usage[[Ref]:[Ref]],0),MATCH($D$7,Inputs!$I$134:$O$134,0))),0)),0),
ROUNDUP(
(INDEX(OP_TotalRates_RES_1[[Ausnet]:[United Energy]],MATCH("TOU - supply",OP_TotalRates_RES_1[[Rate name]:[Rate name]],0),MATCH(I$10,OP_TotalRates_RES_1[[#Headers],[Ausnet]:[United Energy]],0))*DiY)+
(INDEX(OP_TotalRates_RES_1[[Ausnet]:[United Energy]],MATCH("Peak",OP_TotalRates_RES_1[[Rate name]:[Rate name]],0),MATCH(I$10,OP_TotalRates_RES_1[[#Headers],[Ausnet]:[United Energy]],0))*
INDEX(Input_Usage[[F-PreviousVDO_Input]:[F-NextVDO_Input]],MATCH($D13&amp;" - Peak",Input_Usage[[Ref]:[Ref]],0),MATCH($D$7,Inputs!$I$134:$O$134,0)))+
IFERROR((INDEX(OP_TotalRates_RES_1[[Ausnet]:[United Energy]],MATCH("TOU - Shoulder",OP_TotalRates_RES_1[[Rate name]:[Rate name]],0),MATCH(I$10,OP_TotalRates_RES_1[[#Headers],[Ausnet]:[United Energy]],0))*
INDEX(Input_Usage[[F-PreviousVDO_Input]:[F-NextVDO_Input]],MATCH($D13&amp;" - Shoulder",Input_Usage[[Ref]:[Ref]],0),MATCH($D$7,Inputs!$I$134:$O$134,0))),0)+
(INDEX(OP_TotalRates_RES_1[[Ausnet]:[United Energy]],MATCH("Off peak",OP_TotalRates_RES_1[[Rate name]:[Rate name]],0),MATCH(I$10,OP_TotalRates_RES_1[[#Headers],[Ausnet]:[United Energy]],0))*
INDEX(Input_Usage[[F-PreviousVDO_Input]:[F-NextVDO_Input]],MATCH($D13&amp;" - Off peak",Input_Usage[[Ref]:[Ref]],0),MATCH($D$7,Inputs!$I$134:$O$134,0))),0)),"-")</f>
        <v>2167</v>
      </c>
      <c r="K13" s="44" t="s">
        <v>93</v>
      </c>
      <c r="L13" s="44" t="s">
        <v>227</v>
      </c>
      <c r="M13" s="120">
        <f>IFERROR(
IF($D$7="VDO 2021 - Final",
ROUNDUP(
(INDEX(OP_TotalRates_SME_1[[Ausnet]:[United Energy]],MATCH("Anytime - supply",OP_TotalRates_SME_1[[Rate name]:[Rate name]],0),MATCH(M$10,OP_TotalRates_SME_1[[#Headers],[Ausnet]:[United Energy]],0))*DiY)+
(IFERROR((INDEX(OP_TotalRates_SME_1[[Ausnet]:[United Energy]],MATCH("Block 1",OP_TotalRates_SME_1[[Rate name]:[Rate name]],0),MATCH(M$10,OP_TotalRates_SME_1[[#Headers],[Ausnet]:[United Energy]],0))*
INDEX(Input_Usage[[F-PreviousVDO_Input]:[F-NextVDO_Input]],MATCH($L13&amp;" - Block 1",Input_Usage[[Ref]:[Ref]],0),MATCH($D$7,Inputs!$I$134:$O$134,0))),0)+
IFERROR((INDEX(OP_TotalRates_SME_1[[Ausnet]:[United Energy]],MATCH("Balance",OP_TotalRates_SME_1[[Rate name]:[Rate name]],0),MATCH(M$10,OP_TotalRates_SME_1[[#Headers],[Ausnet]:[United Energy]],0))*
INDEX(Input_Usage[[F-PreviousVDO_Input]:[F-NextVDO_Input]],MATCH($L13&amp;" - Balance",Input_Usage[[Ref]:[Ref]],0),MATCH($D$7,Inputs!$I$134:$O$134,0))),0)+
IFERROR((INDEX(OP_TotalRates_SME_1[[Ausnet]:[United Energy]],MATCH("Single rate",OP_TotalRates_SME_1[[Rate name]:[Rate name]],0),MATCH(M$10,OP_TotalRates_SME_1[[#Headers],[Ausnet]:[United Energy]],0))*
INDEX(Input_Usage[[F-PreviousVDO_Input]:[F-NextVDO_Input]],MATCH($L13&amp;" - Annual",Input_Usage[[Ref]:[Ref]],0),MATCH($D$7,Inputs!$I$134:$O$134,0))),0)),0),
ROUNDUP(
(INDEX(OP_TotalRates_SME_1[[Ausnet]:[United Energy]],MATCH("TOU - supply",OP_TotalRates_SME_1[[Rate name]:[Rate name]],0),MATCH(M$10,OP_TotalRates_SME_1[[#Headers],[Ausnet]:[United Energy]],0))*DiY)+
(INDEX(OP_TotalRates_SME_1[[Ausnet]:[United Energy]],MATCH("Peak",OP_TotalRates_SME_1[[Rate name]:[Rate name]],0),MATCH(M$10,OP_TotalRates_SME_1[[#Headers],[Ausnet]:[United Energy]],0))*
INDEX(Input_Usage[[F-PreviousVDO_Input]:[F-NextVDO_Input]],MATCH($L13&amp;" - Peak",Input_Usage[[Ref]:[Ref]],0),MATCH($D$7,Inputs!$I$134:$O$134,0)))+
IFERROR((INDEX(OP_TotalRates_SME_1[[Ausnet]:[United Energy]],MATCH("TOU - Shoulder",OP_TotalRates_SME_1[[Rate name]:[Rate name]],0),MATCH(M$10,OP_TotalRates_SME_1[[#Headers],[Ausnet]:[United Energy]],0))*
INDEX(Input_Usage[[F-PreviousVDO_Input]:[F-NextVDO_Input]],MATCH($L13&amp;" - Shoulder",Input_Usage[[Ref]:[Ref]],0),MATCH($D$7,Inputs!$I$134:$O$134,0))),0)+
(INDEX(OP_TotalRates_SME_1[[Ausnet]:[United Energy]],MATCH("Off peak",OP_TotalRates_SME_1[[Rate name]:[Rate name]],0),MATCH(M$10,OP_TotalRates_SME_1[[#Headers],[Ausnet]:[United Energy]],0))*
INDEX(Input_Usage[[F-PreviousVDO_Input]:[F-NextVDO_Input]],MATCH($L13&amp;" - Off peak",Input_Usage[[Ref]:[Ref]],0),MATCH($D$7,Inputs!$I$134:$O$134,0))),0)),"-")</f>
        <v>10294</v>
      </c>
      <c r="N13" s="120">
        <f>IFERROR(
IF($D$7="VDO 2021 - Final",
ROUNDUP(
(INDEX(OP_TotalRates_SME_1[[Ausnet]:[United Energy]],MATCH("Anytime - supply",OP_TotalRates_SME_1[[Rate name]:[Rate name]],0),MATCH(N$10,OP_TotalRates_SME_1[[#Headers],[Ausnet]:[United Energy]],0))*DiY)+
(IFERROR((INDEX(OP_TotalRates_SME_1[[Ausnet]:[United Energy]],MATCH("Block 1",OP_TotalRates_SME_1[[Rate name]:[Rate name]],0),MATCH(N$10,OP_TotalRates_SME_1[[#Headers],[Ausnet]:[United Energy]],0))*
INDEX(Input_Usage[[F-PreviousVDO_Input]:[F-NextVDO_Input]],MATCH($L13&amp;" - Block 1",Input_Usage[[Ref]:[Ref]],0),MATCH($D$7,Inputs!$I$134:$O$134,0))),0)+
IFERROR((INDEX(OP_TotalRates_SME_1[[Ausnet]:[United Energy]],MATCH("Balance",OP_TotalRates_SME_1[[Rate name]:[Rate name]],0),MATCH(N$10,OP_TotalRates_SME_1[[#Headers],[Ausnet]:[United Energy]],0))*
INDEX(Input_Usage[[F-PreviousVDO_Input]:[F-NextVDO_Input]],MATCH($L13&amp;" - Balance",Input_Usage[[Ref]:[Ref]],0),MATCH($D$7,Inputs!$I$134:$O$134,0))),0)+
IFERROR((INDEX(OP_TotalRates_SME_1[[Ausnet]:[United Energy]],MATCH("Single rate",OP_TotalRates_SME_1[[Rate name]:[Rate name]],0),MATCH(N$10,OP_TotalRates_SME_1[[#Headers],[Ausnet]:[United Energy]],0))*
INDEX(Input_Usage[[F-PreviousVDO_Input]:[F-NextVDO_Input]],MATCH($L13&amp;" - Annual",Input_Usage[[Ref]:[Ref]],0),MATCH($D$7,Inputs!$I$134:$O$134,0))),0)),0),
ROUNDUP(
(INDEX(OP_TotalRates_SME_1[[Ausnet]:[United Energy]],MATCH("TOU - supply",OP_TotalRates_SME_1[[Rate name]:[Rate name]],0),MATCH(N$10,OP_TotalRates_SME_1[[#Headers],[Ausnet]:[United Energy]],0))*DiY)+
(INDEX(OP_TotalRates_SME_1[[Ausnet]:[United Energy]],MATCH("Peak",OP_TotalRates_SME_1[[Rate name]:[Rate name]],0),MATCH(N$10,OP_TotalRates_SME_1[[#Headers],[Ausnet]:[United Energy]],0))*
INDEX(Input_Usage[[F-PreviousVDO_Input]:[F-NextVDO_Input]],MATCH($L13&amp;" - Peak",Input_Usage[[Ref]:[Ref]],0),MATCH($D$7,Inputs!$I$134:$O$134,0)))+
IFERROR((INDEX(OP_TotalRates_SME_1[[Ausnet]:[United Energy]],MATCH("TOU - Shoulder",OP_TotalRates_SME_1[[Rate name]:[Rate name]],0),MATCH(N$10,OP_TotalRates_SME_1[[#Headers],[Ausnet]:[United Energy]],0))*
INDEX(Input_Usage[[F-PreviousVDO_Input]:[F-NextVDO_Input]],MATCH($L13&amp;" - Shoulder",Input_Usage[[Ref]:[Ref]],0),MATCH($D$7,Inputs!$I$134:$O$134,0))),0)+
(INDEX(OP_TotalRates_SME_1[[Ausnet]:[United Energy]],MATCH("Off peak",OP_TotalRates_SME_1[[Rate name]:[Rate name]],0),MATCH(N$10,OP_TotalRates_SME_1[[#Headers],[Ausnet]:[United Energy]],0))*
INDEX(Input_Usage[[F-PreviousVDO_Input]:[F-NextVDO_Input]],MATCH($L13&amp;" - Off peak",Input_Usage[[Ref]:[Ref]],0),MATCH($D$7,Inputs!$I$134:$O$134,0))),0)),"-")</f>
        <v>8931</v>
      </c>
      <c r="O13" s="120">
        <f>IFERROR(
IF($D$7="VDO 2021 - Final",
ROUNDUP(
(INDEX(OP_TotalRates_SME_1[[Ausnet]:[United Energy]],MATCH("Anytime - supply",OP_TotalRates_SME_1[[Rate name]:[Rate name]],0),MATCH(O$10,OP_TotalRates_SME_1[[#Headers],[Ausnet]:[United Energy]],0))*DiY)+
(IFERROR((INDEX(OP_TotalRates_SME_1[[Ausnet]:[United Energy]],MATCH("Block 1",OP_TotalRates_SME_1[[Rate name]:[Rate name]],0),MATCH(O$10,OP_TotalRates_SME_1[[#Headers],[Ausnet]:[United Energy]],0))*
INDEX(Input_Usage[[F-PreviousVDO_Input]:[F-NextVDO_Input]],MATCH($L13&amp;" - Block 1",Input_Usage[[Ref]:[Ref]],0),MATCH($D$7,Inputs!$I$134:$O$134,0))),0)+
IFERROR((INDEX(OP_TotalRates_SME_1[[Ausnet]:[United Energy]],MATCH("Balance",OP_TotalRates_SME_1[[Rate name]:[Rate name]],0),MATCH(O$10,OP_TotalRates_SME_1[[#Headers],[Ausnet]:[United Energy]],0))*
INDEX(Input_Usage[[F-PreviousVDO_Input]:[F-NextVDO_Input]],MATCH($L13&amp;" - Balance",Input_Usage[[Ref]:[Ref]],0),MATCH($D$7,Inputs!$I$134:$O$134,0))),0)+
IFERROR((INDEX(OP_TotalRates_SME_1[[Ausnet]:[United Energy]],MATCH("Single rate",OP_TotalRates_SME_1[[Rate name]:[Rate name]],0),MATCH(O$10,OP_TotalRates_SME_1[[#Headers],[Ausnet]:[United Energy]],0))*
INDEX(Input_Usage[[F-PreviousVDO_Input]:[F-NextVDO_Input]],MATCH($L13&amp;" - Annual",Input_Usage[[Ref]:[Ref]],0),MATCH($D$7,Inputs!$I$134:$O$134,0))),0)),0),
ROUNDUP(
(INDEX(OP_TotalRates_SME_1[[Ausnet]:[United Energy]],MATCH("TOU - supply",OP_TotalRates_SME_1[[Rate name]:[Rate name]],0),MATCH(O$10,OP_TotalRates_SME_1[[#Headers],[Ausnet]:[United Energy]],0))*DiY)+
(INDEX(OP_TotalRates_SME_1[[Ausnet]:[United Energy]],MATCH("Peak",OP_TotalRates_SME_1[[Rate name]:[Rate name]],0),MATCH(O$10,OP_TotalRates_SME_1[[#Headers],[Ausnet]:[United Energy]],0))*
INDEX(Input_Usage[[F-PreviousVDO_Input]:[F-NextVDO_Input]],MATCH($L13&amp;" - Peak",Input_Usage[[Ref]:[Ref]],0),MATCH($D$7,Inputs!$I$134:$O$134,0)))+
IFERROR((INDEX(OP_TotalRates_SME_1[[Ausnet]:[United Energy]],MATCH("TOU - Shoulder",OP_TotalRates_SME_1[[Rate name]:[Rate name]],0),MATCH(O$10,OP_TotalRates_SME_1[[#Headers],[Ausnet]:[United Energy]],0))*
INDEX(Input_Usage[[F-PreviousVDO_Input]:[F-NextVDO_Input]],MATCH($L13&amp;" - Shoulder",Input_Usage[[Ref]:[Ref]],0),MATCH($D$7,Inputs!$I$134:$O$134,0))),0)+
(INDEX(OP_TotalRates_SME_1[[Ausnet]:[United Energy]],MATCH("Off peak",OP_TotalRates_SME_1[[Rate name]:[Rate name]],0),MATCH(O$10,OP_TotalRates_SME_1[[#Headers],[Ausnet]:[United Energy]],0))*
INDEX(Input_Usage[[F-PreviousVDO_Input]:[F-NextVDO_Input]],MATCH($L13&amp;" - Off peak",Input_Usage[[Ref]:[Ref]],0),MATCH($D$7,Inputs!$I$134:$O$134,0))),0)),"-")</f>
        <v>9290</v>
      </c>
      <c r="P13" s="120">
        <f>IFERROR(
IF($D$7="VDO 2021 - Final",
ROUNDUP(
(INDEX(OP_TotalRates_SME_1[[Ausnet]:[United Energy]],MATCH("Anytime - supply",OP_TotalRates_SME_1[[Rate name]:[Rate name]],0),MATCH(P$10,OP_TotalRates_SME_1[[#Headers],[Ausnet]:[United Energy]],0))*DiY)+
(IFERROR((INDEX(OP_TotalRates_SME_1[[Ausnet]:[United Energy]],MATCH("Block 1",OP_TotalRates_SME_1[[Rate name]:[Rate name]],0),MATCH(P$10,OP_TotalRates_SME_1[[#Headers],[Ausnet]:[United Energy]],0))*
INDEX(Input_Usage[[F-PreviousVDO_Input]:[F-NextVDO_Input]],MATCH($L13&amp;" - Block 1",Input_Usage[[Ref]:[Ref]],0),MATCH($D$7,Inputs!$I$134:$O$134,0))),0)+
IFERROR((INDEX(OP_TotalRates_SME_1[[Ausnet]:[United Energy]],MATCH("Balance",OP_TotalRates_SME_1[[Rate name]:[Rate name]],0),MATCH(P$10,OP_TotalRates_SME_1[[#Headers],[Ausnet]:[United Energy]],0))*
INDEX(Input_Usage[[F-PreviousVDO_Input]:[F-NextVDO_Input]],MATCH($L13&amp;" - Balance",Input_Usage[[Ref]:[Ref]],0),MATCH($D$7,Inputs!$I$134:$O$134,0))),0)+
IFERROR((INDEX(OP_TotalRates_SME_1[[Ausnet]:[United Energy]],MATCH("Single rate",OP_TotalRates_SME_1[[Rate name]:[Rate name]],0),MATCH(P$10,OP_TotalRates_SME_1[[#Headers],[Ausnet]:[United Energy]],0))*
INDEX(Input_Usage[[F-PreviousVDO_Input]:[F-NextVDO_Input]],MATCH($L13&amp;" - Annual",Input_Usage[[Ref]:[Ref]],0),MATCH($D$7,Inputs!$I$134:$O$134,0))),0)),0),
ROUNDUP(
(INDEX(OP_TotalRates_SME_1[[Ausnet]:[United Energy]],MATCH("TOU - supply",OP_TotalRates_SME_1[[Rate name]:[Rate name]],0),MATCH(P$10,OP_TotalRates_SME_1[[#Headers],[Ausnet]:[United Energy]],0))*DiY)+
(INDEX(OP_TotalRates_SME_1[[Ausnet]:[United Energy]],MATCH("Peak",OP_TotalRates_SME_1[[Rate name]:[Rate name]],0),MATCH(P$10,OP_TotalRates_SME_1[[#Headers],[Ausnet]:[United Energy]],0))*
INDEX(Input_Usage[[F-PreviousVDO_Input]:[F-NextVDO_Input]],MATCH($L13&amp;" - Peak",Input_Usage[[Ref]:[Ref]],0),MATCH($D$7,Inputs!$I$134:$O$134,0)))+
IFERROR((INDEX(OP_TotalRates_SME_1[[Ausnet]:[United Energy]],MATCH("TOU - Shoulder",OP_TotalRates_SME_1[[Rate name]:[Rate name]],0),MATCH(P$10,OP_TotalRates_SME_1[[#Headers],[Ausnet]:[United Energy]],0))*
INDEX(Input_Usage[[F-PreviousVDO_Input]:[F-NextVDO_Input]],MATCH($L13&amp;" - Shoulder",Input_Usage[[Ref]:[Ref]],0),MATCH($D$7,Inputs!$I$134:$O$134,0))),0)+
(INDEX(OP_TotalRates_SME_1[[Ausnet]:[United Energy]],MATCH("Off peak",OP_TotalRates_SME_1[[Rate name]:[Rate name]],0),MATCH(P$10,OP_TotalRates_SME_1[[#Headers],[Ausnet]:[United Energy]],0))*
INDEX(Input_Usage[[F-PreviousVDO_Input]:[F-NextVDO_Input]],MATCH($L13&amp;" - Off peak",Input_Usage[[Ref]:[Ref]],0),MATCH($D$7,Inputs!$I$134:$O$134,0))),0)),"-")</f>
        <v>9397</v>
      </c>
      <c r="Q13" s="120">
        <f>IFERROR(
IF($D$7="VDO 2021 - Final",
ROUNDUP(
(INDEX(OP_TotalRates_SME_1[[Ausnet]:[United Energy]],MATCH("Anytime - supply",OP_TotalRates_SME_1[[Rate name]:[Rate name]],0),MATCH(Q$10,OP_TotalRates_SME_1[[#Headers],[Ausnet]:[United Energy]],0))*DiY)+
(IFERROR((INDEX(OP_TotalRates_SME_1[[Ausnet]:[United Energy]],MATCH("Block 1",OP_TotalRates_SME_1[[Rate name]:[Rate name]],0),MATCH(Q$10,OP_TotalRates_SME_1[[#Headers],[Ausnet]:[United Energy]],0))*
INDEX(Input_Usage[[F-PreviousVDO_Input]:[F-NextVDO_Input]],MATCH($L13&amp;" - Block 1",Input_Usage[[Ref]:[Ref]],0),MATCH($D$7,Inputs!$I$134:$O$134,0))),0)+
IFERROR((INDEX(OP_TotalRates_SME_1[[Ausnet]:[United Energy]],MATCH("Balance",OP_TotalRates_SME_1[[Rate name]:[Rate name]],0),MATCH(Q$10,OP_TotalRates_SME_1[[#Headers],[Ausnet]:[United Energy]],0))*
INDEX(Input_Usage[[F-PreviousVDO_Input]:[F-NextVDO_Input]],MATCH($L13&amp;" - Balance",Input_Usage[[Ref]:[Ref]],0),MATCH($D$7,Inputs!$I$134:$O$134,0))),0)+
IFERROR((INDEX(OP_TotalRates_SME_1[[Ausnet]:[United Energy]],MATCH("Single rate",OP_TotalRates_SME_1[[Rate name]:[Rate name]],0),MATCH(Q$10,OP_TotalRates_SME_1[[#Headers],[Ausnet]:[United Energy]],0))*
INDEX(Input_Usage[[F-PreviousVDO_Input]:[F-NextVDO_Input]],MATCH($L13&amp;" - Annual",Input_Usage[[Ref]:[Ref]],0),MATCH($D$7,Inputs!$I$134:$O$134,0))),0)),0),
ROUNDUP(
(INDEX(OP_TotalRates_SME_1[[Ausnet]:[United Energy]],MATCH("TOU - supply",OP_TotalRates_SME_1[[Rate name]:[Rate name]],0),MATCH(Q$10,OP_TotalRates_SME_1[[#Headers],[Ausnet]:[United Energy]],0))*DiY)+
(INDEX(OP_TotalRates_SME_1[[Ausnet]:[United Energy]],MATCH("Peak",OP_TotalRates_SME_1[[Rate name]:[Rate name]],0),MATCH(Q$10,OP_TotalRates_SME_1[[#Headers],[Ausnet]:[United Energy]],0))*
INDEX(Input_Usage[[F-PreviousVDO_Input]:[F-NextVDO_Input]],MATCH($L13&amp;" - Peak",Input_Usage[[Ref]:[Ref]],0),MATCH($D$7,Inputs!$I$134:$O$134,0)))+
IFERROR((INDEX(OP_TotalRates_SME_1[[Ausnet]:[United Energy]],MATCH("TOU - Shoulder",OP_TotalRates_SME_1[[Rate name]:[Rate name]],0),MATCH(Q$10,OP_TotalRates_SME_1[[#Headers],[Ausnet]:[United Energy]],0))*
INDEX(Input_Usage[[F-PreviousVDO_Input]:[F-NextVDO_Input]],MATCH($L13&amp;" - Shoulder",Input_Usage[[Ref]:[Ref]],0),MATCH($D$7,Inputs!$I$134:$O$134,0))),0)+
(INDEX(OP_TotalRates_SME_1[[Ausnet]:[United Energy]],MATCH("Off peak",OP_TotalRates_SME_1[[Rate name]:[Rate name]],0),MATCH(Q$10,OP_TotalRates_SME_1[[#Headers],[Ausnet]:[United Energy]],0))*
INDEX(Input_Usage[[F-PreviousVDO_Input]:[F-NextVDO_Input]],MATCH($L13&amp;" - Off peak",Input_Usage[[Ref]:[Ref]],0),MATCH($D$7,Inputs!$I$134:$O$134,0))),0)),"-")</f>
        <v>9137</v>
      </c>
    </row>
    <row r="15" spans="1:18" ht="15.75" x14ac:dyDescent="0.25">
      <c r="E15" s="93">
        <f>IF($D$21="VDO 2021 - Final",
IF(E11=
ROUNDUP(
(INDEX(OP_TotalRates_RES_1[[Ausnet]:[United Energy]],MATCH("Anytime - supply",OP_TotalRates_RES_1[Rate name],0),MATCH(E$24,OP_TotalRates_RES_1[[#Headers],[Ausnet]:[United Energy]],0))*DiY)+
(IFERROR((INDEX(OP_TotalRates_RES_1[[Ausnet]:[United Energy]],MATCH("Block 1",OP_TotalRates_RES_1[Rate name],0),MATCH(E$24,OP_TotalRates_RES_1[[#Headers],[Ausnet]:[United Energy]],0))*
INDEX(Input_Usage[[F-PreviousVDO_Input]:[F-NextVDO_Input]],MATCH($D11&amp;" - Block 1",Input_Usage[Ref],0),MATCH($D$21,Inputs!$I$134:$O$134,0))),0)+
IFERROR((INDEX(OP_TotalRates_RES_1[[Ausnet]:[United Energy]],MATCH("Balance",OP_TotalRates_RES_1[Rate name],0),MATCH(E$24,OP_TotalRates_RES_1[[#Headers],[Ausnet]:[United Energy]],0))*
INDEX(Input_Usage[[F-PreviousVDO_Input]:[F-NextVDO_Input]],MATCH($D11&amp;" - Balance",Input_Usage[Ref],0),MATCH($D$21,Inputs!$I$134:$O$134,0))),0)+
IFERROR((INDEX(OP_TotalRates_RES_1[[Ausnet]:[United Energy]],MATCH("Single rate",OP_TotalRates_RES_1[Rate name],0),MATCH(E$24,OP_TotalRates_RES_1[[#Headers],[Ausnet]:[United Energy]],0))*
INDEX(Input_Usage[[F-PreviousVDO_Input]:[F-NextVDO_Input]],MATCH($D11&amp;" - Annual",Input_Usage[Ref],0),MATCH($D$21,Inputs!$I$134:$O$134,0))),0)),0),0,1),
IF(E11=
ROUNDUP(
(INDEX(OP_TotalRates_RES_1[[Ausnet]:[United Energy]],MATCH("TOU - supply",OP_TotalRates_RES_1[Rate name],0),MATCH(E$24,OP_TotalRates_RES_1[[#Headers],[Ausnet]:[United Energy]],0))*DiY)+
(INDEX(OP_TotalRates_RES_1[[Ausnet]:[United Energy]],MATCH("Peak",OP_TotalRates_RES_1[Rate name],0),MATCH(E$24,OP_TotalRates_RES_1[[#Headers],[Ausnet]:[United Energy]],0))*
INDEX(Input_Usage[[F-PreviousVDO_Input]:[F-NextVDO_Input]],MATCH($D11&amp;" - Peak",Input_Usage[Ref],0),MATCH($D$21,Inputs!$I$134:$O$134,0)))+
IFERROR((INDEX(OP_TotalRates_RES_1[[Ausnet]:[United Energy]],MATCH("TOU - Shoulder",OP_TotalRates_RES_1[Rate name],0),MATCH(E$24,OP_TotalRates_RES_1[[#Headers],[Ausnet]:[United Energy]],0))*
INDEX(Input_Usage[[F-PreviousVDO_Input]:[F-NextVDO_Input]],MATCH($D11&amp;" - Shoulder",Input_Usage[Ref],0),MATCH($D$21,Inputs!$I$134:$O$134,0))),0)+
(INDEX(OP_TotalRates_RES_1[[Ausnet]:[United Energy]],MATCH("Off peak",OP_TotalRates_RES_1[Rate name],0),MATCH(E$24,OP_TotalRates_RES_1[[#Headers],[Ausnet]:[United Energy]],0))*
INDEX(Input_Usage[[F-PreviousVDO_Input]:[F-NextVDO_Input]],MATCH($D11&amp;" - Off peak",Input_Usage[Ref],0),MATCH($D$21,Inputs!$I$134:$O$134,0))),0),0,1))</f>
        <v>0</v>
      </c>
      <c r="F15" s="93">
        <f>IF($D$21="VDO 2021 - Final",
IF(F11=
ROUNDUP(
(INDEX(OP_TotalRates_RES_1[[Ausnet]:[United Energy]],MATCH("Anytime - supply",OP_TotalRates_RES_1[Rate name],0),MATCH(F$24,OP_TotalRates_RES_1[[#Headers],[Ausnet]:[United Energy]],0))*DiY)+
(IFERROR((INDEX(OP_TotalRates_RES_1[[Ausnet]:[United Energy]],MATCH("Block 1",OP_TotalRates_RES_1[Rate name],0),MATCH(F$24,OP_TotalRates_RES_1[[#Headers],[Ausnet]:[United Energy]],0))*
INDEX(Input_Usage[[F-PreviousVDO_Input]:[F-NextVDO_Input]],MATCH($D11&amp;" - Block 1",Input_Usage[Ref],0),MATCH($D$21,Inputs!$I$134:$O$134,0))),0)+
IFERROR((INDEX(OP_TotalRates_RES_1[[Ausnet]:[United Energy]],MATCH("Balance",OP_TotalRates_RES_1[Rate name],0),MATCH(F$24,OP_TotalRates_RES_1[[#Headers],[Ausnet]:[United Energy]],0))*
INDEX(Input_Usage[[F-PreviousVDO_Input]:[F-NextVDO_Input]],MATCH($D11&amp;" - Balance",Input_Usage[Ref],0),MATCH($D$21,Inputs!$I$134:$O$134,0))),0)+
IFERROR((INDEX(OP_TotalRates_RES_1[[Ausnet]:[United Energy]],MATCH("Single rate",OP_TotalRates_RES_1[Rate name],0),MATCH(F$24,OP_TotalRates_RES_1[[#Headers],[Ausnet]:[United Energy]],0))*
INDEX(Input_Usage[[F-PreviousVDO_Input]:[F-NextVDO_Input]],MATCH($D11&amp;" - Annual",Input_Usage[Ref],0),MATCH($D$21,Inputs!$I$134:$O$134,0))),0)),0),0,1),
IF(F11=
ROUNDUP(
(INDEX(OP_TotalRates_RES_1[[Ausnet]:[United Energy]],MATCH("TOU - supply",OP_TotalRates_RES_1[Rate name],0),MATCH(F$24,OP_TotalRates_RES_1[[#Headers],[Ausnet]:[United Energy]],0))*DiY)+
(INDEX(OP_TotalRates_RES_1[[Ausnet]:[United Energy]],MATCH("Peak",OP_TotalRates_RES_1[Rate name],0),MATCH(F$24,OP_TotalRates_RES_1[[#Headers],[Ausnet]:[United Energy]],0))*
INDEX(Input_Usage[[F-PreviousVDO_Input]:[F-NextVDO_Input]],MATCH($D11&amp;" - Peak",Input_Usage[Ref],0),MATCH($D$21,Inputs!$I$134:$O$134,0)))+
IFERROR((INDEX(OP_TotalRates_RES_1[[Ausnet]:[United Energy]],MATCH("TOU - Shoulder",OP_TotalRates_RES_1[Rate name],0),MATCH(F$24,OP_TotalRates_RES_1[[#Headers],[Ausnet]:[United Energy]],0))*
INDEX(Input_Usage[[F-PreviousVDO_Input]:[F-NextVDO_Input]],MATCH($D11&amp;" - Shoulder",Input_Usage[Ref],0),MATCH($D$21,Inputs!$I$134:$O$134,0))),0)+
(INDEX(OP_TotalRates_RES_1[[Ausnet]:[United Energy]],MATCH("Off peak",OP_TotalRates_RES_1[Rate name],0),MATCH(F$24,OP_TotalRates_RES_1[[#Headers],[Ausnet]:[United Energy]],0))*
INDEX(Input_Usage[[F-PreviousVDO_Input]:[F-NextVDO_Input]],MATCH($D11&amp;" - Off peak",Input_Usage[Ref],0),MATCH($D$21,Inputs!$I$134:$O$134,0))),0),0,1))</f>
        <v>0</v>
      </c>
      <c r="G15" s="93">
        <f>IF($D$21="VDO 2021 - Final",
IF(G11=
ROUNDUP(
(INDEX(OP_TotalRates_RES_1[[Ausnet]:[United Energy]],MATCH("Anytime - supply",OP_TotalRates_RES_1[Rate name],0),MATCH(G$24,OP_TotalRates_RES_1[[#Headers],[Ausnet]:[United Energy]],0))*DiY)+
(IFERROR((INDEX(OP_TotalRates_RES_1[[Ausnet]:[United Energy]],MATCH("Block 1",OP_TotalRates_RES_1[Rate name],0),MATCH(G$24,OP_TotalRates_RES_1[[#Headers],[Ausnet]:[United Energy]],0))*
INDEX(Input_Usage[[F-PreviousVDO_Input]:[F-NextVDO_Input]],MATCH($D11&amp;" - Block 1",Input_Usage[Ref],0),MATCH($D$21,Inputs!$I$134:$O$134,0))),0)+
IFERROR((INDEX(OP_TotalRates_RES_1[[Ausnet]:[United Energy]],MATCH("Balance",OP_TotalRates_RES_1[Rate name],0),MATCH(G$24,OP_TotalRates_RES_1[[#Headers],[Ausnet]:[United Energy]],0))*
INDEX(Input_Usage[[F-PreviousVDO_Input]:[F-NextVDO_Input]],MATCH($D11&amp;" - Balance",Input_Usage[Ref],0),MATCH($D$21,Inputs!$I$134:$O$134,0))),0)+
IFERROR((INDEX(OP_TotalRates_RES_1[[Ausnet]:[United Energy]],MATCH("Single rate",OP_TotalRates_RES_1[Rate name],0),MATCH(G$24,OP_TotalRates_RES_1[[#Headers],[Ausnet]:[United Energy]],0))*
INDEX(Input_Usage[[F-PreviousVDO_Input]:[F-NextVDO_Input]],MATCH($D11&amp;" - Annual",Input_Usage[Ref],0),MATCH($D$21,Inputs!$I$134:$O$134,0))),0)),0),0,1),
IF(G11=
ROUNDUP(
(INDEX(OP_TotalRates_RES_1[[Ausnet]:[United Energy]],MATCH("TOU - supply",OP_TotalRates_RES_1[Rate name],0),MATCH(G$24,OP_TotalRates_RES_1[[#Headers],[Ausnet]:[United Energy]],0))*DiY)+
(INDEX(OP_TotalRates_RES_1[[Ausnet]:[United Energy]],MATCH("Peak",OP_TotalRates_RES_1[Rate name],0),MATCH(G$24,OP_TotalRates_RES_1[[#Headers],[Ausnet]:[United Energy]],0))*
INDEX(Input_Usage[[F-PreviousVDO_Input]:[F-NextVDO_Input]],MATCH($D11&amp;" - Peak",Input_Usage[Ref],0),MATCH($D$21,Inputs!$I$134:$O$134,0)))+
IFERROR((INDEX(OP_TotalRates_RES_1[[Ausnet]:[United Energy]],MATCH("TOU - Shoulder",OP_TotalRates_RES_1[Rate name],0),MATCH(G$24,OP_TotalRates_RES_1[[#Headers],[Ausnet]:[United Energy]],0))*
INDEX(Input_Usage[[F-PreviousVDO_Input]:[F-NextVDO_Input]],MATCH($D11&amp;" - Shoulder",Input_Usage[Ref],0),MATCH($D$21,Inputs!$I$134:$O$134,0))),0)+
(INDEX(OP_TotalRates_RES_1[[Ausnet]:[United Energy]],MATCH("Off peak",OP_TotalRates_RES_1[Rate name],0),MATCH(G$24,OP_TotalRates_RES_1[[#Headers],[Ausnet]:[United Energy]],0))*
INDEX(Input_Usage[[F-PreviousVDO_Input]:[F-NextVDO_Input]],MATCH($D11&amp;" - Off peak",Input_Usage[Ref],0),MATCH($D$21,Inputs!$I$134:$O$134,0))),0),0,1))</f>
        <v>0</v>
      </c>
      <c r="H15" s="93">
        <f>IF($D$21="VDO 2021 - Final",
IF(H11=
ROUNDUP(
(INDEX(OP_TotalRates_RES_1[[Ausnet]:[United Energy]],MATCH("Anytime - supply",OP_TotalRates_RES_1[Rate name],0),MATCH(H$24,OP_TotalRates_RES_1[[#Headers],[Ausnet]:[United Energy]],0))*DiY)+
(IFERROR((INDEX(OP_TotalRates_RES_1[[Ausnet]:[United Energy]],MATCH("Block 1",OP_TotalRates_RES_1[Rate name],0),MATCH(H$24,OP_TotalRates_RES_1[[#Headers],[Ausnet]:[United Energy]],0))*
INDEX(Input_Usage[[F-PreviousVDO_Input]:[F-NextVDO_Input]],MATCH($D11&amp;" - Block 1",Input_Usage[Ref],0),MATCH($D$21,Inputs!$I$134:$O$134,0))),0)+
IFERROR((INDEX(OP_TotalRates_RES_1[[Ausnet]:[United Energy]],MATCH("Balance",OP_TotalRates_RES_1[Rate name],0),MATCH(H$24,OP_TotalRates_RES_1[[#Headers],[Ausnet]:[United Energy]],0))*
INDEX(Input_Usage[[F-PreviousVDO_Input]:[F-NextVDO_Input]],MATCH($D11&amp;" - Balance",Input_Usage[Ref],0),MATCH($D$21,Inputs!$I$134:$O$134,0))),0)+
IFERROR((INDEX(OP_TotalRates_RES_1[[Ausnet]:[United Energy]],MATCH("Single rate",OP_TotalRates_RES_1[Rate name],0),MATCH(H$24,OP_TotalRates_RES_1[[#Headers],[Ausnet]:[United Energy]],0))*
INDEX(Input_Usage[[F-PreviousVDO_Input]:[F-NextVDO_Input]],MATCH($D11&amp;" - Annual",Input_Usage[Ref],0),MATCH($D$21,Inputs!$I$134:$O$134,0))),0)),0),0,1),
IF(H11=
ROUNDUP(
(INDEX(OP_TotalRates_RES_1[[Ausnet]:[United Energy]],MATCH("TOU - supply",OP_TotalRates_RES_1[Rate name],0),MATCH(H$24,OP_TotalRates_RES_1[[#Headers],[Ausnet]:[United Energy]],0))*DiY)+
(INDEX(OP_TotalRates_RES_1[[Ausnet]:[United Energy]],MATCH("Peak",OP_TotalRates_RES_1[Rate name],0),MATCH(H$24,OP_TotalRates_RES_1[[#Headers],[Ausnet]:[United Energy]],0))*
INDEX(Input_Usage[[F-PreviousVDO_Input]:[F-NextVDO_Input]],MATCH($D11&amp;" - Peak",Input_Usage[Ref],0),MATCH($D$21,Inputs!$I$134:$O$134,0)))+
IFERROR((INDEX(OP_TotalRates_RES_1[[Ausnet]:[United Energy]],MATCH("TOU - Shoulder",OP_TotalRates_RES_1[Rate name],0),MATCH(H$24,OP_TotalRates_RES_1[[#Headers],[Ausnet]:[United Energy]],0))*
INDEX(Input_Usage[[F-PreviousVDO_Input]:[F-NextVDO_Input]],MATCH($D11&amp;" - Shoulder",Input_Usage[Ref],0),MATCH($D$21,Inputs!$I$134:$O$134,0))),0)+
(INDEX(OP_TotalRates_RES_1[[Ausnet]:[United Energy]],MATCH("Off peak",OP_TotalRates_RES_1[Rate name],0),MATCH(H$24,OP_TotalRates_RES_1[[#Headers],[Ausnet]:[United Energy]],0))*
INDEX(Input_Usage[[F-PreviousVDO_Input]:[F-NextVDO_Input]],MATCH($D11&amp;" - Off peak",Input_Usage[Ref],0),MATCH($D$21,Inputs!$I$134:$O$134,0))),0),0,1))</f>
        <v>0</v>
      </c>
      <c r="I15" s="93">
        <f>IF($D$21="VDO 2021 - Final",
IF(I11=
ROUNDUP(
(INDEX(OP_TotalRates_RES_1[[Ausnet]:[United Energy]],MATCH("Anytime - supply",OP_TotalRates_RES_1[Rate name],0),MATCH(I$24,OP_TotalRates_RES_1[[#Headers],[Ausnet]:[United Energy]],0))*DiY)+
(IFERROR((INDEX(OP_TotalRates_RES_1[[Ausnet]:[United Energy]],MATCH("Block 1",OP_TotalRates_RES_1[Rate name],0),MATCH(I$24,OP_TotalRates_RES_1[[#Headers],[Ausnet]:[United Energy]],0))*
INDEX(Input_Usage[[F-PreviousVDO_Input]:[F-NextVDO_Input]],MATCH($D11&amp;" - Block 1",Input_Usage[Ref],0),MATCH($D$21,Inputs!$I$134:$O$134,0))),0)+
IFERROR((INDEX(OP_TotalRates_RES_1[[Ausnet]:[United Energy]],MATCH("Balance",OP_TotalRates_RES_1[Rate name],0),MATCH(I$24,OP_TotalRates_RES_1[[#Headers],[Ausnet]:[United Energy]],0))*
INDEX(Input_Usage[[F-PreviousVDO_Input]:[F-NextVDO_Input]],MATCH($D11&amp;" - Balance",Input_Usage[Ref],0),MATCH($D$21,Inputs!$I$134:$O$134,0))),0)+
IFERROR((INDEX(OP_TotalRates_RES_1[[Ausnet]:[United Energy]],MATCH("Single rate",OP_TotalRates_RES_1[Rate name],0),MATCH(I$24,OP_TotalRates_RES_1[[#Headers],[Ausnet]:[United Energy]],0))*
INDEX(Input_Usage[[F-PreviousVDO_Input]:[F-NextVDO_Input]],MATCH($D11&amp;" - Annual",Input_Usage[Ref],0),MATCH($D$21,Inputs!$I$134:$O$134,0))),0)),0),0,1),
IF(I11=
ROUNDUP(
(INDEX(OP_TotalRates_RES_1[[Ausnet]:[United Energy]],MATCH("TOU - supply",OP_TotalRates_RES_1[Rate name],0),MATCH(I$24,OP_TotalRates_RES_1[[#Headers],[Ausnet]:[United Energy]],0))*DiY)+
(INDEX(OP_TotalRates_RES_1[[Ausnet]:[United Energy]],MATCH("Peak",OP_TotalRates_RES_1[Rate name],0),MATCH(I$24,OP_TotalRates_RES_1[[#Headers],[Ausnet]:[United Energy]],0))*
INDEX(Input_Usage[[F-PreviousVDO_Input]:[F-NextVDO_Input]],MATCH($D11&amp;" - Peak",Input_Usage[Ref],0),MATCH($D$21,Inputs!$I$134:$O$134,0)))+
IFERROR((INDEX(OP_TotalRates_RES_1[[Ausnet]:[United Energy]],MATCH("TOU - Shoulder",OP_TotalRates_RES_1[Rate name],0),MATCH(I$24,OP_TotalRates_RES_1[[#Headers],[Ausnet]:[United Energy]],0))*
INDEX(Input_Usage[[F-PreviousVDO_Input]:[F-NextVDO_Input]],MATCH($D11&amp;" - Shoulder",Input_Usage[Ref],0),MATCH($D$21,Inputs!$I$134:$O$134,0))),0)+
(INDEX(OP_TotalRates_RES_1[[Ausnet]:[United Energy]],MATCH("Off peak",OP_TotalRates_RES_1[Rate name],0),MATCH(I$24,OP_TotalRates_RES_1[[#Headers],[Ausnet]:[United Energy]],0))*
INDEX(Input_Usage[[F-PreviousVDO_Input]:[F-NextVDO_Input]],MATCH($D11&amp;" - Off peak",Input_Usage[Ref],0),MATCH($D$21,Inputs!$I$134:$O$134,0))),0),0,1))</f>
        <v>0</v>
      </c>
      <c r="M15" s="93">
        <f>IF($D$21="VDO 2021 - Final",
IF(M11=
ROUNDUP(
(INDEX(OP_TotalRates_SME_1[[Ausnet]:[United Energy]],MATCH("Anytime - supply",OP_TotalRates_SME_1[Rate name],0),MATCH(M$24,OP_TotalRates_SME_1[[#Headers],[Ausnet]:[United Energy]],0))*DiY)+
(IFERROR((INDEX(OP_TotalRates_SME_1[[Ausnet]:[United Energy]],MATCH("Block 1",OP_TotalRates_SME_1[Rate name],0),MATCH(M$24,OP_TotalRates_SME_1[[#Headers],[Ausnet]:[United Energy]],0))*
INDEX(Input_Usage[[F-PreviousVDO_Input]:[F-NextVDO_Input]],MATCH($L11&amp;" - Block 1",Input_Usage[Ref],0),MATCH($D$21,Inputs!$I$134:$O$134,0))),0)+
IFERROR((INDEX(OP_TotalRates_SME_1[[Ausnet]:[United Energy]],MATCH("Balance",OP_TotalRates_SME_1[Rate name],0),MATCH(M$24,OP_TotalRates_SME_1[[#Headers],[Ausnet]:[United Energy]],0))*
INDEX(Input_Usage[[F-PreviousVDO_Input]:[F-NextVDO_Input]],MATCH($L11&amp;" - Balance",Input_Usage[Ref],0),MATCH($D$21,Inputs!$I$134:$O$134,0))),0)+
IFERROR((INDEX(OP_TotalRates_SME_1[[Ausnet]:[United Energy]],MATCH("Single rate",OP_TotalRates_SME_1[Rate name],0),MATCH(M$24,OP_TotalRates_SME_1[[#Headers],[Ausnet]:[United Energy]],0))*
INDEX(Input_Usage[[F-PreviousVDO_Input]:[F-NextVDO_Input]],MATCH($L11&amp;" - Annual",Input_Usage[Ref],0),MATCH($D$21,Inputs!$I$134:$O$134,0))),0)),0),0,1),
IF(M11=
ROUNDUP(
(INDEX(OP_TotalRates_SME_1[[Ausnet]:[United Energy]],MATCH("TOU - supply",OP_TotalRates_SME_1[Rate name],0),MATCH(M$24,OP_TotalRates_SME_1[[#Headers],[Ausnet]:[United Energy]],0))*DiY)+
(INDEX(OP_TotalRates_SME_1[[Ausnet]:[United Energy]],MATCH("Peak",OP_TotalRates_SME_1[Rate name],0),MATCH(M$24,OP_TotalRates_SME_1[[#Headers],[Ausnet]:[United Energy]],0))*
INDEX(Input_Usage[[F-PreviousVDO_Input]:[F-NextVDO_Input]],MATCH($L11&amp;" - Peak",Input_Usage[Ref],0),MATCH($D$21,Inputs!$I$134:$O$134,0)))+
IFERROR((INDEX(OP_TotalRates_SME_1[[Ausnet]:[United Energy]],MATCH("TOU - Shoulder",OP_TotalRates_SME_1[Rate name],0),MATCH(M$24,OP_TotalRates_SME_1[[#Headers],[Ausnet]:[United Energy]],0))*
INDEX(Input_Usage[[F-PreviousVDO_Input]:[F-NextVDO_Input]],MATCH($L11&amp;" - Shoulder",Input_Usage[Ref],0),MATCH($D$21,Inputs!$I$134:$O$134,0))),0)+
(INDEX(OP_TotalRates_SME_1[[Ausnet]:[United Energy]],MATCH("Off peak",OP_TotalRates_SME_1[Rate name],0),MATCH(M$24,OP_TotalRates_SME_1[[#Headers],[Ausnet]:[United Energy]],0))*
INDEX(Input_Usage[[F-PreviousVDO_Input]:[F-NextVDO_Input]],MATCH($L11&amp;" - Off peak",Input_Usage[Ref],0),MATCH($D$21,Inputs!$I$134:$O$134,0))),0),0,1))</f>
        <v>0</v>
      </c>
      <c r="N15" s="93">
        <f>IF($D$21="VDO 2021 - Final",
IF(N11=
ROUNDUP(
(INDEX(OP_TotalRates_SME_1[[Ausnet]:[United Energy]],MATCH("Anytime - supply",OP_TotalRates_SME_1[Rate name],0),MATCH(N$24,OP_TotalRates_SME_1[[#Headers],[Ausnet]:[United Energy]],0))*DiY)+
(IFERROR((INDEX(OP_TotalRates_SME_1[[Ausnet]:[United Energy]],MATCH("Block 1",OP_TotalRates_SME_1[Rate name],0),MATCH(N$24,OP_TotalRates_SME_1[[#Headers],[Ausnet]:[United Energy]],0))*
INDEX(Input_Usage[[F-PreviousVDO_Input]:[F-NextVDO_Input]],MATCH($L11&amp;" - Block 1",Input_Usage[Ref],0),MATCH($D$21,Inputs!$I$134:$O$134,0))),0)+
IFERROR((INDEX(OP_TotalRates_SME_1[[Ausnet]:[United Energy]],MATCH("Balance",OP_TotalRates_SME_1[Rate name],0),MATCH(N$24,OP_TotalRates_SME_1[[#Headers],[Ausnet]:[United Energy]],0))*
INDEX(Input_Usage[[F-PreviousVDO_Input]:[F-NextVDO_Input]],MATCH($L11&amp;" - Balance",Input_Usage[Ref],0),MATCH($D$21,Inputs!$I$134:$O$134,0))),0)+
IFERROR((INDEX(OP_TotalRates_SME_1[[Ausnet]:[United Energy]],MATCH("Single rate",OP_TotalRates_SME_1[Rate name],0),MATCH(N$24,OP_TotalRates_SME_1[[#Headers],[Ausnet]:[United Energy]],0))*
INDEX(Input_Usage[[F-PreviousVDO_Input]:[F-NextVDO_Input]],MATCH($L11&amp;" - Annual",Input_Usage[Ref],0),MATCH($D$21,Inputs!$I$134:$O$134,0))),0)),0),0,1),
IF(N11=
ROUNDUP(
(INDEX(OP_TotalRates_SME_1[[Ausnet]:[United Energy]],MATCH("TOU - supply",OP_TotalRates_SME_1[Rate name],0),MATCH(N$24,OP_TotalRates_SME_1[[#Headers],[Ausnet]:[United Energy]],0))*DiY)+
(INDEX(OP_TotalRates_SME_1[[Ausnet]:[United Energy]],MATCH("Peak",OP_TotalRates_SME_1[Rate name],0),MATCH(N$24,OP_TotalRates_SME_1[[#Headers],[Ausnet]:[United Energy]],0))*
INDEX(Input_Usage[[F-PreviousVDO_Input]:[F-NextVDO_Input]],MATCH($L11&amp;" - Peak",Input_Usage[Ref],0),MATCH($D$21,Inputs!$I$134:$O$134,0)))+
IFERROR((INDEX(OP_TotalRates_SME_1[[Ausnet]:[United Energy]],MATCH("TOU - Shoulder",OP_TotalRates_SME_1[Rate name],0),MATCH(N$24,OP_TotalRates_SME_1[[#Headers],[Ausnet]:[United Energy]],0))*
INDEX(Input_Usage[[F-PreviousVDO_Input]:[F-NextVDO_Input]],MATCH($L11&amp;" - Shoulder",Input_Usage[Ref],0),MATCH($D$21,Inputs!$I$134:$O$134,0))),0)+
(INDEX(OP_TotalRates_SME_1[[Ausnet]:[United Energy]],MATCH("Off peak",OP_TotalRates_SME_1[Rate name],0),MATCH(N$24,OP_TotalRates_SME_1[[#Headers],[Ausnet]:[United Energy]],0))*
INDEX(Input_Usage[[F-PreviousVDO_Input]:[F-NextVDO_Input]],MATCH($L11&amp;" - Off peak",Input_Usage[Ref],0),MATCH($D$21,Inputs!$I$134:$O$134,0))),0),0,1))</f>
        <v>0</v>
      </c>
      <c r="O15" s="93">
        <f>IF($D$21="VDO 2021 - Final",
IF(O11=
ROUNDUP(
(INDEX(OP_TotalRates_SME_1[[Ausnet]:[United Energy]],MATCH("Anytime - supply",OP_TotalRates_SME_1[Rate name],0),MATCH(O$24,OP_TotalRates_SME_1[[#Headers],[Ausnet]:[United Energy]],0))*DiY)+
(IFERROR((INDEX(OP_TotalRates_SME_1[[Ausnet]:[United Energy]],MATCH("Block 1",OP_TotalRates_SME_1[Rate name],0),MATCH(O$24,OP_TotalRates_SME_1[[#Headers],[Ausnet]:[United Energy]],0))*
INDEX(Input_Usage[[F-PreviousVDO_Input]:[F-NextVDO_Input]],MATCH($L11&amp;" - Block 1",Input_Usage[Ref],0),MATCH($D$21,Inputs!$I$134:$O$134,0))),0)+
IFERROR((INDEX(OP_TotalRates_SME_1[[Ausnet]:[United Energy]],MATCH("Balance",OP_TotalRates_SME_1[Rate name],0),MATCH(O$24,OP_TotalRates_SME_1[[#Headers],[Ausnet]:[United Energy]],0))*
INDEX(Input_Usage[[F-PreviousVDO_Input]:[F-NextVDO_Input]],MATCH($L11&amp;" - Balance",Input_Usage[Ref],0),MATCH($D$21,Inputs!$I$134:$O$134,0))),0)+
IFERROR((INDEX(OP_TotalRates_SME_1[[Ausnet]:[United Energy]],MATCH("Single rate",OP_TotalRates_SME_1[Rate name],0),MATCH(O$24,OP_TotalRates_SME_1[[#Headers],[Ausnet]:[United Energy]],0))*
INDEX(Input_Usage[[F-PreviousVDO_Input]:[F-NextVDO_Input]],MATCH($L11&amp;" - Annual",Input_Usage[Ref],0),MATCH($D$21,Inputs!$I$134:$O$134,0))),0)),0),0,1),
IF(O11=
ROUNDUP(
(INDEX(OP_TotalRates_SME_1[[Ausnet]:[United Energy]],MATCH("TOU - supply",OP_TotalRates_SME_1[Rate name],0),MATCH(O$24,OP_TotalRates_SME_1[[#Headers],[Ausnet]:[United Energy]],0))*DiY)+
(INDEX(OP_TotalRates_SME_1[[Ausnet]:[United Energy]],MATCH("Peak",OP_TotalRates_SME_1[Rate name],0),MATCH(O$24,OP_TotalRates_SME_1[[#Headers],[Ausnet]:[United Energy]],0))*
INDEX(Input_Usage[[F-PreviousVDO_Input]:[F-NextVDO_Input]],MATCH($L11&amp;" - Peak",Input_Usage[Ref],0),MATCH($D$21,Inputs!$I$134:$O$134,0)))+
IFERROR((INDEX(OP_TotalRates_SME_1[[Ausnet]:[United Energy]],MATCH("TOU - Shoulder",OP_TotalRates_SME_1[Rate name],0),MATCH(O$24,OP_TotalRates_SME_1[[#Headers],[Ausnet]:[United Energy]],0))*
INDEX(Input_Usage[[F-PreviousVDO_Input]:[F-NextVDO_Input]],MATCH($L11&amp;" - Shoulder",Input_Usage[Ref],0),MATCH($D$21,Inputs!$I$134:$O$134,0))),0)+
(INDEX(OP_TotalRates_SME_1[[Ausnet]:[United Energy]],MATCH("Off peak",OP_TotalRates_SME_1[Rate name],0),MATCH(O$24,OP_TotalRates_SME_1[[#Headers],[Ausnet]:[United Energy]],0))*
INDEX(Input_Usage[[F-PreviousVDO_Input]:[F-NextVDO_Input]],MATCH($L11&amp;" - Off peak",Input_Usage[Ref],0),MATCH($D$21,Inputs!$I$134:$O$134,0))),0),0,1))</f>
        <v>0</v>
      </c>
      <c r="P15" s="93">
        <f>IF($D$21="VDO 2021 - Final",
IF(P11=
ROUNDUP(
(INDEX(OP_TotalRates_SME_1[[Ausnet]:[United Energy]],MATCH("Anytime - supply",OP_TotalRates_SME_1[Rate name],0),MATCH(P$24,OP_TotalRates_SME_1[[#Headers],[Ausnet]:[United Energy]],0))*DiY)+
(IFERROR((INDEX(OP_TotalRates_SME_1[[Ausnet]:[United Energy]],MATCH("Block 1",OP_TotalRates_SME_1[Rate name],0),MATCH(P$24,OP_TotalRates_SME_1[[#Headers],[Ausnet]:[United Energy]],0))*
INDEX(Input_Usage[[F-PreviousVDO_Input]:[F-NextVDO_Input]],MATCH($L11&amp;" - Block 1",Input_Usage[Ref],0),MATCH($D$21,Inputs!$I$134:$O$134,0))),0)+
IFERROR((INDEX(OP_TotalRates_SME_1[[Ausnet]:[United Energy]],MATCH("Balance",OP_TotalRates_SME_1[Rate name],0),MATCH(P$24,OP_TotalRates_SME_1[[#Headers],[Ausnet]:[United Energy]],0))*
INDEX(Input_Usage[[F-PreviousVDO_Input]:[F-NextVDO_Input]],MATCH($L11&amp;" - Balance",Input_Usage[Ref],0),MATCH($D$21,Inputs!$I$134:$O$134,0))),0)+
IFERROR((INDEX(OP_TotalRates_SME_1[[Ausnet]:[United Energy]],MATCH("Single rate",OP_TotalRates_SME_1[Rate name],0),MATCH(P$24,OP_TotalRates_SME_1[[#Headers],[Ausnet]:[United Energy]],0))*
INDEX(Input_Usage[[F-PreviousVDO_Input]:[F-NextVDO_Input]],MATCH($L11&amp;" - Annual",Input_Usage[Ref],0),MATCH($D$21,Inputs!$I$134:$O$134,0))),0)),0),0,1),
IF(P11=
ROUNDUP(
(INDEX(OP_TotalRates_SME_1[[Ausnet]:[United Energy]],MATCH("TOU - supply",OP_TotalRates_SME_1[Rate name],0),MATCH(P$24,OP_TotalRates_SME_1[[#Headers],[Ausnet]:[United Energy]],0))*DiY)+
(INDEX(OP_TotalRates_SME_1[[Ausnet]:[United Energy]],MATCH("Peak",OP_TotalRates_SME_1[Rate name],0),MATCH(P$24,OP_TotalRates_SME_1[[#Headers],[Ausnet]:[United Energy]],0))*
INDEX(Input_Usage[[F-PreviousVDO_Input]:[F-NextVDO_Input]],MATCH($L11&amp;" - Peak",Input_Usage[Ref],0),MATCH($D$21,Inputs!$I$134:$O$134,0)))+
IFERROR((INDEX(OP_TotalRates_SME_1[[Ausnet]:[United Energy]],MATCH("TOU - Shoulder",OP_TotalRates_SME_1[Rate name],0),MATCH(P$24,OP_TotalRates_SME_1[[#Headers],[Ausnet]:[United Energy]],0))*
INDEX(Input_Usage[[F-PreviousVDO_Input]:[F-NextVDO_Input]],MATCH($L11&amp;" - Shoulder",Input_Usage[Ref],0),MATCH($D$21,Inputs!$I$134:$O$134,0))),0)+
(INDEX(OP_TotalRates_SME_1[[Ausnet]:[United Energy]],MATCH("Off peak",OP_TotalRates_SME_1[Rate name],0),MATCH(P$24,OP_TotalRates_SME_1[[#Headers],[Ausnet]:[United Energy]],0))*
INDEX(Input_Usage[[F-PreviousVDO_Input]:[F-NextVDO_Input]],MATCH($L11&amp;" - Off peak",Input_Usage[Ref],0),MATCH($D$21,Inputs!$I$134:$O$134,0))),0),0,1))</f>
        <v>0</v>
      </c>
      <c r="Q15" s="93">
        <f>IF($D$21="VDO 2021 - Final",
IF(Q11=
ROUNDUP(
(INDEX(OP_TotalRates_SME_1[[Ausnet]:[United Energy]],MATCH("Anytime - supply",OP_TotalRates_SME_1[Rate name],0),MATCH(Q$24,OP_TotalRates_SME_1[[#Headers],[Ausnet]:[United Energy]],0))*DiY)+
(IFERROR((INDEX(OP_TotalRates_SME_1[[Ausnet]:[United Energy]],MATCH("Block 1",OP_TotalRates_SME_1[Rate name],0),MATCH(Q$24,OP_TotalRates_SME_1[[#Headers],[Ausnet]:[United Energy]],0))*
INDEX(Input_Usage[[F-PreviousVDO_Input]:[F-NextVDO_Input]],MATCH($L11&amp;" - Block 1",Input_Usage[Ref],0),MATCH($D$21,Inputs!$I$134:$O$134,0))),0)+
IFERROR((INDEX(OP_TotalRates_SME_1[[Ausnet]:[United Energy]],MATCH("Balance",OP_TotalRates_SME_1[Rate name],0),MATCH(Q$24,OP_TotalRates_SME_1[[#Headers],[Ausnet]:[United Energy]],0))*
INDEX(Input_Usage[[F-PreviousVDO_Input]:[F-NextVDO_Input]],MATCH($L11&amp;" - Balance",Input_Usage[Ref],0),MATCH($D$21,Inputs!$I$134:$O$134,0))),0)+
IFERROR((INDEX(OP_TotalRates_SME_1[[Ausnet]:[United Energy]],MATCH("Single rate",OP_TotalRates_SME_1[Rate name],0),MATCH(Q$24,OP_TotalRates_SME_1[[#Headers],[Ausnet]:[United Energy]],0))*
INDEX(Input_Usage[[F-PreviousVDO_Input]:[F-NextVDO_Input]],MATCH($L11&amp;" - Annual",Input_Usage[Ref],0),MATCH($D$21,Inputs!$I$134:$O$134,0))),0)),0),0,1),
IF(Q11=
ROUNDUP(
(INDEX(OP_TotalRates_SME_1[[Ausnet]:[United Energy]],MATCH("TOU - supply",OP_TotalRates_SME_1[Rate name],0),MATCH(Q$24,OP_TotalRates_SME_1[[#Headers],[Ausnet]:[United Energy]],0))*DiY)+
(INDEX(OP_TotalRates_SME_1[[Ausnet]:[United Energy]],MATCH("Peak",OP_TotalRates_SME_1[Rate name],0),MATCH(Q$24,OP_TotalRates_SME_1[[#Headers],[Ausnet]:[United Energy]],0))*
INDEX(Input_Usage[[F-PreviousVDO_Input]:[F-NextVDO_Input]],MATCH($L11&amp;" - Peak",Input_Usage[Ref],0),MATCH($D$21,Inputs!$I$134:$O$134,0)))+
IFERROR((INDEX(OP_TotalRates_SME_1[[Ausnet]:[United Energy]],MATCH("TOU - Shoulder",OP_TotalRates_SME_1[Rate name],0),MATCH(Q$24,OP_TotalRates_SME_1[[#Headers],[Ausnet]:[United Energy]],0))*
INDEX(Input_Usage[[F-PreviousVDO_Input]:[F-NextVDO_Input]],MATCH($L11&amp;" - Shoulder",Input_Usage[Ref],0),MATCH($D$21,Inputs!$I$134:$O$134,0))),0)+
(INDEX(OP_TotalRates_SME_1[[Ausnet]:[United Energy]],MATCH("Off peak",OP_TotalRates_SME_1[Rate name],0),MATCH(Q$24,OP_TotalRates_SME_1[[#Headers],[Ausnet]:[United Energy]],0))*
INDEX(Input_Usage[[F-PreviousVDO_Input]:[F-NextVDO_Input]],MATCH($L11&amp;" - Off peak",Input_Usage[Ref],0),MATCH($D$21,Inputs!$I$134:$O$134,0))),0),0,1))</f>
        <v>0</v>
      </c>
    </row>
    <row r="16" spans="1:18" ht="15.75" x14ac:dyDescent="0.25">
      <c r="E16" s="93">
        <f>IF($D$21="VDO 2021 - Final",
IF(E12=
ROUNDUP(
(INDEX(OP_TotalRates_RES_1[[Ausnet]:[United Energy]],MATCH("Anytime - supply",OP_TotalRates_RES_1[Rate name],0),MATCH(E$24,OP_TotalRates_RES_1[[#Headers],[Ausnet]:[United Energy]],0))*DiY)+
(IFERROR((INDEX(OP_TotalRates_RES_1[[Ausnet]:[United Energy]],MATCH("Block 1",OP_TotalRates_RES_1[Rate name],0),MATCH(E$24,OP_TotalRates_RES_1[[#Headers],[Ausnet]:[United Energy]],0))*
INDEX(Input_Usage[[F-PreviousVDO_Input]:[F-NextVDO_Input]],MATCH($D12&amp;" - Block 1",Input_Usage[Ref],0),MATCH($D$21,Inputs!$I$134:$O$134,0))),0)+
IFERROR((INDEX(OP_TotalRates_RES_1[[Ausnet]:[United Energy]],MATCH("Balance",OP_TotalRates_RES_1[Rate name],0),MATCH(E$24,OP_TotalRates_RES_1[[#Headers],[Ausnet]:[United Energy]],0))*
INDEX(Input_Usage[[F-PreviousVDO_Input]:[F-NextVDO_Input]],MATCH($D12&amp;" - Balance",Input_Usage[Ref],0),MATCH($D$21,Inputs!$I$134:$O$134,0))),0)+
IFERROR((INDEX(OP_TotalRates_RES_1[[Ausnet]:[United Energy]],MATCH("Single rate",OP_TotalRates_RES_1[Rate name],0),MATCH(E$24,OP_TotalRates_RES_1[[#Headers],[Ausnet]:[United Energy]],0))*
INDEX(Input_Usage[[F-PreviousVDO_Input]:[F-NextVDO_Input]],MATCH($D12&amp;" - Annual",Input_Usage[Ref],0),MATCH($D$21,Inputs!$I$134:$O$134,0))),0)),0),0,1),
IF(E12=
ROUNDUP(
(INDEX(OP_TotalRates_RES_1[[Ausnet]:[United Energy]],MATCH("TOU - supply",OP_TotalRates_RES_1[Rate name],0),MATCH(E$24,OP_TotalRates_RES_1[[#Headers],[Ausnet]:[United Energy]],0))*DiY)+
(INDEX(OP_TotalRates_RES_1[[Ausnet]:[United Energy]],MATCH("Peak",OP_TotalRates_RES_1[Rate name],0),MATCH(E$24,OP_TotalRates_RES_1[[#Headers],[Ausnet]:[United Energy]],0))*
INDEX(Input_Usage[[F-PreviousVDO_Input]:[F-NextVDO_Input]],MATCH($D12&amp;" - Peak",Input_Usage[Ref],0),MATCH($D$21,Inputs!$I$134:$O$134,0)))+
IFERROR((INDEX(OP_TotalRates_RES_1[[Ausnet]:[United Energy]],MATCH("TOU - Shoulder",OP_TotalRates_RES_1[Rate name],0),MATCH(E$24,OP_TotalRates_RES_1[[#Headers],[Ausnet]:[United Energy]],0))*
INDEX(Input_Usage[[F-PreviousVDO_Input]:[F-NextVDO_Input]],MATCH($D12&amp;" - Shoulder",Input_Usage[Ref],0),MATCH($D$21,Inputs!$I$134:$O$134,0))),0)+
(INDEX(OP_TotalRates_RES_1[[Ausnet]:[United Energy]],MATCH("Off peak",OP_TotalRates_RES_1[Rate name],0),MATCH(E$24,OP_TotalRates_RES_1[[#Headers],[Ausnet]:[United Energy]],0))*
INDEX(Input_Usage[[F-PreviousVDO_Input]:[F-NextVDO_Input]],MATCH($D12&amp;" - Off peak",Input_Usage[Ref],0),MATCH($D$21,Inputs!$I$134:$O$134,0))),0),0,1))</f>
        <v>0</v>
      </c>
      <c r="F16" s="93">
        <f>IF($D$21="VDO 2021 - Final",
IF(F12=
ROUNDUP(
(INDEX(OP_TotalRates_RES_1[[Ausnet]:[United Energy]],MATCH("Anytime - supply",OP_TotalRates_RES_1[Rate name],0),MATCH(F$24,OP_TotalRates_RES_1[[#Headers],[Ausnet]:[United Energy]],0))*DiY)+
(IFERROR((INDEX(OP_TotalRates_RES_1[[Ausnet]:[United Energy]],MATCH("Block 1",OP_TotalRates_RES_1[Rate name],0),MATCH(F$24,OP_TotalRates_RES_1[[#Headers],[Ausnet]:[United Energy]],0))*
INDEX(Input_Usage[[F-PreviousVDO_Input]:[F-NextVDO_Input]],MATCH($D12&amp;" - Block 1",Input_Usage[Ref],0),MATCH($D$21,Inputs!$I$134:$O$134,0))),0)+
IFERROR((INDEX(OP_TotalRates_RES_1[[Ausnet]:[United Energy]],MATCH("Balance",OP_TotalRates_RES_1[Rate name],0),MATCH(F$24,OP_TotalRates_RES_1[[#Headers],[Ausnet]:[United Energy]],0))*
INDEX(Input_Usage[[F-PreviousVDO_Input]:[F-NextVDO_Input]],MATCH($D12&amp;" - Balance",Input_Usage[Ref],0),MATCH($D$21,Inputs!$I$134:$O$134,0))),0)+
IFERROR((INDEX(OP_TotalRates_RES_1[[Ausnet]:[United Energy]],MATCH("Single rate",OP_TotalRates_RES_1[Rate name],0),MATCH(F$24,OP_TotalRates_RES_1[[#Headers],[Ausnet]:[United Energy]],0))*
INDEX(Input_Usage[[F-PreviousVDO_Input]:[F-NextVDO_Input]],MATCH($D12&amp;" - Annual",Input_Usage[Ref],0),MATCH($D$21,Inputs!$I$134:$O$134,0))),0)),0),0,1),
IF(F12=
ROUNDUP(
(INDEX(OP_TotalRates_RES_1[[Ausnet]:[United Energy]],MATCH("TOU - supply",OP_TotalRates_RES_1[Rate name],0),MATCH(F$24,OP_TotalRates_RES_1[[#Headers],[Ausnet]:[United Energy]],0))*DiY)+
(INDEX(OP_TotalRates_RES_1[[Ausnet]:[United Energy]],MATCH("Peak",OP_TotalRates_RES_1[Rate name],0),MATCH(F$24,OP_TotalRates_RES_1[[#Headers],[Ausnet]:[United Energy]],0))*
INDEX(Input_Usage[[F-PreviousVDO_Input]:[F-NextVDO_Input]],MATCH($D12&amp;" - Peak",Input_Usage[Ref],0),MATCH($D$21,Inputs!$I$134:$O$134,0)))+
IFERROR((INDEX(OP_TotalRates_RES_1[[Ausnet]:[United Energy]],MATCH("TOU - Shoulder",OP_TotalRates_RES_1[Rate name],0),MATCH(F$24,OP_TotalRates_RES_1[[#Headers],[Ausnet]:[United Energy]],0))*
INDEX(Input_Usage[[F-PreviousVDO_Input]:[F-NextVDO_Input]],MATCH($D12&amp;" - Shoulder",Input_Usage[Ref],0),MATCH($D$21,Inputs!$I$134:$O$134,0))),0)+
(INDEX(OP_TotalRates_RES_1[[Ausnet]:[United Energy]],MATCH("Off peak",OP_TotalRates_RES_1[Rate name],0),MATCH(F$24,OP_TotalRates_RES_1[[#Headers],[Ausnet]:[United Energy]],0))*
INDEX(Input_Usage[[F-PreviousVDO_Input]:[F-NextVDO_Input]],MATCH($D12&amp;" - Off peak",Input_Usage[Ref],0),MATCH($D$21,Inputs!$I$134:$O$134,0))),0),0,1))</f>
        <v>0</v>
      </c>
      <c r="G16" s="93">
        <f>IF($D$21="VDO 2021 - Final",
IF(G12=
ROUNDUP(
(INDEX(OP_TotalRates_RES_1[[Ausnet]:[United Energy]],MATCH("Anytime - supply",OP_TotalRates_RES_1[Rate name],0),MATCH(G$24,OP_TotalRates_RES_1[[#Headers],[Ausnet]:[United Energy]],0))*DiY)+
(IFERROR((INDEX(OP_TotalRates_RES_1[[Ausnet]:[United Energy]],MATCH("Block 1",OP_TotalRates_RES_1[Rate name],0),MATCH(G$24,OP_TotalRates_RES_1[[#Headers],[Ausnet]:[United Energy]],0))*
INDEX(Input_Usage[[F-PreviousVDO_Input]:[F-NextVDO_Input]],MATCH($D12&amp;" - Block 1",Input_Usage[Ref],0),MATCH($D$21,Inputs!$I$134:$O$134,0))),0)+
IFERROR((INDEX(OP_TotalRates_RES_1[[Ausnet]:[United Energy]],MATCH("Balance",OP_TotalRates_RES_1[Rate name],0),MATCH(G$24,OP_TotalRates_RES_1[[#Headers],[Ausnet]:[United Energy]],0))*
INDEX(Input_Usage[[F-PreviousVDO_Input]:[F-NextVDO_Input]],MATCH($D12&amp;" - Balance",Input_Usage[Ref],0),MATCH($D$21,Inputs!$I$134:$O$134,0))),0)+
IFERROR((INDEX(OP_TotalRates_RES_1[[Ausnet]:[United Energy]],MATCH("Single rate",OP_TotalRates_RES_1[Rate name],0),MATCH(G$24,OP_TotalRates_RES_1[[#Headers],[Ausnet]:[United Energy]],0))*
INDEX(Input_Usage[[F-PreviousVDO_Input]:[F-NextVDO_Input]],MATCH($D12&amp;" - Annual",Input_Usage[Ref],0),MATCH($D$21,Inputs!$I$134:$O$134,0))),0)),0),0,1),
IF(G12=
ROUNDUP(
(INDEX(OP_TotalRates_RES_1[[Ausnet]:[United Energy]],MATCH("TOU - supply",OP_TotalRates_RES_1[Rate name],0),MATCH(G$24,OP_TotalRates_RES_1[[#Headers],[Ausnet]:[United Energy]],0))*DiY)+
(INDEX(OP_TotalRates_RES_1[[Ausnet]:[United Energy]],MATCH("Peak",OP_TotalRates_RES_1[Rate name],0),MATCH(G$24,OP_TotalRates_RES_1[[#Headers],[Ausnet]:[United Energy]],0))*
INDEX(Input_Usage[[F-PreviousVDO_Input]:[F-NextVDO_Input]],MATCH($D12&amp;" - Peak",Input_Usage[Ref],0),MATCH($D$21,Inputs!$I$134:$O$134,0)))+
IFERROR((INDEX(OP_TotalRates_RES_1[[Ausnet]:[United Energy]],MATCH("TOU - Shoulder",OP_TotalRates_RES_1[Rate name],0),MATCH(G$24,OP_TotalRates_RES_1[[#Headers],[Ausnet]:[United Energy]],0))*
INDEX(Input_Usage[[F-PreviousVDO_Input]:[F-NextVDO_Input]],MATCH($D12&amp;" - Shoulder",Input_Usage[Ref],0),MATCH($D$21,Inputs!$I$134:$O$134,0))),0)+
(INDEX(OP_TotalRates_RES_1[[Ausnet]:[United Energy]],MATCH("Off peak",OP_TotalRates_RES_1[Rate name],0),MATCH(G$24,OP_TotalRates_RES_1[[#Headers],[Ausnet]:[United Energy]],0))*
INDEX(Input_Usage[[F-PreviousVDO_Input]:[F-NextVDO_Input]],MATCH($D12&amp;" - Off peak",Input_Usage[Ref],0),MATCH($D$21,Inputs!$I$134:$O$134,0))),0),0,1))</f>
        <v>0</v>
      </c>
      <c r="H16" s="93">
        <f>IF($D$21="VDO 2021 - Final",
IF(H12=
ROUNDUP(
(INDEX(OP_TotalRates_RES_1[[Ausnet]:[United Energy]],MATCH("Anytime - supply",OP_TotalRates_RES_1[Rate name],0),MATCH(H$24,OP_TotalRates_RES_1[[#Headers],[Ausnet]:[United Energy]],0))*DiY)+
(IFERROR((INDEX(OP_TotalRates_RES_1[[Ausnet]:[United Energy]],MATCH("Block 1",OP_TotalRates_RES_1[Rate name],0),MATCH(H$24,OP_TotalRates_RES_1[[#Headers],[Ausnet]:[United Energy]],0))*
INDEX(Input_Usage[[F-PreviousVDO_Input]:[F-NextVDO_Input]],MATCH($D12&amp;" - Block 1",Input_Usage[Ref],0),MATCH($D$21,Inputs!$I$134:$O$134,0))),0)+
IFERROR((INDEX(OP_TotalRates_RES_1[[Ausnet]:[United Energy]],MATCH("Balance",OP_TotalRates_RES_1[Rate name],0),MATCH(H$24,OP_TotalRates_RES_1[[#Headers],[Ausnet]:[United Energy]],0))*
INDEX(Input_Usage[[F-PreviousVDO_Input]:[F-NextVDO_Input]],MATCH($D12&amp;" - Balance",Input_Usage[Ref],0),MATCH($D$21,Inputs!$I$134:$O$134,0))),0)+
IFERROR((INDEX(OP_TotalRates_RES_1[[Ausnet]:[United Energy]],MATCH("Single rate",OP_TotalRates_RES_1[Rate name],0),MATCH(H$24,OP_TotalRates_RES_1[[#Headers],[Ausnet]:[United Energy]],0))*
INDEX(Input_Usage[[F-PreviousVDO_Input]:[F-NextVDO_Input]],MATCH($D12&amp;" - Annual",Input_Usage[Ref],0),MATCH($D$21,Inputs!$I$134:$O$134,0))),0)),0),0,1),
IF(H12=
ROUNDUP(
(INDEX(OP_TotalRates_RES_1[[Ausnet]:[United Energy]],MATCH("TOU - supply",OP_TotalRates_RES_1[Rate name],0),MATCH(H$24,OP_TotalRates_RES_1[[#Headers],[Ausnet]:[United Energy]],0))*DiY)+
(INDEX(OP_TotalRates_RES_1[[Ausnet]:[United Energy]],MATCH("Peak",OP_TotalRates_RES_1[Rate name],0),MATCH(H$24,OP_TotalRates_RES_1[[#Headers],[Ausnet]:[United Energy]],0))*
INDEX(Input_Usage[[F-PreviousVDO_Input]:[F-NextVDO_Input]],MATCH($D12&amp;" - Peak",Input_Usage[Ref],0),MATCH($D$21,Inputs!$I$134:$O$134,0)))+
IFERROR((INDEX(OP_TotalRates_RES_1[[Ausnet]:[United Energy]],MATCH("TOU - Shoulder",OP_TotalRates_RES_1[Rate name],0),MATCH(H$24,OP_TotalRates_RES_1[[#Headers],[Ausnet]:[United Energy]],0))*
INDEX(Input_Usage[[F-PreviousVDO_Input]:[F-NextVDO_Input]],MATCH($D12&amp;" - Shoulder",Input_Usage[Ref],0),MATCH($D$21,Inputs!$I$134:$O$134,0))),0)+
(INDEX(OP_TotalRates_RES_1[[Ausnet]:[United Energy]],MATCH("Off peak",OP_TotalRates_RES_1[Rate name],0),MATCH(H$24,OP_TotalRates_RES_1[[#Headers],[Ausnet]:[United Energy]],0))*
INDEX(Input_Usage[[F-PreviousVDO_Input]:[F-NextVDO_Input]],MATCH($D12&amp;" - Off peak",Input_Usage[Ref],0),MATCH($D$21,Inputs!$I$134:$O$134,0))),0),0,1))</f>
        <v>0</v>
      </c>
      <c r="I16" s="93">
        <f>IF($D$21="VDO 2021 - Final",
IF(I12=
ROUNDUP(
(INDEX(OP_TotalRates_RES_1[[Ausnet]:[United Energy]],MATCH("Anytime - supply",OP_TotalRates_RES_1[Rate name],0),MATCH(I$24,OP_TotalRates_RES_1[[#Headers],[Ausnet]:[United Energy]],0))*DiY)+
(IFERROR((INDEX(OP_TotalRates_RES_1[[Ausnet]:[United Energy]],MATCH("Block 1",OP_TotalRates_RES_1[Rate name],0),MATCH(I$24,OP_TotalRates_RES_1[[#Headers],[Ausnet]:[United Energy]],0))*
INDEX(Input_Usage[[F-PreviousVDO_Input]:[F-NextVDO_Input]],MATCH($D12&amp;" - Block 1",Input_Usage[Ref],0),MATCH($D$21,Inputs!$I$134:$O$134,0))),0)+
IFERROR((INDEX(OP_TotalRates_RES_1[[Ausnet]:[United Energy]],MATCH("Balance",OP_TotalRates_RES_1[Rate name],0),MATCH(I$24,OP_TotalRates_RES_1[[#Headers],[Ausnet]:[United Energy]],0))*
INDEX(Input_Usage[[F-PreviousVDO_Input]:[F-NextVDO_Input]],MATCH($D12&amp;" - Balance",Input_Usage[Ref],0),MATCH($D$21,Inputs!$I$134:$O$134,0))),0)+
IFERROR((INDEX(OP_TotalRates_RES_1[[Ausnet]:[United Energy]],MATCH("Single rate",OP_TotalRates_RES_1[Rate name],0),MATCH(I$24,OP_TotalRates_RES_1[[#Headers],[Ausnet]:[United Energy]],0))*
INDEX(Input_Usage[[F-PreviousVDO_Input]:[F-NextVDO_Input]],MATCH($D12&amp;" - Annual",Input_Usage[Ref],0),MATCH($D$21,Inputs!$I$134:$O$134,0))),0)),0),0,1),
IF(I12=
ROUNDUP(
(INDEX(OP_TotalRates_RES_1[[Ausnet]:[United Energy]],MATCH("TOU - supply",OP_TotalRates_RES_1[Rate name],0),MATCH(I$24,OP_TotalRates_RES_1[[#Headers],[Ausnet]:[United Energy]],0))*DiY)+
(INDEX(OP_TotalRates_RES_1[[Ausnet]:[United Energy]],MATCH("Peak",OP_TotalRates_RES_1[Rate name],0),MATCH(I$24,OP_TotalRates_RES_1[[#Headers],[Ausnet]:[United Energy]],0))*
INDEX(Input_Usage[[F-PreviousVDO_Input]:[F-NextVDO_Input]],MATCH($D12&amp;" - Peak",Input_Usage[Ref],0),MATCH($D$21,Inputs!$I$134:$O$134,0)))+
IFERROR((INDEX(OP_TotalRates_RES_1[[Ausnet]:[United Energy]],MATCH("TOU - Shoulder",OP_TotalRates_RES_1[Rate name],0),MATCH(I$24,OP_TotalRates_RES_1[[#Headers],[Ausnet]:[United Energy]],0))*
INDEX(Input_Usage[[F-PreviousVDO_Input]:[F-NextVDO_Input]],MATCH($D12&amp;" - Shoulder",Input_Usage[Ref],0),MATCH($D$21,Inputs!$I$134:$O$134,0))),0)+
(INDEX(OP_TotalRates_RES_1[[Ausnet]:[United Energy]],MATCH("Off peak",OP_TotalRates_RES_1[Rate name],0),MATCH(I$24,OP_TotalRates_RES_1[[#Headers],[Ausnet]:[United Energy]],0))*
INDEX(Input_Usage[[F-PreviousVDO_Input]:[F-NextVDO_Input]],MATCH($D12&amp;" - Off peak",Input_Usage[Ref],0),MATCH($D$21,Inputs!$I$134:$O$134,0))),0),0,1))</f>
        <v>0</v>
      </c>
      <c r="M16" s="93">
        <f>IF($D$21="VDO 2021 - Final",
IF(M12=
ROUNDUP(
(INDEX(OP_TotalRates_SME_1[[Ausnet]:[United Energy]],MATCH("Anytime - supply",OP_TotalRates_SME_1[Rate name],0),MATCH(M$24,OP_TotalRates_SME_1[[#Headers],[Ausnet]:[United Energy]],0))*DiY)+
(IFERROR((INDEX(OP_TotalRates_SME_1[[Ausnet]:[United Energy]],MATCH("Block 1",OP_TotalRates_SME_1[Rate name],0),MATCH(M$24,OP_TotalRates_SME_1[[#Headers],[Ausnet]:[United Energy]],0))*
INDEX(Input_Usage[[F-PreviousVDO_Input]:[F-NextVDO_Input]],MATCH($L12&amp;" - Block 1",Input_Usage[Ref],0),MATCH($D$21,Inputs!$I$134:$O$134,0))),0)+
IFERROR((INDEX(OP_TotalRates_SME_1[[Ausnet]:[United Energy]],MATCH("Balance",OP_TotalRates_SME_1[Rate name],0),MATCH(M$24,OP_TotalRates_SME_1[[#Headers],[Ausnet]:[United Energy]],0))*
INDEX(Input_Usage[[F-PreviousVDO_Input]:[F-NextVDO_Input]],MATCH($L12&amp;" - Balance",Input_Usage[Ref],0),MATCH($D$21,Inputs!$I$134:$O$134,0))),0)+
IFERROR((INDEX(OP_TotalRates_SME_1[[Ausnet]:[United Energy]],MATCH("Single rate",OP_TotalRates_SME_1[Rate name],0),MATCH(M$24,OP_TotalRates_SME_1[[#Headers],[Ausnet]:[United Energy]],0))*
INDEX(Input_Usage[[F-PreviousVDO_Input]:[F-NextVDO_Input]],MATCH($L12&amp;" - Annual",Input_Usage[Ref],0),MATCH($D$21,Inputs!$I$134:$O$134,0))),0)),0),0,1),
IF(M12=
ROUNDUP(
(INDEX(OP_TotalRates_SME_1[[Ausnet]:[United Energy]],MATCH("TOU - supply",OP_TotalRates_SME_1[Rate name],0),MATCH(M$24,OP_TotalRates_SME_1[[#Headers],[Ausnet]:[United Energy]],0))*DiY)+
(INDEX(OP_TotalRates_SME_1[[Ausnet]:[United Energy]],MATCH("Peak",OP_TotalRates_SME_1[Rate name],0),MATCH(M$24,OP_TotalRates_SME_1[[#Headers],[Ausnet]:[United Energy]],0))*
INDEX(Input_Usage[[F-PreviousVDO_Input]:[F-NextVDO_Input]],MATCH($L12&amp;" - Peak",Input_Usage[Ref],0),MATCH($D$21,Inputs!$I$134:$O$134,0)))+
IFERROR((INDEX(OP_TotalRates_SME_1[[Ausnet]:[United Energy]],MATCH("TOU - Shoulder",OP_TotalRates_SME_1[Rate name],0),MATCH(M$24,OP_TotalRates_SME_1[[#Headers],[Ausnet]:[United Energy]],0))*
INDEX(Input_Usage[[F-PreviousVDO_Input]:[F-NextVDO_Input]],MATCH($L12&amp;" - Shoulder",Input_Usage[Ref],0),MATCH($D$21,Inputs!$I$134:$O$134,0))),0)+
(INDEX(OP_TotalRates_SME_1[[Ausnet]:[United Energy]],MATCH("Off peak",OP_TotalRates_SME_1[Rate name],0),MATCH(M$24,OP_TotalRates_SME_1[[#Headers],[Ausnet]:[United Energy]],0))*
INDEX(Input_Usage[[F-PreviousVDO_Input]:[F-NextVDO_Input]],MATCH($L12&amp;" - Off peak",Input_Usage[Ref],0),MATCH($D$21,Inputs!$I$134:$O$134,0))),0),0,1))</f>
        <v>0</v>
      </c>
      <c r="N16" s="93">
        <f>IF($D$21="VDO 2021 - Final",
IF(N12=
ROUNDUP(
(INDEX(OP_TotalRates_SME_1[[Ausnet]:[United Energy]],MATCH("Anytime - supply",OP_TotalRates_SME_1[Rate name],0),MATCH(N$24,OP_TotalRates_SME_1[[#Headers],[Ausnet]:[United Energy]],0))*DiY)+
(IFERROR((INDEX(OP_TotalRates_SME_1[[Ausnet]:[United Energy]],MATCH("Block 1",OP_TotalRates_SME_1[Rate name],0),MATCH(N$24,OP_TotalRates_SME_1[[#Headers],[Ausnet]:[United Energy]],0))*
INDEX(Input_Usage[[F-PreviousVDO_Input]:[F-NextVDO_Input]],MATCH($L12&amp;" - Block 1",Input_Usage[Ref],0),MATCH($D$21,Inputs!$I$134:$O$134,0))),0)+
IFERROR((INDEX(OP_TotalRates_SME_1[[Ausnet]:[United Energy]],MATCH("Balance",OP_TotalRates_SME_1[Rate name],0),MATCH(N$24,OP_TotalRates_SME_1[[#Headers],[Ausnet]:[United Energy]],0))*
INDEX(Input_Usage[[F-PreviousVDO_Input]:[F-NextVDO_Input]],MATCH($L12&amp;" - Balance",Input_Usage[Ref],0),MATCH($D$21,Inputs!$I$134:$O$134,0))),0)+
IFERROR((INDEX(OP_TotalRates_SME_1[[Ausnet]:[United Energy]],MATCH("Single rate",OP_TotalRates_SME_1[Rate name],0),MATCH(N$24,OP_TotalRates_SME_1[[#Headers],[Ausnet]:[United Energy]],0))*
INDEX(Input_Usage[[F-PreviousVDO_Input]:[F-NextVDO_Input]],MATCH($L12&amp;" - Annual",Input_Usage[Ref],0),MATCH($D$21,Inputs!$I$134:$O$134,0))),0)),0),0,1),
IF(N12=
ROUNDUP(
(INDEX(OP_TotalRates_SME_1[[Ausnet]:[United Energy]],MATCH("TOU - supply",OP_TotalRates_SME_1[Rate name],0),MATCH(N$24,OP_TotalRates_SME_1[[#Headers],[Ausnet]:[United Energy]],0))*DiY)+
(INDEX(OP_TotalRates_SME_1[[Ausnet]:[United Energy]],MATCH("Peak",OP_TotalRates_SME_1[Rate name],0),MATCH(N$24,OP_TotalRates_SME_1[[#Headers],[Ausnet]:[United Energy]],0))*
INDEX(Input_Usage[[F-PreviousVDO_Input]:[F-NextVDO_Input]],MATCH($L12&amp;" - Peak",Input_Usage[Ref],0),MATCH($D$21,Inputs!$I$134:$O$134,0)))+
IFERROR((INDEX(OP_TotalRates_SME_1[[Ausnet]:[United Energy]],MATCH("TOU - Shoulder",OP_TotalRates_SME_1[Rate name],0),MATCH(N$24,OP_TotalRates_SME_1[[#Headers],[Ausnet]:[United Energy]],0))*
INDEX(Input_Usage[[F-PreviousVDO_Input]:[F-NextVDO_Input]],MATCH($L12&amp;" - Shoulder",Input_Usage[Ref],0),MATCH($D$21,Inputs!$I$134:$O$134,0))),0)+
(INDEX(OP_TotalRates_SME_1[[Ausnet]:[United Energy]],MATCH("Off peak",OP_TotalRates_SME_1[Rate name],0),MATCH(N$24,OP_TotalRates_SME_1[[#Headers],[Ausnet]:[United Energy]],0))*
INDEX(Input_Usage[[F-PreviousVDO_Input]:[F-NextVDO_Input]],MATCH($L12&amp;" - Off peak",Input_Usage[Ref],0),MATCH($D$21,Inputs!$I$134:$O$134,0))),0),0,1))</f>
        <v>0</v>
      </c>
      <c r="O16" s="93">
        <f>IF($D$21="VDO 2021 - Final",
IF(O12=
ROUNDUP(
(INDEX(OP_TotalRates_SME_1[[Ausnet]:[United Energy]],MATCH("Anytime - supply",OP_TotalRates_SME_1[Rate name],0),MATCH(O$24,OP_TotalRates_SME_1[[#Headers],[Ausnet]:[United Energy]],0))*DiY)+
(IFERROR((INDEX(OP_TotalRates_SME_1[[Ausnet]:[United Energy]],MATCH("Block 1",OP_TotalRates_SME_1[Rate name],0),MATCH(O$24,OP_TotalRates_SME_1[[#Headers],[Ausnet]:[United Energy]],0))*
INDEX(Input_Usage[[F-PreviousVDO_Input]:[F-NextVDO_Input]],MATCH($L12&amp;" - Block 1",Input_Usage[Ref],0),MATCH($D$21,Inputs!$I$134:$O$134,0))),0)+
IFERROR((INDEX(OP_TotalRates_SME_1[[Ausnet]:[United Energy]],MATCH("Balance",OP_TotalRates_SME_1[Rate name],0),MATCH(O$24,OP_TotalRates_SME_1[[#Headers],[Ausnet]:[United Energy]],0))*
INDEX(Input_Usage[[F-PreviousVDO_Input]:[F-NextVDO_Input]],MATCH($L12&amp;" - Balance",Input_Usage[Ref],0),MATCH($D$21,Inputs!$I$134:$O$134,0))),0)+
IFERROR((INDEX(OP_TotalRates_SME_1[[Ausnet]:[United Energy]],MATCH("Single rate",OP_TotalRates_SME_1[Rate name],0),MATCH(O$24,OP_TotalRates_SME_1[[#Headers],[Ausnet]:[United Energy]],0))*
INDEX(Input_Usage[[F-PreviousVDO_Input]:[F-NextVDO_Input]],MATCH($L12&amp;" - Annual",Input_Usage[Ref],0),MATCH($D$21,Inputs!$I$134:$O$134,0))),0)),0),0,1),
IF(O12=
ROUNDUP(
(INDEX(OP_TotalRates_SME_1[[Ausnet]:[United Energy]],MATCH("TOU - supply",OP_TotalRates_SME_1[Rate name],0),MATCH(O$24,OP_TotalRates_SME_1[[#Headers],[Ausnet]:[United Energy]],0))*DiY)+
(INDEX(OP_TotalRates_SME_1[[Ausnet]:[United Energy]],MATCH("Peak",OP_TotalRates_SME_1[Rate name],0),MATCH(O$24,OP_TotalRates_SME_1[[#Headers],[Ausnet]:[United Energy]],0))*
INDEX(Input_Usage[[F-PreviousVDO_Input]:[F-NextVDO_Input]],MATCH($L12&amp;" - Peak",Input_Usage[Ref],0),MATCH($D$21,Inputs!$I$134:$O$134,0)))+
IFERROR((INDEX(OP_TotalRates_SME_1[[Ausnet]:[United Energy]],MATCH("TOU - Shoulder",OP_TotalRates_SME_1[Rate name],0),MATCH(O$24,OP_TotalRates_SME_1[[#Headers],[Ausnet]:[United Energy]],0))*
INDEX(Input_Usage[[F-PreviousVDO_Input]:[F-NextVDO_Input]],MATCH($L12&amp;" - Shoulder",Input_Usage[Ref],0),MATCH($D$21,Inputs!$I$134:$O$134,0))),0)+
(INDEX(OP_TotalRates_SME_1[[Ausnet]:[United Energy]],MATCH("Off peak",OP_TotalRates_SME_1[Rate name],0),MATCH(O$24,OP_TotalRates_SME_1[[#Headers],[Ausnet]:[United Energy]],0))*
INDEX(Input_Usage[[F-PreviousVDO_Input]:[F-NextVDO_Input]],MATCH($L12&amp;" - Off peak",Input_Usage[Ref],0),MATCH($D$21,Inputs!$I$134:$O$134,0))),0),0,1))</f>
        <v>0</v>
      </c>
      <c r="P16" s="93">
        <f>IF($D$21="VDO 2021 - Final",
IF(P12=
ROUNDUP(
(INDEX(OP_TotalRates_SME_1[[Ausnet]:[United Energy]],MATCH("Anytime - supply",OP_TotalRates_SME_1[Rate name],0),MATCH(P$24,OP_TotalRates_SME_1[[#Headers],[Ausnet]:[United Energy]],0))*DiY)+
(IFERROR((INDEX(OP_TotalRates_SME_1[[Ausnet]:[United Energy]],MATCH("Block 1",OP_TotalRates_SME_1[Rate name],0),MATCH(P$24,OP_TotalRates_SME_1[[#Headers],[Ausnet]:[United Energy]],0))*
INDEX(Input_Usage[[F-PreviousVDO_Input]:[F-NextVDO_Input]],MATCH($L12&amp;" - Block 1",Input_Usage[Ref],0),MATCH($D$21,Inputs!$I$134:$O$134,0))),0)+
IFERROR((INDEX(OP_TotalRates_SME_1[[Ausnet]:[United Energy]],MATCH("Balance",OP_TotalRates_SME_1[Rate name],0),MATCH(P$24,OP_TotalRates_SME_1[[#Headers],[Ausnet]:[United Energy]],0))*
INDEX(Input_Usage[[F-PreviousVDO_Input]:[F-NextVDO_Input]],MATCH($L12&amp;" - Balance",Input_Usage[Ref],0),MATCH($D$21,Inputs!$I$134:$O$134,0))),0)+
IFERROR((INDEX(OP_TotalRates_SME_1[[Ausnet]:[United Energy]],MATCH("Single rate",OP_TotalRates_SME_1[Rate name],0),MATCH(P$24,OP_TotalRates_SME_1[[#Headers],[Ausnet]:[United Energy]],0))*
INDEX(Input_Usage[[F-PreviousVDO_Input]:[F-NextVDO_Input]],MATCH($L12&amp;" - Annual",Input_Usage[Ref],0),MATCH($D$21,Inputs!$I$134:$O$134,0))),0)),0),0,1),
IF(P12=
ROUNDUP(
(INDEX(OP_TotalRates_SME_1[[Ausnet]:[United Energy]],MATCH("TOU - supply",OP_TotalRates_SME_1[Rate name],0),MATCH(P$24,OP_TotalRates_SME_1[[#Headers],[Ausnet]:[United Energy]],0))*DiY)+
(INDEX(OP_TotalRates_SME_1[[Ausnet]:[United Energy]],MATCH("Peak",OP_TotalRates_SME_1[Rate name],0),MATCH(P$24,OP_TotalRates_SME_1[[#Headers],[Ausnet]:[United Energy]],0))*
INDEX(Input_Usage[[F-PreviousVDO_Input]:[F-NextVDO_Input]],MATCH($L12&amp;" - Peak",Input_Usage[Ref],0),MATCH($D$21,Inputs!$I$134:$O$134,0)))+
IFERROR((INDEX(OP_TotalRates_SME_1[[Ausnet]:[United Energy]],MATCH("TOU - Shoulder",OP_TotalRates_SME_1[Rate name],0),MATCH(P$24,OP_TotalRates_SME_1[[#Headers],[Ausnet]:[United Energy]],0))*
INDEX(Input_Usage[[F-PreviousVDO_Input]:[F-NextVDO_Input]],MATCH($L12&amp;" - Shoulder",Input_Usage[Ref],0),MATCH($D$21,Inputs!$I$134:$O$134,0))),0)+
(INDEX(OP_TotalRates_SME_1[[Ausnet]:[United Energy]],MATCH("Off peak",OP_TotalRates_SME_1[Rate name],0),MATCH(P$24,OP_TotalRates_SME_1[[#Headers],[Ausnet]:[United Energy]],0))*
INDEX(Input_Usage[[F-PreviousVDO_Input]:[F-NextVDO_Input]],MATCH($L12&amp;" - Off peak",Input_Usage[Ref],0),MATCH($D$21,Inputs!$I$134:$O$134,0))),0),0,1))</f>
        <v>0</v>
      </c>
      <c r="Q16" s="93">
        <f>IF($D$21="VDO 2021 - Final",
IF(Q12=
ROUNDUP(
(INDEX(OP_TotalRates_SME_1[[Ausnet]:[United Energy]],MATCH("Anytime - supply",OP_TotalRates_SME_1[Rate name],0),MATCH(Q$24,OP_TotalRates_SME_1[[#Headers],[Ausnet]:[United Energy]],0))*DiY)+
(IFERROR((INDEX(OP_TotalRates_SME_1[[Ausnet]:[United Energy]],MATCH("Block 1",OP_TotalRates_SME_1[Rate name],0),MATCH(Q$24,OP_TotalRates_SME_1[[#Headers],[Ausnet]:[United Energy]],0))*
INDEX(Input_Usage[[F-PreviousVDO_Input]:[F-NextVDO_Input]],MATCH($L12&amp;" - Block 1",Input_Usage[Ref],0),MATCH($D$21,Inputs!$I$134:$O$134,0))),0)+
IFERROR((INDEX(OP_TotalRates_SME_1[[Ausnet]:[United Energy]],MATCH("Balance",OP_TotalRates_SME_1[Rate name],0),MATCH(Q$24,OP_TotalRates_SME_1[[#Headers],[Ausnet]:[United Energy]],0))*
INDEX(Input_Usage[[F-PreviousVDO_Input]:[F-NextVDO_Input]],MATCH($L12&amp;" - Balance",Input_Usage[Ref],0),MATCH($D$21,Inputs!$I$134:$O$134,0))),0)+
IFERROR((INDEX(OP_TotalRates_SME_1[[Ausnet]:[United Energy]],MATCH("Single rate",OP_TotalRates_SME_1[Rate name],0),MATCH(Q$24,OP_TotalRates_SME_1[[#Headers],[Ausnet]:[United Energy]],0))*
INDEX(Input_Usage[[F-PreviousVDO_Input]:[F-NextVDO_Input]],MATCH($L12&amp;" - Annual",Input_Usage[Ref],0),MATCH($D$21,Inputs!$I$134:$O$134,0))),0)),0),0,1),
IF(Q12=
ROUNDUP(
(INDEX(OP_TotalRates_SME_1[[Ausnet]:[United Energy]],MATCH("TOU - supply",OP_TotalRates_SME_1[Rate name],0),MATCH(Q$24,OP_TotalRates_SME_1[[#Headers],[Ausnet]:[United Energy]],0))*DiY)+
(INDEX(OP_TotalRates_SME_1[[Ausnet]:[United Energy]],MATCH("Peak",OP_TotalRates_SME_1[Rate name],0),MATCH(Q$24,OP_TotalRates_SME_1[[#Headers],[Ausnet]:[United Energy]],0))*
INDEX(Input_Usage[[F-PreviousVDO_Input]:[F-NextVDO_Input]],MATCH($L12&amp;" - Peak",Input_Usage[Ref],0),MATCH($D$21,Inputs!$I$134:$O$134,0)))+
IFERROR((INDEX(OP_TotalRates_SME_1[[Ausnet]:[United Energy]],MATCH("TOU - Shoulder",OP_TotalRates_SME_1[Rate name],0),MATCH(Q$24,OP_TotalRates_SME_1[[#Headers],[Ausnet]:[United Energy]],0))*
INDEX(Input_Usage[[F-PreviousVDO_Input]:[F-NextVDO_Input]],MATCH($L12&amp;" - Shoulder",Input_Usage[Ref],0),MATCH($D$21,Inputs!$I$134:$O$134,0))),0)+
(INDEX(OP_TotalRates_SME_1[[Ausnet]:[United Energy]],MATCH("Off peak",OP_TotalRates_SME_1[Rate name],0),MATCH(Q$24,OP_TotalRates_SME_1[[#Headers],[Ausnet]:[United Energy]],0))*
INDEX(Input_Usage[[F-PreviousVDO_Input]:[F-NextVDO_Input]],MATCH($L12&amp;" - Off peak",Input_Usage[Ref],0),MATCH($D$21,Inputs!$I$134:$O$134,0))),0),0,1))</f>
        <v>0</v>
      </c>
    </row>
    <row r="17" spans="1:18" ht="15.75" x14ac:dyDescent="0.25">
      <c r="E17" s="93">
        <f>IF($D$21="VDO 2021 - Final",
IF(E13=
ROUNDUP(
(INDEX(OP_TotalRates_RES_1[[Ausnet]:[United Energy]],MATCH("Anytime - supply",OP_TotalRates_RES_1[Rate name],0),MATCH(E$24,OP_TotalRates_RES_1[[#Headers],[Ausnet]:[United Energy]],0))*DiY)+
(IFERROR((INDEX(OP_TotalRates_RES_1[[Ausnet]:[United Energy]],MATCH("Block 1",OP_TotalRates_RES_1[Rate name],0),MATCH(E$24,OP_TotalRates_RES_1[[#Headers],[Ausnet]:[United Energy]],0))*
INDEX(Input_Usage[[F-PreviousVDO_Input]:[F-NextVDO_Input]],MATCH($D13&amp;" - Block 1",Input_Usage[Ref],0),MATCH($D$21,Inputs!$I$134:$O$134,0))),0)+
IFERROR((INDEX(OP_TotalRates_RES_1[[Ausnet]:[United Energy]],MATCH("Balance",OP_TotalRates_RES_1[Rate name],0),MATCH(E$24,OP_TotalRates_RES_1[[#Headers],[Ausnet]:[United Energy]],0))*
INDEX(Input_Usage[[F-PreviousVDO_Input]:[F-NextVDO_Input]],MATCH($D13&amp;" - Balance",Input_Usage[Ref],0),MATCH($D$21,Inputs!$I$134:$O$134,0))),0)+
IFERROR((INDEX(OP_TotalRates_RES_1[[Ausnet]:[United Energy]],MATCH("Single rate",OP_TotalRates_RES_1[Rate name],0),MATCH(E$24,OP_TotalRates_RES_1[[#Headers],[Ausnet]:[United Energy]],0))*
INDEX(Input_Usage[[F-PreviousVDO_Input]:[F-NextVDO_Input]],MATCH($D13&amp;" - Annual",Input_Usage[Ref],0),MATCH($D$21,Inputs!$I$134:$O$134,0))),0)),0),0,1),
IF(E13=
ROUNDUP(
(INDEX(OP_TotalRates_RES_1[[Ausnet]:[United Energy]],MATCH("TOU - supply",OP_TotalRates_RES_1[Rate name],0),MATCH(E$24,OP_TotalRates_RES_1[[#Headers],[Ausnet]:[United Energy]],0))*DiY)+
(INDEX(OP_TotalRates_RES_1[[Ausnet]:[United Energy]],MATCH("Peak",OP_TotalRates_RES_1[Rate name],0),MATCH(E$24,OP_TotalRates_RES_1[[#Headers],[Ausnet]:[United Energy]],0))*
INDEX(Input_Usage[[F-PreviousVDO_Input]:[F-NextVDO_Input]],MATCH($D13&amp;" - Peak",Input_Usage[Ref],0),MATCH($D$21,Inputs!$I$134:$O$134,0)))+
IFERROR((INDEX(OP_TotalRates_RES_1[[Ausnet]:[United Energy]],MATCH("TOU - Shoulder",OP_TotalRates_RES_1[Rate name],0),MATCH(E$24,OP_TotalRates_RES_1[[#Headers],[Ausnet]:[United Energy]],0))*
INDEX(Input_Usage[[F-PreviousVDO_Input]:[F-NextVDO_Input]],MATCH($D13&amp;" - Shoulder",Input_Usage[Ref],0),MATCH($D$21,Inputs!$I$134:$O$134,0))),0)+
(INDEX(OP_TotalRates_RES_1[[Ausnet]:[United Energy]],MATCH("Off peak",OP_TotalRates_RES_1[Rate name],0),MATCH(E$24,OP_TotalRates_RES_1[[#Headers],[Ausnet]:[United Energy]],0))*
INDEX(Input_Usage[[F-PreviousVDO_Input]:[F-NextVDO_Input]],MATCH($D13&amp;" - Off peak",Input_Usage[Ref],0),MATCH($D$21,Inputs!$I$134:$O$134,0))),0),0,1))</f>
        <v>0</v>
      </c>
      <c r="F17" s="93">
        <f>IF($D$21="VDO 2021 - Final",
IF(F13=
ROUNDUP(
(INDEX(OP_TotalRates_RES_1[[Ausnet]:[United Energy]],MATCH("Anytime - supply",OP_TotalRates_RES_1[Rate name],0),MATCH(F$24,OP_TotalRates_RES_1[[#Headers],[Ausnet]:[United Energy]],0))*DiY)+
(IFERROR((INDEX(OP_TotalRates_RES_1[[Ausnet]:[United Energy]],MATCH("Block 1",OP_TotalRates_RES_1[Rate name],0),MATCH(F$24,OP_TotalRates_RES_1[[#Headers],[Ausnet]:[United Energy]],0))*
INDEX(Input_Usage[[F-PreviousVDO_Input]:[F-NextVDO_Input]],MATCH($D13&amp;" - Block 1",Input_Usage[Ref],0),MATCH($D$21,Inputs!$I$134:$O$134,0))),0)+
IFERROR((INDEX(OP_TotalRates_RES_1[[Ausnet]:[United Energy]],MATCH("Balance",OP_TotalRates_RES_1[Rate name],0),MATCH(F$24,OP_TotalRates_RES_1[[#Headers],[Ausnet]:[United Energy]],0))*
INDEX(Input_Usage[[F-PreviousVDO_Input]:[F-NextVDO_Input]],MATCH($D13&amp;" - Balance",Input_Usage[Ref],0),MATCH($D$21,Inputs!$I$134:$O$134,0))),0)+
IFERROR((INDEX(OP_TotalRates_RES_1[[Ausnet]:[United Energy]],MATCH("Single rate",OP_TotalRates_RES_1[Rate name],0),MATCH(F$24,OP_TotalRates_RES_1[[#Headers],[Ausnet]:[United Energy]],0))*
INDEX(Input_Usage[[F-PreviousVDO_Input]:[F-NextVDO_Input]],MATCH($D13&amp;" - Annual",Input_Usage[Ref],0),MATCH($D$21,Inputs!$I$134:$O$134,0))),0)),0),0,1),
IF(F13=
ROUNDUP(
(INDEX(OP_TotalRates_RES_1[[Ausnet]:[United Energy]],MATCH("TOU - supply",OP_TotalRates_RES_1[Rate name],0),MATCH(F$24,OP_TotalRates_RES_1[[#Headers],[Ausnet]:[United Energy]],0))*DiY)+
(INDEX(OP_TotalRates_RES_1[[Ausnet]:[United Energy]],MATCH("Peak",OP_TotalRates_RES_1[Rate name],0),MATCH(F$24,OP_TotalRates_RES_1[[#Headers],[Ausnet]:[United Energy]],0))*
INDEX(Input_Usage[[F-PreviousVDO_Input]:[F-NextVDO_Input]],MATCH($D13&amp;" - Peak",Input_Usage[Ref],0),MATCH($D$21,Inputs!$I$134:$O$134,0)))+
IFERROR((INDEX(OP_TotalRates_RES_1[[Ausnet]:[United Energy]],MATCH("TOU - Shoulder",OP_TotalRates_RES_1[Rate name],0),MATCH(F$24,OP_TotalRates_RES_1[[#Headers],[Ausnet]:[United Energy]],0))*
INDEX(Input_Usage[[F-PreviousVDO_Input]:[F-NextVDO_Input]],MATCH($D13&amp;" - Shoulder",Input_Usage[Ref],0),MATCH($D$21,Inputs!$I$134:$O$134,0))),0)+
(INDEX(OP_TotalRates_RES_1[[Ausnet]:[United Energy]],MATCH("Off peak",OP_TotalRates_RES_1[Rate name],0),MATCH(F$24,OP_TotalRates_RES_1[[#Headers],[Ausnet]:[United Energy]],0))*
INDEX(Input_Usage[[F-PreviousVDO_Input]:[F-NextVDO_Input]],MATCH($D13&amp;" - Off peak",Input_Usage[Ref],0),MATCH($D$21,Inputs!$I$134:$O$134,0))),0),0,1))</f>
        <v>0</v>
      </c>
      <c r="G17" s="93">
        <f>IF($D$21="VDO 2021 - Final",
IF(G13=
ROUNDUP(
(INDEX(OP_TotalRates_RES_1[[Ausnet]:[United Energy]],MATCH("Anytime - supply",OP_TotalRates_RES_1[Rate name],0),MATCH(G$24,OP_TotalRates_RES_1[[#Headers],[Ausnet]:[United Energy]],0))*DiY)+
(IFERROR((INDEX(OP_TotalRates_RES_1[[Ausnet]:[United Energy]],MATCH("Block 1",OP_TotalRates_RES_1[Rate name],0),MATCH(G$24,OP_TotalRates_RES_1[[#Headers],[Ausnet]:[United Energy]],0))*
INDEX(Input_Usage[[F-PreviousVDO_Input]:[F-NextVDO_Input]],MATCH($D13&amp;" - Block 1",Input_Usage[Ref],0),MATCH($D$21,Inputs!$I$134:$O$134,0))),0)+
IFERROR((INDEX(OP_TotalRates_RES_1[[Ausnet]:[United Energy]],MATCH("Balance",OP_TotalRates_RES_1[Rate name],0),MATCH(G$24,OP_TotalRates_RES_1[[#Headers],[Ausnet]:[United Energy]],0))*
INDEX(Input_Usage[[F-PreviousVDO_Input]:[F-NextVDO_Input]],MATCH($D13&amp;" - Balance",Input_Usage[Ref],0),MATCH($D$21,Inputs!$I$134:$O$134,0))),0)+
IFERROR((INDEX(OP_TotalRates_RES_1[[Ausnet]:[United Energy]],MATCH("Single rate",OP_TotalRates_RES_1[Rate name],0),MATCH(G$24,OP_TotalRates_RES_1[[#Headers],[Ausnet]:[United Energy]],0))*
INDEX(Input_Usage[[F-PreviousVDO_Input]:[F-NextVDO_Input]],MATCH($D13&amp;" - Annual",Input_Usage[Ref],0),MATCH($D$21,Inputs!$I$134:$O$134,0))),0)),0),0,1),
IF(G13=
ROUNDUP(
(INDEX(OP_TotalRates_RES_1[[Ausnet]:[United Energy]],MATCH("TOU - supply",OP_TotalRates_RES_1[Rate name],0),MATCH(G$24,OP_TotalRates_RES_1[[#Headers],[Ausnet]:[United Energy]],0))*DiY)+
(INDEX(OP_TotalRates_RES_1[[Ausnet]:[United Energy]],MATCH("Peak",OP_TotalRates_RES_1[Rate name],0),MATCH(G$24,OP_TotalRates_RES_1[[#Headers],[Ausnet]:[United Energy]],0))*
INDEX(Input_Usage[[F-PreviousVDO_Input]:[F-NextVDO_Input]],MATCH($D13&amp;" - Peak",Input_Usage[Ref],0),MATCH($D$21,Inputs!$I$134:$O$134,0)))+
IFERROR((INDEX(OP_TotalRates_RES_1[[Ausnet]:[United Energy]],MATCH("TOU - Shoulder",OP_TotalRates_RES_1[Rate name],0),MATCH(G$24,OP_TotalRates_RES_1[[#Headers],[Ausnet]:[United Energy]],0))*
INDEX(Input_Usage[[F-PreviousVDO_Input]:[F-NextVDO_Input]],MATCH($D13&amp;" - Shoulder",Input_Usage[Ref],0),MATCH($D$21,Inputs!$I$134:$O$134,0))),0)+
(INDEX(OP_TotalRates_RES_1[[Ausnet]:[United Energy]],MATCH("Off peak",OP_TotalRates_RES_1[Rate name],0),MATCH(G$24,OP_TotalRates_RES_1[[#Headers],[Ausnet]:[United Energy]],0))*
INDEX(Input_Usage[[F-PreviousVDO_Input]:[F-NextVDO_Input]],MATCH($D13&amp;" - Off peak",Input_Usage[Ref],0),MATCH($D$21,Inputs!$I$134:$O$134,0))),0),0,1))</f>
        <v>0</v>
      </c>
      <c r="H17" s="93">
        <f>IF($D$21="VDO 2021 - Final",
IF(H13=
ROUNDUP(
(INDEX(OP_TotalRates_RES_1[[Ausnet]:[United Energy]],MATCH("Anytime - supply",OP_TotalRates_RES_1[Rate name],0),MATCH(H$24,OP_TotalRates_RES_1[[#Headers],[Ausnet]:[United Energy]],0))*DiY)+
(IFERROR((INDEX(OP_TotalRates_RES_1[[Ausnet]:[United Energy]],MATCH("Block 1",OP_TotalRates_RES_1[Rate name],0),MATCH(H$24,OP_TotalRates_RES_1[[#Headers],[Ausnet]:[United Energy]],0))*
INDEX(Input_Usage[[F-PreviousVDO_Input]:[F-NextVDO_Input]],MATCH($D13&amp;" - Block 1",Input_Usage[Ref],0),MATCH($D$21,Inputs!$I$134:$O$134,0))),0)+
IFERROR((INDEX(OP_TotalRates_RES_1[[Ausnet]:[United Energy]],MATCH("Balance",OP_TotalRates_RES_1[Rate name],0),MATCH(H$24,OP_TotalRates_RES_1[[#Headers],[Ausnet]:[United Energy]],0))*
INDEX(Input_Usage[[F-PreviousVDO_Input]:[F-NextVDO_Input]],MATCH($D13&amp;" - Balance",Input_Usage[Ref],0),MATCH($D$21,Inputs!$I$134:$O$134,0))),0)+
IFERROR((INDEX(OP_TotalRates_RES_1[[Ausnet]:[United Energy]],MATCH("Single rate",OP_TotalRates_RES_1[Rate name],0),MATCH(H$24,OP_TotalRates_RES_1[[#Headers],[Ausnet]:[United Energy]],0))*
INDEX(Input_Usage[[F-PreviousVDO_Input]:[F-NextVDO_Input]],MATCH($D13&amp;" - Annual",Input_Usage[Ref],0),MATCH($D$21,Inputs!$I$134:$O$134,0))),0)),0),0,1),
IF(H13=
ROUNDUP(
(INDEX(OP_TotalRates_RES_1[[Ausnet]:[United Energy]],MATCH("TOU - supply",OP_TotalRates_RES_1[Rate name],0),MATCH(H$24,OP_TotalRates_RES_1[[#Headers],[Ausnet]:[United Energy]],0))*DiY)+
(INDEX(OP_TotalRates_RES_1[[Ausnet]:[United Energy]],MATCH("Peak",OP_TotalRates_RES_1[Rate name],0),MATCH(H$24,OP_TotalRates_RES_1[[#Headers],[Ausnet]:[United Energy]],0))*
INDEX(Input_Usage[[F-PreviousVDO_Input]:[F-NextVDO_Input]],MATCH($D13&amp;" - Peak",Input_Usage[Ref],0),MATCH($D$21,Inputs!$I$134:$O$134,0)))+
IFERROR((INDEX(OP_TotalRates_RES_1[[Ausnet]:[United Energy]],MATCH("TOU - Shoulder",OP_TotalRates_RES_1[Rate name],0),MATCH(H$24,OP_TotalRates_RES_1[[#Headers],[Ausnet]:[United Energy]],0))*
INDEX(Input_Usage[[F-PreviousVDO_Input]:[F-NextVDO_Input]],MATCH($D13&amp;" - Shoulder",Input_Usage[Ref],0),MATCH($D$21,Inputs!$I$134:$O$134,0))),0)+
(INDEX(OP_TotalRates_RES_1[[Ausnet]:[United Energy]],MATCH("Off peak",OP_TotalRates_RES_1[Rate name],0),MATCH(H$24,OP_TotalRates_RES_1[[#Headers],[Ausnet]:[United Energy]],0))*
INDEX(Input_Usage[[F-PreviousVDO_Input]:[F-NextVDO_Input]],MATCH($D13&amp;" - Off peak",Input_Usage[Ref],0),MATCH($D$21,Inputs!$I$134:$O$134,0))),0),0,1))</f>
        <v>0</v>
      </c>
      <c r="I17" s="93">
        <f>IF($D$21="VDO 2021 - Final",
IF(I13=
ROUNDUP(
(INDEX(OP_TotalRates_RES_1[[Ausnet]:[United Energy]],MATCH("Anytime - supply",OP_TotalRates_RES_1[Rate name],0),MATCH(I$24,OP_TotalRates_RES_1[[#Headers],[Ausnet]:[United Energy]],0))*DiY)+
(IFERROR((INDEX(OP_TotalRates_RES_1[[Ausnet]:[United Energy]],MATCH("Block 1",OP_TotalRates_RES_1[Rate name],0),MATCH(I$24,OP_TotalRates_RES_1[[#Headers],[Ausnet]:[United Energy]],0))*
INDEX(Input_Usage[[F-PreviousVDO_Input]:[F-NextVDO_Input]],MATCH($D13&amp;" - Block 1",Input_Usage[Ref],0),MATCH($D$21,Inputs!$I$134:$O$134,0))),0)+
IFERROR((INDEX(OP_TotalRates_RES_1[[Ausnet]:[United Energy]],MATCH("Balance",OP_TotalRates_RES_1[Rate name],0),MATCH(I$24,OP_TotalRates_RES_1[[#Headers],[Ausnet]:[United Energy]],0))*
INDEX(Input_Usage[[F-PreviousVDO_Input]:[F-NextVDO_Input]],MATCH($D13&amp;" - Balance",Input_Usage[Ref],0),MATCH($D$21,Inputs!$I$134:$O$134,0))),0)+
IFERROR((INDEX(OP_TotalRates_RES_1[[Ausnet]:[United Energy]],MATCH("Single rate",OP_TotalRates_RES_1[Rate name],0),MATCH(I$24,OP_TotalRates_RES_1[[#Headers],[Ausnet]:[United Energy]],0))*
INDEX(Input_Usage[[F-PreviousVDO_Input]:[F-NextVDO_Input]],MATCH($D13&amp;" - Annual",Input_Usage[Ref],0),MATCH($D$21,Inputs!$I$134:$O$134,0))),0)),0),0,1),
IF(I13=
ROUNDUP(
(INDEX(OP_TotalRates_RES_1[[Ausnet]:[United Energy]],MATCH("TOU - supply",OP_TotalRates_RES_1[Rate name],0),MATCH(I$24,OP_TotalRates_RES_1[[#Headers],[Ausnet]:[United Energy]],0))*DiY)+
(INDEX(OP_TotalRates_RES_1[[Ausnet]:[United Energy]],MATCH("Peak",OP_TotalRates_RES_1[Rate name],0),MATCH(I$24,OP_TotalRates_RES_1[[#Headers],[Ausnet]:[United Energy]],0))*
INDEX(Input_Usage[[F-PreviousVDO_Input]:[F-NextVDO_Input]],MATCH($D13&amp;" - Peak",Input_Usage[Ref],0),MATCH($D$21,Inputs!$I$134:$O$134,0)))+
IFERROR((INDEX(OP_TotalRates_RES_1[[Ausnet]:[United Energy]],MATCH("TOU - Shoulder",OP_TotalRates_RES_1[Rate name],0),MATCH(I$24,OP_TotalRates_RES_1[[#Headers],[Ausnet]:[United Energy]],0))*
INDEX(Input_Usage[[F-PreviousVDO_Input]:[F-NextVDO_Input]],MATCH($D13&amp;" - Shoulder",Input_Usage[Ref],0),MATCH($D$21,Inputs!$I$134:$O$134,0))),0)+
(INDEX(OP_TotalRates_RES_1[[Ausnet]:[United Energy]],MATCH("Off peak",OP_TotalRates_RES_1[Rate name],0),MATCH(I$24,OP_TotalRates_RES_1[[#Headers],[Ausnet]:[United Energy]],0))*
INDEX(Input_Usage[[F-PreviousVDO_Input]:[F-NextVDO_Input]],MATCH($D13&amp;" - Off peak",Input_Usage[Ref],0),MATCH($D$21,Inputs!$I$134:$O$134,0))),0),0,1))</f>
        <v>0</v>
      </c>
      <c r="M17" s="93">
        <f>IF($D$21="VDO 2021 - Final",
IF(M13=
ROUNDUP(
(INDEX(OP_TotalRates_SME_1[[Ausnet]:[United Energy]],MATCH("Anytime - supply",OP_TotalRates_SME_1[Rate name],0),MATCH(M$24,OP_TotalRates_SME_1[[#Headers],[Ausnet]:[United Energy]],0))*DiY)+
(IFERROR((INDEX(OP_TotalRates_SME_1[[Ausnet]:[United Energy]],MATCH("Block 1",OP_TotalRates_SME_1[Rate name],0),MATCH(M$24,OP_TotalRates_SME_1[[#Headers],[Ausnet]:[United Energy]],0))*
INDEX(Input_Usage[[F-PreviousVDO_Input]:[F-NextVDO_Input]],MATCH($L13&amp;" - Block 1",Input_Usage[Ref],0),MATCH($D$21,Inputs!$I$134:$O$134,0))),0)+
IFERROR((INDEX(OP_TotalRates_SME_1[[Ausnet]:[United Energy]],MATCH("Balance",OP_TotalRates_SME_1[Rate name],0),MATCH(M$24,OP_TotalRates_SME_1[[#Headers],[Ausnet]:[United Energy]],0))*
INDEX(Input_Usage[[F-PreviousVDO_Input]:[F-NextVDO_Input]],MATCH($L13&amp;" - Balance",Input_Usage[Ref],0),MATCH($D$21,Inputs!$I$134:$O$134,0))),0)+
IFERROR((INDEX(OP_TotalRates_SME_1[[Ausnet]:[United Energy]],MATCH("Single rate",OP_TotalRates_SME_1[Rate name],0),MATCH(M$24,OP_TotalRates_SME_1[[#Headers],[Ausnet]:[United Energy]],0))*
INDEX(Input_Usage[[F-PreviousVDO_Input]:[F-NextVDO_Input]],MATCH($L13&amp;" - Annual",Input_Usage[Ref],0),MATCH($D$21,Inputs!$I$134:$O$134,0))),0)),0),0,1),
IF(M13=
ROUNDUP(
(INDEX(OP_TotalRates_SME_1[[Ausnet]:[United Energy]],MATCH("TOU - supply",OP_TotalRates_SME_1[Rate name],0),MATCH(M$24,OP_TotalRates_SME_1[[#Headers],[Ausnet]:[United Energy]],0))*DiY)+
(INDEX(OP_TotalRates_SME_1[[Ausnet]:[United Energy]],MATCH("Peak",OP_TotalRates_SME_1[Rate name],0),MATCH(M$24,OP_TotalRates_SME_1[[#Headers],[Ausnet]:[United Energy]],0))*
INDEX(Input_Usage[[F-PreviousVDO_Input]:[F-NextVDO_Input]],MATCH($L13&amp;" - Peak",Input_Usage[Ref],0),MATCH($D$21,Inputs!$I$134:$O$134,0)))+
IFERROR((INDEX(OP_TotalRates_SME_1[[Ausnet]:[United Energy]],MATCH("TOU - Shoulder",OP_TotalRates_SME_1[Rate name],0),MATCH(M$24,OP_TotalRates_SME_1[[#Headers],[Ausnet]:[United Energy]],0))*
INDEX(Input_Usage[[F-PreviousVDO_Input]:[F-NextVDO_Input]],MATCH($L13&amp;" - Shoulder",Input_Usage[Ref],0),MATCH($D$21,Inputs!$I$134:$O$134,0))),0)+
(INDEX(OP_TotalRates_SME_1[[Ausnet]:[United Energy]],MATCH("Off peak",OP_TotalRates_SME_1[Rate name],0),MATCH(M$24,OP_TotalRates_SME_1[[#Headers],[Ausnet]:[United Energy]],0))*
INDEX(Input_Usage[[F-PreviousVDO_Input]:[F-NextVDO_Input]],MATCH($L13&amp;" - Off peak",Input_Usage[Ref],0),MATCH($D$21,Inputs!$I$134:$O$134,0))),0),0,1))</f>
        <v>0</v>
      </c>
      <c r="N17" s="93">
        <f>IF($D$21="VDO 2021 - Final",
IF(N13=
ROUNDUP(
(INDEX(OP_TotalRates_SME_1[[Ausnet]:[United Energy]],MATCH("Anytime - supply",OP_TotalRates_SME_1[Rate name],0),MATCH(N$24,OP_TotalRates_SME_1[[#Headers],[Ausnet]:[United Energy]],0))*DiY)+
(IFERROR((INDEX(OP_TotalRates_SME_1[[Ausnet]:[United Energy]],MATCH("Block 1",OP_TotalRates_SME_1[Rate name],0),MATCH(N$24,OP_TotalRates_SME_1[[#Headers],[Ausnet]:[United Energy]],0))*
INDEX(Input_Usage[[F-PreviousVDO_Input]:[F-NextVDO_Input]],MATCH($L13&amp;" - Block 1",Input_Usage[Ref],0),MATCH($D$21,Inputs!$I$134:$O$134,0))),0)+
IFERROR((INDEX(OP_TotalRates_SME_1[[Ausnet]:[United Energy]],MATCH("Balance",OP_TotalRates_SME_1[Rate name],0),MATCH(N$24,OP_TotalRates_SME_1[[#Headers],[Ausnet]:[United Energy]],0))*
INDEX(Input_Usage[[F-PreviousVDO_Input]:[F-NextVDO_Input]],MATCH($L13&amp;" - Balance",Input_Usage[Ref],0),MATCH($D$21,Inputs!$I$134:$O$134,0))),0)+
IFERROR((INDEX(OP_TotalRates_SME_1[[Ausnet]:[United Energy]],MATCH("Single rate",OP_TotalRates_SME_1[Rate name],0),MATCH(N$24,OP_TotalRates_SME_1[[#Headers],[Ausnet]:[United Energy]],0))*
INDEX(Input_Usage[[F-PreviousVDO_Input]:[F-NextVDO_Input]],MATCH($L13&amp;" - Annual",Input_Usage[Ref],0),MATCH($D$21,Inputs!$I$134:$O$134,0))),0)),0),0,1),
IF(N13=
ROUNDUP(
(INDEX(OP_TotalRates_SME_1[[Ausnet]:[United Energy]],MATCH("TOU - supply",OP_TotalRates_SME_1[Rate name],0),MATCH(N$24,OP_TotalRates_SME_1[[#Headers],[Ausnet]:[United Energy]],0))*DiY)+
(INDEX(OP_TotalRates_SME_1[[Ausnet]:[United Energy]],MATCH("Peak",OP_TotalRates_SME_1[Rate name],0),MATCH(N$24,OP_TotalRates_SME_1[[#Headers],[Ausnet]:[United Energy]],0))*
INDEX(Input_Usage[[F-PreviousVDO_Input]:[F-NextVDO_Input]],MATCH($L13&amp;" - Peak",Input_Usage[Ref],0),MATCH($D$21,Inputs!$I$134:$O$134,0)))+
IFERROR((INDEX(OP_TotalRates_SME_1[[Ausnet]:[United Energy]],MATCH("TOU - Shoulder",OP_TotalRates_SME_1[Rate name],0),MATCH(N$24,OP_TotalRates_SME_1[[#Headers],[Ausnet]:[United Energy]],0))*
INDEX(Input_Usage[[F-PreviousVDO_Input]:[F-NextVDO_Input]],MATCH($L13&amp;" - Shoulder",Input_Usage[Ref],0),MATCH($D$21,Inputs!$I$134:$O$134,0))),0)+
(INDEX(OP_TotalRates_SME_1[[Ausnet]:[United Energy]],MATCH("Off peak",OP_TotalRates_SME_1[Rate name],0),MATCH(N$24,OP_TotalRates_SME_1[[#Headers],[Ausnet]:[United Energy]],0))*
INDEX(Input_Usage[[F-PreviousVDO_Input]:[F-NextVDO_Input]],MATCH($L13&amp;" - Off peak",Input_Usage[Ref],0),MATCH($D$21,Inputs!$I$134:$O$134,0))),0),0,1))</f>
        <v>0</v>
      </c>
      <c r="O17" s="93">
        <f>IF($D$21="VDO 2021 - Final",
IF(O13=
ROUNDUP(
(INDEX(OP_TotalRates_SME_1[[Ausnet]:[United Energy]],MATCH("Anytime - supply",OP_TotalRates_SME_1[Rate name],0),MATCH(O$24,OP_TotalRates_SME_1[[#Headers],[Ausnet]:[United Energy]],0))*DiY)+
(IFERROR((INDEX(OP_TotalRates_SME_1[[Ausnet]:[United Energy]],MATCH("Block 1",OP_TotalRates_SME_1[Rate name],0),MATCH(O$24,OP_TotalRates_SME_1[[#Headers],[Ausnet]:[United Energy]],0))*
INDEX(Input_Usage[[F-PreviousVDO_Input]:[F-NextVDO_Input]],MATCH($L13&amp;" - Block 1",Input_Usage[Ref],0),MATCH($D$21,Inputs!$I$134:$O$134,0))),0)+
IFERROR((INDEX(OP_TotalRates_SME_1[[Ausnet]:[United Energy]],MATCH("Balance",OP_TotalRates_SME_1[Rate name],0),MATCH(O$24,OP_TotalRates_SME_1[[#Headers],[Ausnet]:[United Energy]],0))*
INDEX(Input_Usage[[F-PreviousVDO_Input]:[F-NextVDO_Input]],MATCH($L13&amp;" - Balance",Input_Usage[Ref],0),MATCH($D$21,Inputs!$I$134:$O$134,0))),0)+
IFERROR((INDEX(OP_TotalRates_SME_1[[Ausnet]:[United Energy]],MATCH("Single rate",OP_TotalRates_SME_1[Rate name],0),MATCH(O$24,OP_TotalRates_SME_1[[#Headers],[Ausnet]:[United Energy]],0))*
INDEX(Input_Usage[[F-PreviousVDO_Input]:[F-NextVDO_Input]],MATCH($L13&amp;" - Annual",Input_Usage[Ref],0),MATCH($D$21,Inputs!$I$134:$O$134,0))),0)),0),0,1),
IF(O13=
ROUNDUP(
(INDEX(OP_TotalRates_SME_1[[Ausnet]:[United Energy]],MATCH("TOU - supply",OP_TotalRates_SME_1[Rate name],0),MATCH(O$24,OP_TotalRates_SME_1[[#Headers],[Ausnet]:[United Energy]],0))*DiY)+
(INDEX(OP_TotalRates_SME_1[[Ausnet]:[United Energy]],MATCH("Peak",OP_TotalRates_SME_1[Rate name],0),MATCH(O$24,OP_TotalRates_SME_1[[#Headers],[Ausnet]:[United Energy]],0))*
INDEX(Input_Usage[[F-PreviousVDO_Input]:[F-NextVDO_Input]],MATCH($L13&amp;" - Peak",Input_Usage[Ref],0),MATCH($D$21,Inputs!$I$134:$O$134,0)))+
IFERROR((INDEX(OP_TotalRates_SME_1[[Ausnet]:[United Energy]],MATCH("TOU - Shoulder",OP_TotalRates_SME_1[Rate name],0),MATCH(O$24,OP_TotalRates_SME_1[[#Headers],[Ausnet]:[United Energy]],0))*
INDEX(Input_Usage[[F-PreviousVDO_Input]:[F-NextVDO_Input]],MATCH($L13&amp;" - Shoulder",Input_Usage[Ref],0),MATCH($D$21,Inputs!$I$134:$O$134,0))),0)+
(INDEX(OP_TotalRates_SME_1[[Ausnet]:[United Energy]],MATCH("Off peak",OP_TotalRates_SME_1[Rate name],0),MATCH(O$24,OP_TotalRates_SME_1[[#Headers],[Ausnet]:[United Energy]],0))*
INDEX(Input_Usage[[F-PreviousVDO_Input]:[F-NextVDO_Input]],MATCH($L13&amp;" - Off peak",Input_Usage[Ref],0),MATCH($D$21,Inputs!$I$134:$O$134,0))),0),0,1))</f>
        <v>0</v>
      </c>
      <c r="P17" s="93">
        <f>IF($D$21="VDO 2021 - Final",
IF(P13=
ROUNDUP(
(INDEX(OP_TotalRates_SME_1[[Ausnet]:[United Energy]],MATCH("Anytime - supply",OP_TotalRates_SME_1[Rate name],0),MATCH(P$24,OP_TotalRates_SME_1[[#Headers],[Ausnet]:[United Energy]],0))*DiY)+
(IFERROR((INDEX(OP_TotalRates_SME_1[[Ausnet]:[United Energy]],MATCH("Block 1",OP_TotalRates_SME_1[Rate name],0),MATCH(P$24,OP_TotalRates_SME_1[[#Headers],[Ausnet]:[United Energy]],0))*
INDEX(Input_Usage[[F-PreviousVDO_Input]:[F-NextVDO_Input]],MATCH($L13&amp;" - Block 1",Input_Usage[Ref],0),MATCH($D$21,Inputs!$I$134:$O$134,0))),0)+
IFERROR((INDEX(OP_TotalRates_SME_1[[Ausnet]:[United Energy]],MATCH("Balance",OP_TotalRates_SME_1[Rate name],0),MATCH(P$24,OP_TotalRates_SME_1[[#Headers],[Ausnet]:[United Energy]],0))*
INDEX(Input_Usage[[F-PreviousVDO_Input]:[F-NextVDO_Input]],MATCH($L13&amp;" - Balance",Input_Usage[Ref],0),MATCH($D$21,Inputs!$I$134:$O$134,0))),0)+
IFERROR((INDEX(OP_TotalRates_SME_1[[Ausnet]:[United Energy]],MATCH("Single rate",OP_TotalRates_SME_1[Rate name],0),MATCH(P$24,OP_TotalRates_SME_1[[#Headers],[Ausnet]:[United Energy]],0))*
INDEX(Input_Usage[[F-PreviousVDO_Input]:[F-NextVDO_Input]],MATCH($L13&amp;" - Annual",Input_Usage[Ref],0),MATCH($D$21,Inputs!$I$134:$O$134,0))),0)),0),0,1),
IF(P13=
ROUNDUP(
(INDEX(OP_TotalRates_SME_1[[Ausnet]:[United Energy]],MATCH("TOU - supply",OP_TotalRates_SME_1[Rate name],0),MATCH(P$24,OP_TotalRates_SME_1[[#Headers],[Ausnet]:[United Energy]],0))*DiY)+
(INDEX(OP_TotalRates_SME_1[[Ausnet]:[United Energy]],MATCH("Peak",OP_TotalRates_SME_1[Rate name],0),MATCH(P$24,OP_TotalRates_SME_1[[#Headers],[Ausnet]:[United Energy]],0))*
INDEX(Input_Usage[[F-PreviousVDO_Input]:[F-NextVDO_Input]],MATCH($L13&amp;" - Peak",Input_Usage[Ref],0),MATCH($D$21,Inputs!$I$134:$O$134,0)))+
IFERROR((INDEX(OP_TotalRates_SME_1[[Ausnet]:[United Energy]],MATCH("TOU - Shoulder",OP_TotalRates_SME_1[Rate name],0),MATCH(P$24,OP_TotalRates_SME_1[[#Headers],[Ausnet]:[United Energy]],0))*
INDEX(Input_Usage[[F-PreviousVDO_Input]:[F-NextVDO_Input]],MATCH($L13&amp;" - Shoulder",Input_Usage[Ref],0),MATCH($D$21,Inputs!$I$134:$O$134,0))),0)+
(INDEX(OP_TotalRates_SME_1[[Ausnet]:[United Energy]],MATCH("Off peak",OP_TotalRates_SME_1[Rate name],0),MATCH(P$24,OP_TotalRates_SME_1[[#Headers],[Ausnet]:[United Energy]],0))*
INDEX(Input_Usage[[F-PreviousVDO_Input]:[F-NextVDO_Input]],MATCH($L13&amp;" - Off peak",Input_Usage[Ref],0),MATCH($D$21,Inputs!$I$134:$O$134,0))),0),0,1))</f>
        <v>0</v>
      </c>
      <c r="Q17" s="93">
        <f>IF($D$21="VDO 2021 - Final",
IF(Q13=
ROUNDUP(
(INDEX(OP_TotalRates_SME_1[[Ausnet]:[United Energy]],MATCH("Anytime - supply",OP_TotalRates_SME_1[Rate name],0),MATCH(Q$24,OP_TotalRates_SME_1[[#Headers],[Ausnet]:[United Energy]],0))*DiY)+
(IFERROR((INDEX(OP_TotalRates_SME_1[[Ausnet]:[United Energy]],MATCH("Block 1",OP_TotalRates_SME_1[Rate name],0),MATCH(Q$24,OP_TotalRates_SME_1[[#Headers],[Ausnet]:[United Energy]],0))*
INDEX(Input_Usage[[F-PreviousVDO_Input]:[F-NextVDO_Input]],MATCH($L13&amp;" - Block 1",Input_Usage[Ref],0),MATCH($D$21,Inputs!$I$134:$O$134,0))),0)+
IFERROR((INDEX(OP_TotalRates_SME_1[[Ausnet]:[United Energy]],MATCH("Balance",OP_TotalRates_SME_1[Rate name],0),MATCH(Q$24,OP_TotalRates_SME_1[[#Headers],[Ausnet]:[United Energy]],0))*
INDEX(Input_Usage[[F-PreviousVDO_Input]:[F-NextVDO_Input]],MATCH($L13&amp;" - Balance",Input_Usage[Ref],0),MATCH($D$21,Inputs!$I$134:$O$134,0))),0)+
IFERROR((INDEX(OP_TotalRates_SME_1[[Ausnet]:[United Energy]],MATCH("Single rate",OP_TotalRates_SME_1[Rate name],0),MATCH(Q$24,OP_TotalRates_SME_1[[#Headers],[Ausnet]:[United Energy]],0))*
INDEX(Input_Usage[[F-PreviousVDO_Input]:[F-NextVDO_Input]],MATCH($L13&amp;" - Annual",Input_Usage[Ref],0),MATCH($D$21,Inputs!$I$134:$O$134,0))),0)),0),0,1),
IF(Q13=
ROUNDUP(
(INDEX(OP_TotalRates_SME_1[[Ausnet]:[United Energy]],MATCH("TOU - supply",OP_TotalRates_SME_1[Rate name],0),MATCH(Q$24,OP_TotalRates_SME_1[[#Headers],[Ausnet]:[United Energy]],0))*DiY)+
(INDEX(OP_TotalRates_SME_1[[Ausnet]:[United Energy]],MATCH("Peak",OP_TotalRates_SME_1[Rate name],0),MATCH(Q$24,OP_TotalRates_SME_1[[#Headers],[Ausnet]:[United Energy]],0))*
INDEX(Input_Usage[[F-PreviousVDO_Input]:[F-NextVDO_Input]],MATCH($L13&amp;" - Peak",Input_Usage[Ref],0),MATCH($D$21,Inputs!$I$134:$O$134,0)))+
IFERROR((INDEX(OP_TotalRates_SME_1[[Ausnet]:[United Energy]],MATCH("TOU - Shoulder",OP_TotalRates_SME_1[Rate name],0),MATCH(Q$24,OP_TotalRates_SME_1[[#Headers],[Ausnet]:[United Energy]],0))*
INDEX(Input_Usage[[F-PreviousVDO_Input]:[F-NextVDO_Input]],MATCH($L13&amp;" - Shoulder",Input_Usage[Ref],0),MATCH($D$21,Inputs!$I$134:$O$134,0))),0)+
(INDEX(OP_TotalRates_SME_1[[Ausnet]:[United Energy]],MATCH("Off peak",OP_TotalRates_SME_1[Rate name],0),MATCH(Q$24,OP_TotalRates_SME_1[[#Headers],[Ausnet]:[United Energy]],0))*
INDEX(Input_Usage[[F-PreviousVDO_Input]:[F-NextVDO_Input]],MATCH($L13&amp;" - Off peak",Input_Usage[Ref],0),MATCH($D$21,Inputs!$I$134:$O$134,0))),0),0,1))</f>
        <v>0</v>
      </c>
    </row>
    <row r="18" spans="1:18" x14ac:dyDescent="0.25">
      <c r="E18" s="10"/>
      <c r="F18" s="10"/>
      <c r="G18" s="10"/>
      <c r="H18" s="10"/>
      <c r="I18" s="10"/>
    </row>
    <row r="19" spans="1:18" ht="16.5" thickBot="1" x14ac:dyDescent="0.3">
      <c r="A19" s="1" t="s">
        <v>23</v>
      </c>
      <c r="B19" s="9">
        <f ca="1">MAX(B$3:B18)+0.1</f>
        <v>11.2</v>
      </c>
      <c r="C19" s="28" t="str">
        <f>"CMAB amounts - "&amp;Calc_Rates!$D$254</f>
        <v>CMAB amounts - VDO 2022 - Final</v>
      </c>
      <c r="D19" s="28"/>
      <c r="E19" s="28"/>
      <c r="F19" s="28"/>
      <c r="G19" s="28"/>
      <c r="H19" s="28"/>
      <c r="I19" s="28"/>
      <c r="J19" s="28"/>
      <c r="K19" s="28"/>
      <c r="L19" s="28"/>
      <c r="M19" s="28"/>
      <c r="N19" s="28"/>
      <c r="O19" s="28"/>
      <c r="P19" s="28"/>
      <c r="Q19" s="28"/>
      <c r="R19" s="28"/>
    </row>
    <row r="21" spans="1:18" ht="15.75" x14ac:dyDescent="0.25">
      <c r="C21" s="54" t="s">
        <v>101</v>
      </c>
      <c r="D21" s="41" t="str">
        <f>Calc_Rates!$D$254</f>
        <v>VDO 2022 - Final</v>
      </c>
    </row>
    <row r="23" spans="1:18" ht="15.75" x14ac:dyDescent="0.25">
      <c r="C23" s="29" t="s">
        <v>92</v>
      </c>
      <c r="K23" s="29" t="s">
        <v>93</v>
      </c>
    </row>
    <row r="24" spans="1:18" ht="15.75" x14ac:dyDescent="0.25">
      <c r="C24" s="43" t="s">
        <v>91</v>
      </c>
      <c r="D24" s="43" t="s">
        <v>90</v>
      </c>
      <c r="E24" s="60" t="s">
        <v>268</v>
      </c>
      <c r="F24" s="60" t="s">
        <v>269</v>
      </c>
      <c r="G24" s="60" t="s">
        <v>270</v>
      </c>
      <c r="H24" s="60" t="s">
        <v>271</v>
      </c>
      <c r="I24" s="60" t="s">
        <v>272</v>
      </c>
      <c r="K24" s="43" t="s">
        <v>91</v>
      </c>
      <c r="L24" s="43" t="s">
        <v>90</v>
      </c>
      <c r="M24" s="60" t="s">
        <v>268</v>
      </c>
      <c r="N24" s="60" t="s">
        <v>269</v>
      </c>
      <c r="O24" s="60" t="s">
        <v>270</v>
      </c>
      <c r="P24" s="60" t="s">
        <v>271</v>
      </c>
      <c r="Q24" s="60" t="s">
        <v>272</v>
      </c>
    </row>
    <row r="25" spans="1:18" x14ac:dyDescent="0.25">
      <c r="C25" s="23" t="s">
        <v>92</v>
      </c>
      <c r="D25" s="23" t="s">
        <v>220</v>
      </c>
      <c r="E25" s="120">
        <f>IFERROR(
IF($D$21="VDO 2021 - Final",
ROUNDUP(
(INDEX(OP_TotalRates_RES_2[[Ausnet]:[United Energy]],MATCH("Anytime - supply",OP_TotalRates_RES_2[[Rate name]:[Rate name]],0),MATCH(E$24,OP_TotalRates_RES_2[[#Headers],[Ausnet]:[United Energy]],0))*DiY)+
(IFERROR((INDEX(OP_TotalRates_RES_2[[Ausnet]:[United Energy]],MATCH("Block 1",OP_TotalRates_RES_2[[Rate name]:[Rate name]],0),MATCH(E$24,OP_TotalRates_RES_2[[#Headers],[Ausnet]:[United Energy]],0))*
INDEX(Input_Usage[[F-PreviousVDO_Input]:[F-NextVDO_Input]],MATCH($D25&amp;" - Block 1",Input_Usage[[Ref]:[Ref]],0),MATCH($D$21,Inputs!$I$134:$O$134,0))),0)+
IFERROR((INDEX(OP_TotalRates_RES_2[[Ausnet]:[United Energy]],MATCH("Balance",OP_TotalRates_RES_2[[Rate name]:[Rate name]],0),MATCH(E$24,OP_TotalRates_RES_2[[#Headers],[Ausnet]:[United Energy]],0))*
INDEX(Input_Usage[[F-PreviousVDO_Input]:[F-NextVDO_Input]],MATCH($D25&amp;" - Balance",Input_Usage[[Ref]:[Ref]],0),MATCH($D$21,Inputs!$I$134:$O$134,0))),0)+
IFERROR((INDEX(OP_TotalRates_RES_2[[Ausnet]:[United Energy]],MATCH("Single rate",OP_TotalRates_RES_2[[Rate name]:[Rate name]],0),MATCH(E$24,OP_TotalRates_RES_2[[#Headers],[Ausnet]:[United Energy]],0))*
INDEX(Input_Usage[[F-PreviousVDO_Input]:[F-NextVDO_Input]],MATCH($D25&amp;" - Annual",Input_Usage[[Ref]:[Ref]],0),MATCH($D$21,Inputs!$I$134:$O$134,0))),0)),0),
ROUNDUP(
(INDEX(OP_TotalRates_RES_2[[Ausnet]:[United Energy]],MATCH("TOU - supply",OP_TotalRates_RES_2[[Rate name]:[Rate name]],0),MATCH(E$24,OP_TotalRates_RES_2[[#Headers],[Ausnet]:[United Energy]],0))*DiY)+
(INDEX(OP_TotalRates_RES_2[[Ausnet]:[United Energy]],MATCH("Peak",OP_TotalRates_RES_2[[Rate name]:[Rate name]],0),MATCH(E$24,OP_TotalRates_RES_2[[#Headers],[Ausnet]:[United Energy]],0))*
INDEX(Input_Usage[[F-PreviousVDO_Input]:[F-NextVDO_Input]],MATCH($D25&amp;" - Peak",Input_Usage[[Ref]:[Ref]],0),MATCH($D$21,Inputs!$I$134:$O$134,0)))+
IFERROR((INDEX(OP_TotalRates_RES_2[[Ausnet]:[United Energy]],MATCH("TOU - Shoulder",OP_TotalRates_RES_2[[Rate name]:[Rate name]],0),MATCH(E$24,OP_TotalRates_RES_2[[#Headers],[Ausnet]:[United Energy]],0))*
INDEX(Input_Usage[[F-PreviousVDO_Input]:[F-NextVDO_Input]],MATCH($D25&amp;" - Shoulder",Input_Usage[[Ref]:[Ref]],0),MATCH($D$21,Inputs!$I$134:$O$134,0))),0)+
(INDEX(OP_TotalRates_RES_2[[Ausnet]:[United Energy]],MATCH("Off peak",OP_TotalRates_RES_2[[Rate name]:[Rate name]],0),MATCH(E$24,OP_TotalRates_RES_2[[#Headers],[Ausnet]:[United Energy]],0))*
INDEX(Input_Usage[[F-PreviousVDO_Input]:[F-NextVDO_Input]],MATCH($D25&amp;" - Off peak",Input_Usage[[Ref]:[Ref]],0),MATCH($D$21,Inputs!$I$134:$O$134,0))),0)),"-")</f>
        <v>915</v>
      </c>
      <c r="F25" s="120">
        <f>IFERROR(
IF($D$21="VDO 2021 - Final",
ROUNDUP(
(INDEX(OP_TotalRates_RES_2[[Ausnet]:[United Energy]],MATCH("Anytime - supply",OP_TotalRates_RES_2[[Rate name]:[Rate name]],0),MATCH(F$24,OP_TotalRates_RES_2[[#Headers],[Ausnet]:[United Energy]],0))*DiY)+
(IFERROR((INDEX(OP_TotalRates_RES_2[[Ausnet]:[United Energy]],MATCH("Block 1",OP_TotalRates_RES_2[[Rate name]:[Rate name]],0),MATCH(F$24,OP_TotalRates_RES_2[[#Headers],[Ausnet]:[United Energy]],0))*
INDEX(Input_Usage[[F-PreviousVDO_Input]:[F-NextVDO_Input]],MATCH($D25&amp;" - Block 1",Input_Usage[[Ref]:[Ref]],0),MATCH($D$21,Inputs!$I$134:$O$134,0))),0)+
IFERROR((INDEX(OP_TotalRates_RES_2[[Ausnet]:[United Energy]],MATCH("Balance",OP_TotalRates_RES_2[[Rate name]:[Rate name]],0),MATCH(F$24,OP_TotalRates_RES_2[[#Headers],[Ausnet]:[United Energy]],0))*
INDEX(Input_Usage[[F-PreviousVDO_Input]:[F-NextVDO_Input]],MATCH($D25&amp;" - Balance",Input_Usage[[Ref]:[Ref]],0),MATCH($D$21,Inputs!$I$134:$O$134,0))),0)+
IFERROR((INDEX(OP_TotalRates_RES_2[[Ausnet]:[United Energy]],MATCH("Single rate",OP_TotalRates_RES_2[[Rate name]:[Rate name]],0),MATCH(F$24,OP_TotalRates_RES_2[[#Headers],[Ausnet]:[United Energy]],0))*
INDEX(Input_Usage[[F-PreviousVDO_Input]:[F-NextVDO_Input]],MATCH($D25&amp;" - Annual",Input_Usage[[Ref]:[Ref]],0),MATCH($D$21,Inputs!$I$134:$O$134,0))),0)),0),
ROUNDUP(
(INDEX(OP_TotalRates_RES_2[[Ausnet]:[United Energy]],MATCH("TOU - supply",OP_TotalRates_RES_2[[Rate name]:[Rate name]],0),MATCH(F$24,OP_TotalRates_RES_2[[#Headers],[Ausnet]:[United Energy]],0))*DiY)+
(INDEX(OP_TotalRates_RES_2[[Ausnet]:[United Energy]],MATCH("Peak",OP_TotalRates_RES_2[[Rate name]:[Rate name]],0),MATCH(F$24,OP_TotalRates_RES_2[[#Headers],[Ausnet]:[United Energy]],0))*
INDEX(Input_Usage[[F-PreviousVDO_Input]:[F-NextVDO_Input]],MATCH($D25&amp;" - Peak",Input_Usage[[Ref]:[Ref]],0),MATCH($D$21,Inputs!$I$134:$O$134,0)))+
IFERROR((INDEX(OP_TotalRates_RES_2[[Ausnet]:[United Energy]],MATCH("TOU - Shoulder",OP_TotalRates_RES_2[[Rate name]:[Rate name]],0),MATCH(F$24,OP_TotalRates_RES_2[[#Headers],[Ausnet]:[United Energy]],0))*
INDEX(Input_Usage[[F-PreviousVDO_Input]:[F-NextVDO_Input]],MATCH($D25&amp;" - Shoulder",Input_Usage[[Ref]:[Ref]],0),MATCH($D$21,Inputs!$I$134:$O$134,0))),0)+
(INDEX(OP_TotalRates_RES_2[[Ausnet]:[United Energy]],MATCH("Off peak",OP_TotalRates_RES_2[[Rate name]:[Rate name]],0),MATCH(F$24,OP_TotalRates_RES_2[[#Headers],[Ausnet]:[United Energy]],0))*
INDEX(Input_Usage[[F-PreviousVDO_Input]:[F-NextVDO_Input]],MATCH($D25&amp;" - Off peak",Input_Usage[[Ref]:[Ref]],0),MATCH($D$21,Inputs!$I$134:$O$134,0))),0)),"-")</f>
        <v>868</v>
      </c>
      <c r="G25" s="120">
        <f>IFERROR(
IF($D$21="VDO 2021 - Final",
ROUNDUP(
(INDEX(OP_TotalRates_RES_2[[Ausnet]:[United Energy]],MATCH("Anytime - supply",OP_TotalRates_RES_2[[Rate name]:[Rate name]],0),MATCH(G$24,OP_TotalRates_RES_2[[#Headers],[Ausnet]:[United Energy]],0))*DiY)+
(IFERROR((INDEX(OP_TotalRates_RES_2[[Ausnet]:[United Energy]],MATCH("Block 1",OP_TotalRates_RES_2[[Rate name]:[Rate name]],0),MATCH(G$24,OP_TotalRates_RES_2[[#Headers],[Ausnet]:[United Energy]],0))*
INDEX(Input_Usage[[F-PreviousVDO_Input]:[F-NextVDO_Input]],MATCH($D25&amp;" - Block 1",Input_Usage[[Ref]:[Ref]],0),MATCH($D$21,Inputs!$I$134:$O$134,0))),0)+
IFERROR((INDEX(OP_TotalRates_RES_2[[Ausnet]:[United Energy]],MATCH("Balance",OP_TotalRates_RES_2[[Rate name]:[Rate name]],0),MATCH(G$24,OP_TotalRates_RES_2[[#Headers],[Ausnet]:[United Energy]],0))*
INDEX(Input_Usage[[F-PreviousVDO_Input]:[F-NextVDO_Input]],MATCH($D25&amp;" - Balance",Input_Usage[[Ref]:[Ref]],0),MATCH($D$21,Inputs!$I$134:$O$134,0))),0)+
IFERROR((INDEX(OP_TotalRates_RES_2[[Ausnet]:[United Energy]],MATCH("Single rate",OP_TotalRates_RES_2[[Rate name]:[Rate name]],0),MATCH(G$24,OP_TotalRates_RES_2[[#Headers],[Ausnet]:[United Energy]],0))*
INDEX(Input_Usage[[F-PreviousVDO_Input]:[F-NextVDO_Input]],MATCH($D25&amp;" - Annual",Input_Usage[[Ref]:[Ref]],0),MATCH($D$21,Inputs!$I$134:$O$134,0))),0)),0),
ROUNDUP(
(INDEX(OP_TotalRates_RES_2[[Ausnet]:[United Energy]],MATCH("TOU - supply",OP_TotalRates_RES_2[[Rate name]:[Rate name]],0),MATCH(G$24,OP_TotalRates_RES_2[[#Headers],[Ausnet]:[United Energy]],0))*DiY)+
(INDEX(OP_TotalRates_RES_2[[Ausnet]:[United Energy]],MATCH("Peak",OP_TotalRates_RES_2[[Rate name]:[Rate name]],0),MATCH(G$24,OP_TotalRates_RES_2[[#Headers],[Ausnet]:[United Energy]],0))*
INDEX(Input_Usage[[F-PreviousVDO_Input]:[F-NextVDO_Input]],MATCH($D25&amp;" - Peak",Input_Usage[[Ref]:[Ref]],0),MATCH($D$21,Inputs!$I$134:$O$134,0)))+
IFERROR((INDEX(OP_TotalRates_RES_2[[Ausnet]:[United Energy]],MATCH("TOU - Shoulder",OP_TotalRates_RES_2[[Rate name]:[Rate name]],0),MATCH(G$24,OP_TotalRates_RES_2[[#Headers],[Ausnet]:[United Energy]],0))*
INDEX(Input_Usage[[F-PreviousVDO_Input]:[F-NextVDO_Input]],MATCH($D25&amp;" - Shoulder",Input_Usage[[Ref]:[Ref]],0),MATCH($D$21,Inputs!$I$134:$O$134,0))),0)+
(INDEX(OP_TotalRates_RES_2[[Ausnet]:[United Energy]],MATCH("Off peak",OP_TotalRates_RES_2[[Rate name]:[Rate name]],0),MATCH(G$24,OP_TotalRates_RES_2[[#Headers],[Ausnet]:[United Energy]],0))*
INDEX(Input_Usage[[F-PreviousVDO_Input]:[F-NextVDO_Input]],MATCH($D25&amp;" - Off peak",Input_Usage[[Ref]:[Ref]],0),MATCH($D$21,Inputs!$I$134:$O$134,0))),0)),"-")</f>
        <v>808</v>
      </c>
      <c r="H25" s="120">
        <f>IFERROR(
IF($D$21="VDO 2021 - Final",
ROUNDUP(
(INDEX(OP_TotalRates_RES_2[[Ausnet]:[United Energy]],MATCH("Anytime - supply",OP_TotalRates_RES_2[[Rate name]:[Rate name]],0),MATCH(H$24,OP_TotalRates_RES_2[[#Headers],[Ausnet]:[United Energy]],0))*DiY)+
(IFERROR((INDEX(OP_TotalRates_RES_2[[Ausnet]:[United Energy]],MATCH("Block 1",OP_TotalRates_RES_2[[Rate name]:[Rate name]],0),MATCH(H$24,OP_TotalRates_RES_2[[#Headers],[Ausnet]:[United Energy]],0))*
INDEX(Input_Usage[[F-PreviousVDO_Input]:[F-NextVDO_Input]],MATCH($D25&amp;" - Block 1",Input_Usage[[Ref]:[Ref]],0),MATCH($D$21,Inputs!$I$134:$O$134,0))),0)+
IFERROR((INDEX(OP_TotalRates_RES_2[[Ausnet]:[United Energy]],MATCH("Balance",OP_TotalRates_RES_2[[Rate name]:[Rate name]],0),MATCH(H$24,OP_TotalRates_RES_2[[#Headers],[Ausnet]:[United Energy]],0))*
INDEX(Input_Usage[[F-PreviousVDO_Input]:[F-NextVDO_Input]],MATCH($D25&amp;" - Balance",Input_Usage[[Ref]:[Ref]],0),MATCH($D$21,Inputs!$I$134:$O$134,0))),0)+
IFERROR((INDEX(OP_TotalRates_RES_2[[Ausnet]:[United Energy]],MATCH("Single rate",OP_TotalRates_RES_2[[Rate name]:[Rate name]],0),MATCH(H$24,OP_TotalRates_RES_2[[#Headers],[Ausnet]:[United Energy]],0))*
INDEX(Input_Usage[[F-PreviousVDO_Input]:[F-NextVDO_Input]],MATCH($D25&amp;" - Annual",Input_Usage[[Ref]:[Ref]],0),MATCH($D$21,Inputs!$I$134:$O$134,0))),0)),0),
ROUNDUP(
(INDEX(OP_TotalRates_RES_2[[Ausnet]:[United Energy]],MATCH("TOU - supply",OP_TotalRates_RES_2[[Rate name]:[Rate name]],0),MATCH(H$24,OP_TotalRates_RES_2[[#Headers],[Ausnet]:[United Energy]],0))*DiY)+
(INDEX(OP_TotalRates_RES_2[[Ausnet]:[United Energy]],MATCH("Peak",OP_TotalRates_RES_2[[Rate name]:[Rate name]],0),MATCH(H$24,OP_TotalRates_RES_2[[#Headers],[Ausnet]:[United Energy]],0))*
INDEX(Input_Usage[[F-PreviousVDO_Input]:[F-NextVDO_Input]],MATCH($D25&amp;" - Peak",Input_Usage[[Ref]:[Ref]],0),MATCH($D$21,Inputs!$I$134:$O$134,0)))+
IFERROR((INDEX(OP_TotalRates_RES_2[[Ausnet]:[United Energy]],MATCH("TOU - Shoulder",OP_TotalRates_RES_2[[Rate name]:[Rate name]],0),MATCH(H$24,OP_TotalRates_RES_2[[#Headers],[Ausnet]:[United Energy]],0))*
INDEX(Input_Usage[[F-PreviousVDO_Input]:[F-NextVDO_Input]],MATCH($D25&amp;" - Shoulder",Input_Usage[[Ref]:[Ref]],0),MATCH($D$21,Inputs!$I$134:$O$134,0))),0)+
(INDEX(OP_TotalRates_RES_2[[Ausnet]:[United Energy]],MATCH("Off peak",OP_TotalRates_RES_2[[Rate name]:[Rate name]],0),MATCH(H$24,OP_TotalRates_RES_2[[#Headers],[Ausnet]:[United Energy]],0))*
INDEX(Input_Usage[[F-PreviousVDO_Input]:[F-NextVDO_Input]],MATCH($D25&amp;" - Off peak",Input_Usage[[Ref]:[Ref]],0),MATCH($D$21,Inputs!$I$134:$O$134,0))),0)),"-")</f>
        <v>927</v>
      </c>
      <c r="I25" s="120">
        <f>IFERROR(
IF($D$21="VDO 2021 - Final",
ROUNDUP(
(INDEX(OP_TotalRates_RES_2[[Ausnet]:[United Energy]],MATCH("Anytime - supply",OP_TotalRates_RES_2[[Rate name]:[Rate name]],0),MATCH(I$24,OP_TotalRates_RES_2[[#Headers],[Ausnet]:[United Energy]],0))*DiY)+
(IFERROR((INDEX(OP_TotalRates_RES_2[[Ausnet]:[United Energy]],MATCH("Block 1",OP_TotalRates_RES_2[[Rate name]:[Rate name]],0),MATCH(I$24,OP_TotalRates_RES_2[[#Headers],[Ausnet]:[United Energy]],0))*
INDEX(Input_Usage[[F-PreviousVDO_Input]:[F-NextVDO_Input]],MATCH($D25&amp;" - Block 1",Input_Usage[[Ref]:[Ref]],0),MATCH($D$21,Inputs!$I$134:$O$134,0))),0)+
IFERROR((INDEX(OP_TotalRates_RES_2[[Ausnet]:[United Energy]],MATCH("Balance",OP_TotalRates_RES_2[[Rate name]:[Rate name]],0),MATCH(I$24,OP_TotalRates_RES_2[[#Headers],[Ausnet]:[United Energy]],0))*
INDEX(Input_Usage[[F-PreviousVDO_Input]:[F-NextVDO_Input]],MATCH($D25&amp;" - Balance",Input_Usage[[Ref]:[Ref]],0),MATCH($D$21,Inputs!$I$134:$O$134,0))),0)+
IFERROR((INDEX(OP_TotalRates_RES_2[[Ausnet]:[United Energy]],MATCH("Single rate",OP_TotalRates_RES_2[[Rate name]:[Rate name]],0),MATCH(I$24,OP_TotalRates_RES_2[[#Headers],[Ausnet]:[United Energy]],0))*
INDEX(Input_Usage[[F-PreviousVDO_Input]:[F-NextVDO_Input]],MATCH($D25&amp;" - Annual",Input_Usage[[Ref]:[Ref]],0),MATCH($D$21,Inputs!$I$134:$O$134,0))),0)),0),
ROUNDUP(
(INDEX(OP_TotalRates_RES_2[[Ausnet]:[United Energy]],MATCH("TOU - supply",OP_TotalRates_RES_2[[Rate name]:[Rate name]],0),MATCH(I$24,OP_TotalRates_RES_2[[#Headers],[Ausnet]:[United Energy]],0))*DiY)+
(INDEX(OP_TotalRates_RES_2[[Ausnet]:[United Energy]],MATCH("Peak",OP_TotalRates_RES_2[[Rate name]:[Rate name]],0),MATCH(I$24,OP_TotalRates_RES_2[[#Headers],[Ausnet]:[United Energy]],0))*
INDEX(Input_Usage[[F-PreviousVDO_Input]:[F-NextVDO_Input]],MATCH($D25&amp;" - Peak",Input_Usage[[Ref]:[Ref]],0),MATCH($D$21,Inputs!$I$134:$O$134,0)))+
IFERROR((INDEX(OP_TotalRates_RES_2[[Ausnet]:[United Energy]],MATCH("TOU - Shoulder",OP_TotalRates_RES_2[[Rate name]:[Rate name]],0),MATCH(I$24,OP_TotalRates_RES_2[[#Headers],[Ausnet]:[United Energy]],0))*
INDEX(Input_Usage[[F-PreviousVDO_Input]:[F-NextVDO_Input]],MATCH($D25&amp;" - Shoulder",Input_Usage[[Ref]:[Ref]],0),MATCH($D$21,Inputs!$I$134:$O$134,0))),0)+
(INDEX(OP_TotalRates_RES_2[[Ausnet]:[United Energy]],MATCH("Off peak",OP_TotalRates_RES_2[[Rate name]:[Rate name]],0),MATCH(I$24,OP_TotalRates_RES_2[[#Headers],[Ausnet]:[United Energy]],0))*
INDEX(Input_Usage[[F-PreviousVDO_Input]:[F-NextVDO_Input]],MATCH($D25&amp;" - Off peak",Input_Usage[[Ref]:[Ref]],0),MATCH($D$21,Inputs!$I$134:$O$134,0))),0)),"-")</f>
        <v>831</v>
      </c>
      <c r="K25" s="23" t="s">
        <v>93</v>
      </c>
      <c r="L25" s="23" t="s">
        <v>225</v>
      </c>
      <c r="M25" s="120">
        <f>IFERROR(
IF($D$21="VDO 2021 - Final",
ROUNDUP(
(INDEX(OP_TotalRates_SME_2[[Ausnet]:[United Energy]],MATCH("Anytime - supply",OP_TotalRates_SME_2[[Rate name]:[Rate name]],0),MATCH(M$24,OP_TotalRates_SME_2[[#Headers],[Ausnet]:[United Energy]],0))*DiY)+
(IFERROR((INDEX(OP_TotalRates_SME_2[[Ausnet]:[United Energy]],MATCH("Block 1",OP_TotalRates_SME_2[[Rate name]:[Rate name]],0),MATCH(M$24,OP_TotalRates_SME_2[[#Headers],[Ausnet]:[United Energy]],0))*
INDEX(Input_Usage[[F-PreviousVDO_Input]:[F-NextVDO_Input]],MATCH($L25&amp;" - Block 1",Input_Usage[[Ref]:[Ref]],0),MATCH($D$21,Inputs!$I$134:$O$134,0))),0)+
IFERROR((INDEX(OP_TotalRates_SME_2[[Ausnet]:[United Energy]],MATCH("Balance",OP_TotalRates_SME_2[[Rate name]:[Rate name]],0),MATCH(M$24,OP_TotalRates_SME_2[[#Headers],[Ausnet]:[United Energy]],0))*
INDEX(Input_Usage[[F-PreviousVDO_Input]:[F-NextVDO_Input]],MATCH($L25&amp;" - Balance",Input_Usage[[Ref]:[Ref]],0),MATCH($D$21,Inputs!$I$134:$O$134,0))),0)+
IFERROR((INDEX(OP_TotalRates_SME_2[[Ausnet]:[United Energy]],MATCH("Single rate",OP_TotalRates_SME_2[[Rate name]:[Rate name]],0),MATCH(M$24,OP_TotalRates_SME_2[[#Headers],[Ausnet]:[United Energy]],0))*
INDEX(Input_Usage[[F-PreviousVDO_Input]:[F-NextVDO_Input]],MATCH($L25&amp;" - Annual",Input_Usage[[Ref]:[Ref]],0),MATCH($D$21,Inputs!$I$134:$O$134,0))),0)),0),
ROUNDUP(
(INDEX(OP_TotalRates_SME_2[[Ausnet]:[United Energy]],MATCH("TOU - supply",OP_TotalRates_SME_2[[Rate name]:[Rate name]],0),MATCH(M$24,OP_TotalRates_SME_2[[#Headers],[Ausnet]:[United Energy]],0))*DiY)+
(INDEX(OP_TotalRates_SME_2[[Ausnet]:[United Energy]],MATCH("Peak",OP_TotalRates_SME_2[[Rate name]:[Rate name]],0),MATCH(M$24,OP_TotalRates_SME_2[[#Headers],[Ausnet]:[United Energy]],0))*
INDEX(Input_Usage[[F-PreviousVDO_Input]:[F-NextVDO_Input]],MATCH($L25&amp;" - Peak",Input_Usage[[Ref]:[Ref]],0),MATCH($D$21,Inputs!$I$134:$O$134,0)))+
IFERROR((INDEX(OP_TotalRates_SME_2[[Ausnet]:[United Energy]],MATCH("TOU - Shoulder",OP_TotalRates_SME_2[[Rate name]:[Rate name]],0),MATCH(M$24,OP_TotalRates_SME_2[[#Headers],[Ausnet]:[United Energy]],0))*
INDEX(Input_Usage[[F-PreviousVDO_Input]:[F-NextVDO_Input]],MATCH($L25&amp;" - Shoulder",Input_Usage[[Ref]:[Ref]],0),MATCH($D$21,Inputs!$I$134:$O$134,0))),0)+
(INDEX(OP_TotalRates_SME_2[[Ausnet]:[United Energy]],MATCH("Off peak",OP_TotalRates_SME_2[[Rate name]:[Rate name]],0),MATCH(M$24,OP_TotalRates_SME_2[[#Headers],[Ausnet]:[United Energy]],0))*
INDEX(Input_Usage[[F-PreviousVDO_Input]:[F-NextVDO_Input]],MATCH($L25&amp;" - Off peak",Input_Usage[[Ref]:[Ref]],0),MATCH($D$21,Inputs!$I$134:$O$134,0))),0)),"-")</f>
        <v>3266</v>
      </c>
      <c r="N25" s="120">
        <f>IFERROR(
IF($D$21="VDO 2021 - Final",
ROUNDUP(
(INDEX(OP_TotalRates_SME_2[[Ausnet]:[United Energy]],MATCH("Anytime - supply",OP_TotalRates_SME_2[[Rate name]:[Rate name]],0),MATCH(N$24,OP_TotalRates_SME_2[[#Headers],[Ausnet]:[United Energy]],0))*DiY)+
(IFERROR((INDEX(OP_TotalRates_SME_2[[Ausnet]:[United Energy]],MATCH("Block 1",OP_TotalRates_SME_2[[Rate name]:[Rate name]],0),MATCH(N$24,OP_TotalRates_SME_2[[#Headers],[Ausnet]:[United Energy]],0))*
INDEX(Input_Usage[[F-PreviousVDO_Input]:[F-NextVDO_Input]],MATCH($L25&amp;" - Block 1",Input_Usage[[Ref]:[Ref]],0),MATCH($D$21,Inputs!$I$134:$O$134,0))),0)+
IFERROR((INDEX(OP_TotalRates_SME_2[[Ausnet]:[United Energy]],MATCH("Balance",OP_TotalRates_SME_2[[Rate name]:[Rate name]],0),MATCH(N$24,OP_TotalRates_SME_2[[#Headers],[Ausnet]:[United Energy]],0))*
INDEX(Input_Usage[[F-PreviousVDO_Input]:[F-NextVDO_Input]],MATCH($L25&amp;" - Balance",Input_Usage[[Ref]:[Ref]],0),MATCH($D$21,Inputs!$I$134:$O$134,0))),0)+
IFERROR((INDEX(OP_TotalRates_SME_2[[Ausnet]:[United Energy]],MATCH("Single rate",OP_TotalRates_SME_2[[Rate name]:[Rate name]],0),MATCH(N$24,OP_TotalRates_SME_2[[#Headers],[Ausnet]:[United Energy]],0))*
INDEX(Input_Usage[[F-PreviousVDO_Input]:[F-NextVDO_Input]],MATCH($L25&amp;" - Annual",Input_Usage[[Ref]:[Ref]],0),MATCH($D$21,Inputs!$I$134:$O$134,0))),0)),0),
ROUNDUP(
(INDEX(OP_TotalRates_SME_2[[Ausnet]:[United Energy]],MATCH("TOU - supply",OP_TotalRates_SME_2[[Rate name]:[Rate name]],0),MATCH(N$24,OP_TotalRates_SME_2[[#Headers],[Ausnet]:[United Energy]],0))*DiY)+
(INDEX(OP_TotalRates_SME_2[[Ausnet]:[United Energy]],MATCH("Peak",OP_TotalRates_SME_2[[Rate name]:[Rate name]],0),MATCH(N$24,OP_TotalRates_SME_2[[#Headers],[Ausnet]:[United Energy]],0))*
INDEX(Input_Usage[[F-PreviousVDO_Input]:[F-NextVDO_Input]],MATCH($L25&amp;" - Peak",Input_Usage[[Ref]:[Ref]],0),MATCH($D$21,Inputs!$I$134:$O$134,0)))+
IFERROR((INDEX(OP_TotalRates_SME_2[[Ausnet]:[United Energy]],MATCH("TOU - Shoulder",OP_TotalRates_SME_2[[Rate name]:[Rate name]],0),MATCH(N$24,OP_TotalRates_SME_2[[#Headers],[Ausnet]:[United Energy]],0))*
INDEX(Input_Usage[[F-PreviousVDO_Input]:[F-NextVDO_Input]],MATCH($L25&amp;" - Shoulder",Input_Usage[[Ref]:[Ref]],0),MATCH($D$21,Inputs!$I$134:$O$134,0))),0)+
(INDEX(OP_TotalRates_SME_2[[Ausnet]:[United Energy]],MATCH("Off peak",OP_TotalRates_SME_2[[Rate name]:[Rate name]],0),MATCH(N$24,OP_TotalRates_SME_2[[#Headers],[Ausnet]:[United Energy]],0))*
INDEX(Input_Usage[[F-PreviousVDO_Input]:[F-NextVDO_Input]],MATCH($L25&amp;" - Off peak",Input_Usage[[Ref]:[Ref]],0),MATCH($D$21,Inputs!$I$134:$O$134,0))),0)),"-")</f>
        <v>3015</v>
      </c>
      <c r="O25" s="120">
        <f>IFERROR(
IF($D$21="VDO 2021 - Final",
ROUNDUP(
(INDEX(OP_TotalRates_SME_2[[Ausnet]:[United Energy]],MATCH("Anytime - supply",OP_TotalRates_SME_2[[Rate name]:[Rate name]],0),MATCH(O$24,OP_TotalRates_SME_2[[#Headers],[Ausnet]:[United Energy]],0))*DiY)+
(IFERROR((INDEX(OP_TotalRates_SME_2[[Ausnet]:[United Energy]],MATCH("Block 1",OP_TotalRates_SME_2[[Rate name]:[Rate name]],0),MATCH(O$24,OP_TotalRates_SME_2[[#Headers],[Ausnet]:[United Energy]],0))*
INDEX(Input_Usage[[F-PreviousVDO_Input]:[F-NextVDO_Input]],MATCH($L25&amp;" - Block 1",Input_Usage[[Ref]:[Ref]],0),MATCH($D$21,Inputs!$I$134:$O$134,0))),0)+
IFERROR((INDEX(OP_TotalRates_SME_2[[Ausnet]:[United Energy]],MATCH("Balance",OP_TotalRates_SME_2[[Rate name]:[Rate name]],0),MATCH(O$24,OP_TotalRates_SME_2[[#Headers],[Ausnet]:[United Energy]],0))*
INDEX(Input_Usage[[F-PreviousVDO_Input]:[F-NextVDO_Input]],MATCH($L25&amp;" - Balance",Input_Usage[[Ref]:[Ref]],0),MATCH($D$21,Inputs!$I$134:$O$134,0))),0)+
IFERROR((INDEX(OP_TotalRates_SME_2[[Ausnet]:[United Energy]],MATCH("Single rate",OP_TotalRates_SME_2[[Rate name]:[Rate name]],0),MATCH(O$24,OP_TotalRates_SME_2[[#Headers],[Ausnet]:[United Energy]],0))*
INDEX(Input_Usage[[F-PreviousVDO_Input]:[F-NextVDO_Input]],MATCH($L25&amp;" - Annual",Input_Usage[[Ref]:[Ref]],0),MATCH($D$21,Inputs!$I$134:$O$134,0))),0)),0),
ROUNDUP(
(INDEX(OP_TotalRates_SME_2[[Ausnet]:[United Energy]],MATCH("TOU - supply",OP_TotalRates_SME_2[[Rate name]:[Rate name]],0),MATCH(O$24,OP_TotalRates_SME_2[[#Headers],[Ausnet]:[United Energy]],0))*DiY)+
(INDEX(OP_TotalRates_SME_2[[Ausnet]:[United Energy]],MATCH("Peak",OP_TotalRates_SME_2[[Rate name]:[Rate name]],0),MATCH(O$24,OP_TotalRates_SME_2[[#Headers],[Ausnet]:[United Energy]],0))*
INDEX(Input_Usage[[F-PreviousVDO_Input]:[F-NextVDO_Input]],MATCH($L25&amp;" - Peak",Input_Usage[[Ref]:[Ref]],0),MATCH($D$21,Inputs!$I$134:$O$134,0)))+
IFERROR((INDEX(OP_TotalRates_SME_2[[Ausnet]:[United Energy]],MATCH("TOU - Shoulder",OP_TotalRates_SME_2[[Rate name]:[Rate name]],0),MATCH(O$24,OP_TotalRates_SME_2[[#Headers],[Ausnet]:[United Energy]],0))*
INDEX(Input_Usage[[F-PreviousVDO_Input]:[F-NextVDO_Input]],MATCH($L25&amp;" - Shoulder",Input_Usage[[Ref]:[Ref]],0),MATCH($D$21,Inputs!$I$134:$O$134,0))),0)+
(INDEX(OP_TotalRates_SME_2[[Ausnet]:[United Energy]],MATCH("Off peak",OP_TotalRates_SME_2[[Rate name]:[Rate name]],0),MATCH(O$24,OP_TotalRates_SME_2[[#Headers],[Ausnet]:[United Energy]],0))*
INDEX(Input_Usage[[F-PreviousVDO_Input]:[F-NextVDO_Input]],MATCH($L25&amp;" - Off peak",Input_Usage[[Ref]:[Ref]],0),MATCH($D$21,Inputs!$I$134:$O$134,0))),0)),"-")</f>
        <v>3212</v>
      </c>
      <c r="P25" s="120">
        <f>IFERROR(
IF($D$21="VDO 2021 - Final",
ROUNDUP(
(INDEX(OP_TotalRates_SME_2[[Ausnet]:[United Energy]],MATCH("Anytime - supply",OP_TotalRates_SME_2[[Rate name]:[Rate name]],0),MATCH(P$24,OP_TotalRates_SME_2[[#Headers],[Ausnet]:[United Energy]],0))*DiY)+
(IFERROR((INDEX(OP_TotalRates_SME_2[[Ausnet]:[United Energy]],MATCH("Block 1",OP_TotalRates_SME_2[[Rate name]:[Rate name]],0),MATCH(P$24,OP_TotalRates_SME_2[[#Headers],[Ausnet]:[United Energy]],0))*
INDEX(Input_Usage[[F-PreviousVDO_Input]:[F-NextVDO_Input]],MATCH($L25&amp;" - Block 1",Input_Usage[[Ref]:[Ref]],0),MATCH($D$21,Inputs!$I$134:$O$134,0))),0)+
IFERROR((INDEX(OP_TotalRates_SME_2[[Ausnet]:[United Energy]],MATCH("Balance",OP_TotalRates_SME_2[[Rate name]:[Rate name]],0),MATCH(P$24,OP_TotalRates_SME_2[[#Headers],[Ausnet]:[United Energy]],0))*
INDEX(Input_Usage[[F-PreviousVDO_Input]:[F-NextVDO_Input]],MATCH($L25&amp;" - Balance",Input_Usage[[Ref]:[Ref]],0),MATCH($D$21,Inputs!$I$134:$O$134,0))),0)+
IFERROR((INDEX(OP_TotalRates_SME_2[[Ausnet]:[United Energy]],MATCH("Single rate",OP_TotalRates_SME_2[[Rate name]:[Rate name]],0),MATCH(P$24,OP_TotalRates_SME_2[[#Headers],[Ausnet]:[United Energy]],0))*
INDEX(Input_Usage[[F-PreviousVDO_Input]:[F-NextVDO_Input]],MATCH($L25&amp;" - Annual",Input_Usage[[Ref]:[Ref]],0),MATCH($D$21,Inputs!$I$134:$O$134,0))),0)),0),
ROUNDUP(
(INDEX(OP_TotalRates_SME_2[[Ausnet]:[United Energy]],MATCH("TOU - supply",OP_TotalRates_SME_2[[Rate name]:[Rate name]],0),MATCH(P$24,OP_TotalRates_SME_2[[#Headers],[Ausnet]:[United Energy]],0))*DiY)+
(INDEX(OP_TotalRates_SME_2[[Ausnet]:[United Energy]],MATCH("Peak",OP_TotalRates_SME_2[[Rate name]:[Rate name]],0),MATCH(P$24,OP_TotalRates_SME_2[[#Headers],[Ausnet]:[United Energy]],0))*
INDEX(Input_Usage[[F-PreviousVDO_Input]:[F-NextVDO_Input]],MATCH($L25&amp;" - Peak",Input_Usage[[Ref]:[Ref]],0),MATCH($D$21,Inputs!$I$134:$O$134,0)))+
IFERROR((INDEX(OP_TotalRates_SME_2[[Ausnet]:[United Energy]],MATCH("TOU - Shoulder",OP_TotalRates_SME_2[[Rate name]:[Rate name]],0),MATCH(P$24,OP_TotalRates_SME_2[[#Headers],[Ausnet]:[United Energy]],0))*
INDEX(Input_Usage[[F-PreviousVDO_Input]:[F-NextVDO_Input]],MATCH($L25&amp;" - Shoulder",Input_Usage[[Ref]:[Ref]],0),MATCH($D$21,Inputs!$I$134:$O$134,0))),0)+
(INDEX(OP_TotalRates_SME_2[[Ausnet]:[United Energy]],MATCH("Off peak",OP_TotalRates_SME_2[[Rate name]:[Rate name]],0),MATCH(P$24,OP_TotalRates_SME_2[[#Headers],[Ausnet]:[United Energy]],0))*
INDEX(Input_Usage[[F-PreviousVDO_Input]:[F-NextVDO_Input]],MATCH($L25&amp;" - Off peak",Input_Usage[[Ref]:[Ref]],0),MATCH($D$21,Inputs!$I$134:$O$134,0))),0)),"-")</f>
        <v>3175</v>
      </c>
      <c r="Q25" s="120">
        <f>IFERROR(
IF($D$21="VDO 2021 - Final",
ROUNDUP(
(INDEX(OP_TotalRates_SME_2[[Ausnet]:[United Energy]],MATCH("Anytime - supply",OP_TotalRates_SME_2[[Rate name]:[Rate name]],0),MATCH(Q$24,OP_TotalRates_SME_2[[#Headers],[Ausnet]:[United Energy]],0))*DiY)+
(IFERROR((INDEX(OP_TotalRates_SME_2[[Ausnet]:[United Energy]],MATCH("Block 1",OP_TotalRates_SME_2[[Rate name]:[Rate name]],0),MATCH(Q$24,OP_TotalRates_SME_2[[#Headers],[Ausnet]:[United Energy]],0))*
INDEX(Input_Usage[[F-PreviousVDO_Input]:[F-NextVDO_Input]],MATCH($L25&amp;" - Block 1",Input_Usage[[Ref]:[Ref]],0),MATCH($D$21,Inputs!$I$134:$O$134,0))),0)+
IFERROR((INDEX(OP_TotalRates_SME_2[[Ausnet]:[United Energy]],MATCH("Balance",OP_TotalRates_SME_2[[Rate name]:[Rate name]],0),MATCH(Q$24,OP_TotalRates_SME_2[[#Headers],[Ausnet]:[United Energy]],0))*
INDEX(Input_Usage[[F-PreviousVDO_Input]:[F-NextVDO_Input]],MATCH($L25&amp;" - Balance",Input_Usage[[Ref]:[Ref]],0),MATCH($D$21,Inputs!$I$134:$O$134,0))),0)+
IFERROR((INDEX(OP_TotalRates_SME_2[[Ausnet]:[United Energy]],MATCH("Single rate",OP_TotalRates_SME_2[[Rate name]:[Rate name]],0),MATCH(Q$24,OP_TotalRates_SME_2[[#Headers],[Ausnet]:[United Energy]],0))*
INDEX(Input_Usage[[F-PreviousVDO_Input]:[F-NextVDO_Input]],MATCH($L25&amp;" - Annual",Input_Usage[[Ref]:[Ref]],0),MATCH($D$21,Inputs!$I$134:$O$134,0))),0)),0),
ROUNDUP(
(INDEX(OP_TotalRates_SME_2[[Ausnet]:[United Energy]],MATCH("TOU - supply",OP_TotalRates_SME_2[[Rate name]:[Rate name]],0),MATCH(Q$24,OP_TotalRates_SME_2[[#Headers],[Ausnet]:[United Energy]],0))*DiY)+
(INDEX(OP_TotalRates_SME_2[[Ausnet]:[United Energy]],MATCH("Peak",OP_TotalRates_SME_2[[Rate name]:[Rate name]],0),MATCH(Q$24,OP_TotalRates_SME_2[[#Headers],[Ausnet]:[United Energy]],0))*
INDEX(Input_Usage[[F-PreviousVDO_Input]:[F-NextVDO_Input]],MATCH($L25&amp;" - Peak",Input_Usage[[Ref]:[Ref]],0),MATCH($D$21,Inputs!$I$134:$O$134,0)))+
IFERROR((INDEX(OP_TotalRates_SME_2[[Ausnet]:[United Energy]],MATCH("TOU - Shoulder",OP_TotalRates_SME_2[[Rate name]:[Rate name]],0),MATCH(Q$24,OP_TotalRates_SME_2[[#Headers],[Ausnet]:[United Energy]],0))*
INDEX(Input_Usage[[F-PreviousVDO_Input]:[F-NextVDO_Input]],MATCH($L25&amp;" - Shoulder",Input_Usage[[Ref]:[Ref]],0),MATCH($D$21,Inputs!$I$134:$O$134,0))),0)+
(INDEX(OP_TotalRates_SME_2[[Ausnet]:[United Energy]],MATCH("Off peak",OP_TotalRates_SME_2[[Rate name]:[Rate name]],0),MATCH(Q$24,OP_TotalRates_SME_2[[#Headers],[Ausnet]:[United Energy]],0))*
INDEX(Input_Usage[[F-PreviousVDO_Input]:[F-NextVDO_Input]],MATCH($L25&amp;" - Off peak",Input_Usage[[Ref]:[Ref]],0),MATCH($D$21,Inputs!$I$134:$O$134,0))),0)),"-")</f>
        <v>3032</v>
      </c>
    </row>
    <row r="26" spans="1:18" x14ac:dyDescent="0.25">
      <c r="C26" s="23" t="s">
        <v>92</v>
      </c>
      <c r="D26" s="23" t="s">
        <v>223</v>
      </c>
      <c r="E26" s="120">
        <f>IFERROR(
IF($D$21="VDO 2021 - Final",
ROUNDUP(
(INDEX(OP_TotalRates_RES_2[[Ausnet]:[United Energy]],MATCH("Anytime - supply",OP_TotalRates_RES_2[[Rate name]:[Rate name]],0),MATCH(E$24,OP_TotalRates_RES_2[[#Headers],[Ausnet]:[United Energy]],0))*DiY)+
(IFERROR((INDEX(OP_TotalRates_RES_2[[Ausnet]:[United Energy]],MATCH("Block 1",OP_TotalRates_RES_2[[Rate name]:[Rate name]],0),MATCH(E$24,OP_TotalRates_RES_2[[#Headers],[Ausnet]:[United Energy]],0))*
INDEX(Input_Usage[[F-PreviousVDO_Input]:[F-NextVDO_Input]],MATCH($D26&amp;" - Block 1",Input_Usage[[Ref]:[Ref]],0),MATCH($D$21,Inputs!$I$134:$O$134,0))),0)+
IFERROR((INDEX(OP_TotalRates_RES_2[[Ausnet]:[United Energy]],MATCH("Balance",OP_TotalRates_RES_2[[Rate name]:[Rate name]],0),MATCH(E$24,OP_TotalRates_RES_2[[#Headers],[Ausnet]:[United Energy]],0))*
INDEX(Input_Usage[[F-PreviousVDO_Input]:[F-NextVDO_Input]],MATCH($D26&amp;" - Balance",Input_Usage[[Ref]:[Ref]],0),MATCH($D$21,Inputs!$I$134:$O$134,0))),0)+
IFERROR((INDEX(OP_TotalRates_RES_2[[Ausnet]:[United Energy]],MATCH("Single rate",OP_TotalRates_RES_2[[Rate name]:[Rate name]],0),MATCH(E$24,OP_TotalRates_RES_2[[#Headers],[Ausnet]:[United Energy]],0))*
INDEX(Input_Usage[[F-PreviousVDO_Input]:[F-NextVDO_Input]],MATCH($D26&amp;" - Annual",Input_Usage[[Ref]:[Ref]],0),MATCH($D$21,Inputs!$I$134:$O$134,0))),0)),0),
ROUNDUP(
(INDEX(OP_TotalRates_RES_2[[Ausnet]:[United Energy]],MATCH("TOU - supply",OP_TotalRates_RES_2[[Rate name]:[Rate name]],0),MATCH(E$24,OP_TotalRates_RES_2[[#Headers],[Ausnet]:[United Energy]],0))*DiY)+
(INDEX(OP_TotalRates_RES_2[[Ausnet]:[United Energy]],MATCH("Peak",OP_TotalRates_RES_2[[Rate name]:[Rate name]],0),MATCH(E$24,OP_TotalRates_RES_2[[#Headers],[Ausnet]:[United Energy]],0))*
INDEX(Input_Usage[[F-PreviousVDO_Input]:[F-NextVDO_Input]],MATCH($D26&amp;" - Peak",Input_Usage[[Ref]:[Ref]],0),MATCH($D$21,Inputs!$I$134:$O$134,0)))+
IFERROR((INDEX(OP_TotalRates_RES_2[[Ausnet]:[United Energy]],MATCH("TOU - Shoulder",OP_TotalRates_RES_2[[Rate name]:[Rate name]],0),MATCH(E$24,OP_TotalRates_RES_2[[#Headers],[Ausnet]:[United Energy]],0))*
INDEX(Input_Usage[[F-PreviousVDO_Input]:[F-NextVDO_Input]],MATCH($D26&amp;" - Shoulder",Input_Usage[[Ref]:[Ref]],0),MATCH($D$21,Inputs!$I$134:$O$134,0))),0)+
(INDEX(OP_TotalRates_RES_2[[Ausnet]:[United Energy]],MATCH("Off peak",OP_TotalRates_RES_2[[Rate name]:[Rate name]],0),MATCH(E$24,OP_TotalRates_RES_2[[#Headers],[Ausnet]:[United Energy]],0))*
INDEX(Input_Usage[[F-PreviousVDO_Input]:[F-NextVDO_Input]],MATCH($D26&amp;" - Off peak",Input_Usage[[Ref]:[Ref]],0),MATCH($D$21,Inputs!$I$134:$O$134,0))),0)),"-")</f>
        <v>1406</v>
      </c>
      <c r="F26" s="120">
        <f>IFERROR(
IF($D$21="VDO 2021 - Final",
ROUNDUP(
(INDEX(OP_TotalRates_RES_2[[Ausnet]:[United Energy]],MATCH("Anytime - supply",OP_TotalRates_RES_2[[Rate name]:[Rate name]],0),MATCH(F$24,OP_TotalRates_RES_2[[#Headers],[Ausnet]:[United Energy]],0))*DiY)+
(IFERROR((INDEX(OP_TotalRates_RES_2[[Ausnet]:[United Energy]],MATCH("Block 1",OP_TotalRates_RES_2[[Rate name]:[Rate name]],0),MATCH(F$24,OP_TotalRates_RES_2[[#Headers],[Ausnet]:[United Energy]],0))*
INDEX(Input_Usage[[F-PreviousVDO_Input]:[F-NextVDO_Input]],MATCH($D26&amp;" - Block 1",Input_Usage[[Ref]:[Ref]],0),MATCH($D$21,Inputs!$I$134:$O$134,0))),0)+
IFERROR((INDEX(OP_TotalRates_RES_2[[Ausnet]:[United Energy]],MATCH("Balance",OP_TotalRates_RES_2[[Rate name]:[Rate name]],0),MATCH(F$24,OP_TotalRates_RES_2[[#Headers],[Ausnet]:[United Energy]],0))*
INDEX(Input_Usage[[F-PreviousVDO_Input]:[F-NextVDO_Input]],MATCH($D26&amp;" - Balance",Input_Usage[[Ref]:[Ref]],0),MATCH($D$21,Inputs!$I$134:$O$134,0))),0)+
IFERROR((INDEX(OP_TotalRates_RES_2[[Ausnet]:[United Energy]],MATCH("Single rate",OP_TotalRates_RES_2[[Rate name]:[Rate name]],0),MATCH(F$24,OP_TotalRates_RES_2[[#Headers],[Ausnet]:[United Energy]],0))*
INDEX(Input_Usage[[F-PreviousVDO_Input]:[F-NextVDO_Input]],MATCH($D26&amp;" - Annual",Input_Usage[[Ref]:[Ref]],0),MATCH($D$21,Inputs!$I$134:$O$134,0))),0)),0),
ROUNDUP(
(INDEX(OP_TotalRates_RES_2[[Ausnet]:[United Energy]],MATCH("TOU - supply",OP_TotalRates_RES_2[[Rate name]:[Rate name]],0),MATCH(F$24,OP_TotalRates_RES_2[[#Headers],[Ausnet]:[United Energy]],0))*DiY)+
(INDEX(OP_TotalRates_RES_2[[Ausnet]:[United Energy]],MATCH("Peak",OP_TotalRates_RES_2[[Rate name]:[Rate name]],0),MATCH(F$24,OP_TotalRates_RES_2[[#Headers],[Ausnet]:[United Energy]],0))*
INDEX(Input_Usage[[F-PreviousVDO_Input]:[F-NextVDO_Input]],MATCH($D26&amp;" - Peak",Input_Usage[[Ref]:[Ref]],0),MATCH($D$21,Inputs!$I$134:$O$134,0)))+
IFERROR((INDEX(OP_TotalRates_RES_2[[Ausnet]:[United Energy]],MATCH("TOU - Shoulder",OP_TotalRates_RES_2[[Rate name]:[Rate name]],0),MATCH(F$24,OP_TotalRates_RES_2[[#Headers],[Ausnet]:[United Energy]],0))*
INDEX(Input_Usage[[F-PreviousVDO_Input]:[F-NextVDO_Input]],MATCH($D26&amp;" - Shoulder",Input_Usage[[Ref]:[Ref]],0),MATCH($D$21,Inputs!$I$134:$O$134,0))),0)+
(INDEX(OP_TotalRates_RES_2[[Ausnet]:[United Energy]],MATCH("Off peak",OP_TotalRates_RES_2[[Rate name]:[Rate name]],0),MATCH(F$24,OP_TotalRates_RES_2[[#Headers],[Ausnet]:[United Energy]],0))*
INDEX(Input_Usage[[F-PreviousVDO_Input]:[F-NextVDO_Input]],MATCH($D26&amp;" - Off peak",Input_Usage[[Ref]:[Ref]],0),MATCH($D$21,Inputs!$I$134:$O$134,0))),0)),"-")</f>
        <v>1299</v>
      </c>
      <c r="G26" s="120">
        <f>IFERROR(
IF($D$21="VDO 2021 - Final",
ROUNDUP(
(INDEX(OP_TotalRates_RES_2[[Ausnet]:[United Energy]],MATCH("Anytime - supply",OP_TotalRates_RES_2[[Rate name]:[Rate name]],0),MATCH(G$24,OP_TotalRates_RES_2[[#Headers],[Ausnet]:[United Energy]],0))*DiY)+
(IFERROR((INDEX(OP_TotalRates_RES_2[[Ausnet]:[United Energy]],MATCH("Block 1",OP_TotalRates_RES_2[[Rate name]:[Rate name]],0),MATCH(G$24,OP_TotalRates_RES_2[[#Headers],[Ausnet]:[United Energy]],0))*
INDEX(Input_Usage[[F-PreviousVDO_Input]:[F-NextVDO_Input]],MATCH($D26&amp;" - Block 1",Input_Usage[[Ref]:[Ref]],0),MATCH($D$21,Inputs!$I$134:$O$134,0))),0)+
IFERROR((INDEX(OP_TotalRates_RES_2[[Ausnet]:[United Energy]],MATCH("Balance",OP_TotalRates_RES_2[[Rate name]:[Rate name]],0),MATCH(G$24,OP_TotalRates_RES_2[[#Headers],[Ausnet]:[United Energy]],0))*
INDEX(Input_Usage[[F-PreviousVDO_Input]:[F-NextVDO_Input]],MATCH($D26&amp;" - Balance",Input_Usage[[Ref]:[Ref]],0),MATCH($D$21,Inputs!$I$134:$O$134,0))),0)+
IFERROR((INDEX(OP_TotalRates_RES_2[[Ausnet]:[United Energy]],MATCH("Single rate",OP_TotalRates_RES_2[[Rate name]:[Rate name]],0),MATCH(G$24,OP_TotalRates_RES_2[[#Headers],[Ausnet]:[United Energy]],0))*
INDEX(Input_Usage[[F-PreviousVDO_Input]:[F-NextVDO_Input]],MATCH($D26&amp;" - Annual",Input_Usage[[Ref]:[Ref]],0),MATCH($D$21,Inputs!$I$134:$O$134,0))),0)),0),
ROUNDUP(
(INDEX(OP_TotalRates_RES_2[[Ausnet]:[United Energy]],MATCH("TOU - supply",OP_TotalRates_RES_2[[Rate name]:[Rate name]],0),MATCH(G$24,OP_TotalRates_RES_2[[#Headers],[Ausnet]:[United Energy]],0))*DiY)+
(INDEX(OP_TotalRates_RES_2[[Ausnet]:[United Energy]],MATCH("Peak",OP_TotalRates_RES_2[[Rate name]:[Rate name]],0),MATCH(G$24,OP_TotalRates_RES_2[[#Headers],[Ausnet]:[United Energy]],0))*
INDEX(Input_Usage[[F-PreviousVDO_Input]:[F-NextVDO_Input]],MATCH($D26&amp;" - Peak",Input_Usage[[Ref]:[Ref]],0),MATCH($D$21,Inputs!$I$134:$O$134,0)))+
IFERROR((INDEX(OP_TotalRates_RES_2[[Ausnet]:[United Energy]],MATCH("TOU - Shoulder",OP_TotalRates_RES_2[[Rate name]:[Rate name]],0),MATCH(G$24,OP_TotalRates_RES_2[[#Headers],[Ausnet]:[United Energy]],0))*
INDEX(Input_Usage[[F-PreviousVDO_Input]:[F-NextVDO_Input]],MATCH($D26&amp;" - Shoulder",Input_Usage[[Ref]:[Ref]],0),MATCH($D$21,Inputs!$I$134:$O$134,0))),0)+
(INDEX(OP_TotalRates_RES_2[[Ausnet]:[United Energy]],MATCH("Off peak",OP_TotalRates_RES_2[[Rate name]:[Rate name]],0),MATCH(G$24,OP_TotalRates_RES_2[[#Headers],[Ausnet]:[United Energy]],0))*
INDEX(Input_Usage[[F-PreviousVDO_Input]:[F-NextVDO_Input]],MATCH($D26&amp;" - Off peak",Input_Usage[[Ref]:[Ref]],0),MATCH($D$21,Inputs!$I$134:$O$134,0))),0)),"-")</f>
        <v>1232</v>
      </c>
      <c r="H26" s="120">
        <f>IFERROR(
IF($D$21="VDO 2021 - Final",
ROUNDUP(
(INDEX(OP_TotalRates_RES_2[[Ausnet]:[United Energy]],MATCH("Anytime - supply",OP_TotalRates_RES_2[[Rate name]:[Rate name]],0),MATCH(H$24,OP_TotalRates_RES_2[[#Headers],[Ausnet]:[United Energy]],0))*DiY)+
(IFERROR((INDEX(OP_TotalRates_RES_2[[Ausnet]:[United Energy]],MATCH("Block 1",OP_TotalRates_RES_2[[Rate name]:[Rate name]],0),MATCH(H$24,OP_TotalRates_RES_2[[#Headers],[Ausnet]:[United Energy]],0))*
INDEX(Input_Usage[[F-PreviousVDO_Input]:[F-NextVDO_Input]],MATCH($D26&amp;" - Block 1",Input_Usage[[Ref]:[Ref]],0),MATCH($D$21,Inputs!$I$134:$O$134,0))),0)+
IFERROR((INDEX(OP_TotalRates_RES_2[[Ausnet]:[United Energy]],MATCH("Balance",OP_TotalRates_RES_2[[Rate name]:[Rate name]],0),MATCH(H$24,OP_TotalRates_RES_2[[#Headers],[Ausnet]:[United Energy]],0))*
INDEX(Input_Usage[[F-PreviousVDO_Input]:[F-NextVDO_Input]],MATCH($D26&amp;" - Balance",Input_Usage[[Ref]:[Ref]],0),MATCH($D$21,Inputs!$I$134:$O$134,0))),0)+
IFERROR((INDEX(OP_TotalRates_RES_2[[Ausnet]:[United Energy]],MATCH("Single rate",OP_TotalRates_RES_2[[Rate name]:[Rate name]],0),MATCH(H$24,OP_TotalRates_RES_2[[#Headers],[Ausnet]:[United Energy]],0))*
INDEX(Input_Usage[[F-PreviousVDO_Input]:[F-NextVDO_Input]],MATCH($D26&amp;" - Annual",Input_Usage[[Ref]:[Ref]],0),MATCH($D$21,Inputs!$I$134:$O$134,0))),0)),0),
ROUNDUP(
(INDEX(OP_TotalRates_RES_2[[Ausnet]:[United Energy]],MATCH("TOU - supply",OP_TotalRates_RES_2[[Rate name]:[Rate name]],0),MATCH(H$24,OP_TotalRates_RES_2[[#Headers],[Ausnet]:[United Energy]],0))*DiY)+
(INDEX(OP_TotalRates_RES_2[[Ausnet]:[United Energy]],MATCH("Peak",OP_TotalRates_RES_2[[Rate name]:[Rate name]],0),MATCH(H$24,OP_TotalRates_RES_2[[#Headers],[Ausnet]:[United Energy]],0))*
INDEX(Input_Usage[[F-PreviousVDO_Input]:[F-NextVDO_Input]],MATCH($D26&amp;" - Peak",Input_Usage[[Ref]:[Ref]],0),MATCH($D$21,Inputs!$I$134:$O$134,0)))+
IFERROR((INDEX(OP_TotalRates_RES_2[[Ausnet]:[United Energy]],MATCH("TOU - Shoulder",OP_TotalRates_RES_2[[Rate name]:[Rate name]],0),MATCH(H$24,OP_TotalRates_RES_2[[#Headers],[Ausnet]:[United Energy]],0))*
INDEX(Input_Usage[[F-PreviousVDO_Input]:[F-NextVDO_Input]],MATCH($D26&amp;" - Shoulder",Input_Usage[[Ref]:[Ref]],0),MATCH($D$21,Inputs!$I$134:$O$134,0))),0)+
(INDEX(OP_TotalRates_RES_2[[Ausnet]:[United Energy]],MATCH("Off peak",OP_TotalRates_RES_2[[Rate name]:[Rate name]],0),MATCH(H$24,OP_TotalRates_RES_2[[#Headers],[Ausnet]:[United Energy]],0))*
INDEX(Input_Usage[[F-PreviousVDO_Input]:[F-NextVDO_Input]],MATCH($D26&amp;" - Off peak",Input_Usage[[Ref]:[Ref]],0),MATCH($D$21,Inputs!$I$134:$O$134,0))),0)),"-")</f>
        <v>1368</v>
      </c>
      <c r="I26" s="120">
        <f>IFERROR(
IF($D$21="VDO 2021 - Final",
ROUNDUP(
(INDEX(OP_TotalRates_RES_2[[Ausnet]:[United Energy]],MATCH("Anytime - supply",OP_TotalRates_RES_2[[Rate name]:[Rate name]],0),MATCH(I$24,OP_TotalRates_RES_2[[#Headers],[Ausnet]:[United Energy]],0))*DiY)+
(IFERROR((INDEX(OP_TotalRates_RES_2[[Ausnet]:[United Energy]],MATCH("Block 1",OP_TotalRates_RES_2[[Rate name]:[Rate name]],0),MATCH(I$24,OP_TotalRates_RES_2[[#Headers],[Ausnet]:[United Energy]],0))*
INDEX(Input_Usage[[F-PreviousVDO_Input]:[F-NextVDO_Input]],MATCH($D26&amp;" - Block 1",Input_Usage[[Ref]:[Ref]],0),MATCH($D$21,Inputs!$I$134:$O$134,0))),0)+
IFERROR((INDEX(OP_TotalRates_RES_2[[Ausnet]:[United Energy]],MATCH("Balance",OP_TotalRates_RES_2[[Rate name]:[Rate name]],0),MATCH(I$24,OP_TotalRates_RES_2[[#Headers],[Ausnet]:[United Energy]],0))*
INDEX(Input_Usage[[F-PreviousVDO_Input]:[F-NextVDO_Input]],MATCH($D26&amp;" - Balance",Input_Usage[[Ref]:[Ref]],0),MATCH($D$21,Inputs!$I$134:$O$134,0))),0)+
IFERROR((INDEX(OP_TotalRates_RES_2[[Ausnet]:[United Energy]],MATCH("Single rate",OP_TotalRates_RES_2[[Rate name]:[Rate name]],0),MATCH(I$24,OP_TotalRates_RES_2[[#Headers],[Ausnet]:[United Energy]],0))*
INDEX(Input_Usage[[F-PreviousVDO_Input]:[F-NextVDO_Input]],MATCH($D26&amp;" - Annual",Input_Usage[[Ref]:[Ref]],0),MATCH($D$21,Inputs!$I$134:$O$134,0))),0)),0),
ROUNDUP(
(INDEX(OP_TotalRates_RES_2[[Ausnet]:[United Energy]],MATCH("TOU - supply",OP_TotalRates_RES_2[[Rate name]:[Rate name]],0),MATCH(I$24,OP_TotalRates_RES_2[[#Headers],[Ausnet]:[United Energy]],0))*DiY)+
(INDEX(OP_TotalRates_RES_2[[Ausnet]:[United Energy]],MATCH("Peak",OP_TotalRates_RES_2[[Rate name]:[Rate name]],0),MATCH(I$24,OP_TotalRates_RES_2[[#Headers],[Ausnet]:[United Energy]],0))*
INDEX(Input_Usage[[F-PreviousVDO_Input]:[F-NextVDO_Input]],MATCH($D26&amp;" - Peak",Input_Usage[[Ref]:[Ref]],0),MATCH($D$21,Inputs!$I$134:$O$134,0)))+
IFERROR((INDEX(OP_TotalRates_RES_2[[Ausnet]:[United Energy]],MATCH("TOU - Shoulder",OP_TotalRates_RES_2[[Rate name]:[Rate name]],0),MATCH(I$24,OP_TotalRates_RES_2[[#Headers],[Ausnet]:[United Energy]],0))*
INDEX(Input_Usage[[F-PreviousVDO_Input]:[F-NextVDO_Input]],MATCH($D26&amp;" - Shoulder",Input_Usage[[Ref]:[Ref]],0),MATCH($D$21,Inputs!$I$134:$O$134,0))),0)+
(INDEX(OP_TotalRates_RES_2[[Ausnet]:[United Energy]],MATCH("Off peak",OP_TotalRates_RES_2[[Rate name]:[Rate name]],0),MATCH(I$24,OP_TotalRates_RES_2[[#Headers],[Ausnet]:[United Energy]],0))*
INDEX(Input_Usage[[F-PreviousVDO_Input]:[F-NextVDO_Input]],MATCH($D26&amp;" - Off peak",Input_Usage[[Ref]:[Ref]],0),MATCH($D$21,Inputs!$I$134:$O$134,0))),0)),"-")</f>
        <v>1276</v>
      </c>
      <c r="K26" s="23" t="s">
        <v>93</v>
      </c>
      <c r="L26" s="23" t="s">
        <v>226</v>
      </c>
      <c r="M26" s="120">
        <f>IFERROR(
IF($D$21="VDO 2021 - Final",
ROUNDUP(
(INDEX(OP_TotalRates_SME_2[[Ausnet]:[United Energy]],MATCH("Anytime - supply",OP_TotalRates_SME_2[[Rate name]:[Rate name]],0),MATCH(M$24,OP_TotalRates_SME_2[[#Headers],[Ausnet]:[United Energy]],0))*DiY)+
(IFERROR((INDEX(OP_TotalRates_SME_2[[Ausnet]:[United Energy]],MATCH("Block 1",OP_TotalRates_SME_2[[Rate name]:[Rate name]],0),MATCH(M$24,OP_TotalRates_SME_2[[#Headers],[Ausnet]:[United Energy]],0))*
INDEX(Input_Usage[[F-PreviousVDO_Input]:[F-NextVDO_Input]],MATCH($L26&amp;" - Block 1",Input_Usage[[Ref]:[Ref]],0),MATCH($D$21,Inputs!$I$134:$O$134,0))),0)+
IFERROR((INDEX(OP_TotalRates_SME_2[[Ausnet]:[United Energy]],MATCH("Balance",OP_TotalRates_SME_2[[Rate name]:[Rate name]],0),MATCH(M$24,OP_TotalRates_SME_2[[#Headers],[Ausnet]:[United Energy]],0))*
INDEX(Input_Usage[[F-PreviousVDO_Input]:[F-NextVDO_Input]],MATCH($L26&amp;" - Balance",Input_Usage[[Ref]:[Ref]],0),MATCH($D$21,Inputs!$I$134:$O$134,0))),0)+
IFERROR((INDEX(OP_TotalRates_SME_2[[Ausnet]:[United Energy]],MATCH("Single rate",OP_TotalRates_SME_2[[Rate name]:[Rate name]],0),MATCH(M$24,OP_TotalRates_SME_2[[#Headers],[Ausnet]:[United Energy]],0))*
INDEX(Input_Usage[[F-PreviousVDO_Input]:[F-NextVDO_Input]],MATCH($L26&amp;" - Annual",Input_Usage[[Ref]:[Ref]],0),MATCH($D$21,Inputs!$I$134:$O$134,0))),0)),0),
ROUNDUP(
(INDEX(OP_TotalRates_SME_2[[Ausnet]:[United Energy]],MATCH("TOU - supply",OP_TotalRates_SME_2[[Rate name]:[Rate name]],0),MATCH(M$24,OP_TotalRates_SME_2[[#Headers],[Ausnet]:[United Energy]],0))*DiY)+
(INDEX(OP_TotalRates_SME_2[[Ausnet]:[United Energy]],MATCH("Peak",OP_TotalRates_SME_2[[Rate name]:[Rate name]],0),MATCH(M$24,OP_TotalRates_SME_2[[#Headers],[Ausnet]:[United Energy]],0))*
INDEX(Input_Usage[[F-PreviousVDO_Input]:[F-NextVDO_Input]],MATCH($L26&amp;" - Peak",Input_Usage[[Ref]:[Ref]],0),MATCH($D$21,Inputs!$I$134:$O$134,0)))+
IFERROR((INDEX(OP_TotalRates_SME_2[[Ausnet]:[United Energy]],MATCH("TOU - Shoulder",OP_TotalRates_SME_2[[Rate name]:[Rate name]],0),MATCH(M$24,OP_TotalRates_SME_2[[#Headers],[Ausnet]:[United Energy]],0))*
INDEX(Input_Usage[[F-PreviousVDO_Input]:[F-NextVDO_Input]],MATCH($L26&amp;" - Shoulder",Input_Usage[[Ref]:[Ref]],0),MATCH($D$21,Inputs!$I$134:$O$134,0))),0)+
(INDEX(OP_TotalRates_SME_2[[Ausnet]:[United Energy]],MATCH("Off peak",OP_TotalRates_SME_2[[Rate name]:[Rate name]],0),MATCH(M$24,OP_TotalRates_SME_2[[#Headers],[Ausnet]:[United Energy]],0))*
INDEX(Input_Usage[[F-PreviousVDO_Input]:[F-NextVDO_Input]],MATCH($L26&amp;" - Off peak",Input_Usage[[Ref]:[Ref]],0),MATCH($D$21,Inputs!$I$134:$O$134,0))),0)),"-")</f>
        <v>5232</v>
      </c>
      <c r="N26" s="120">
        <f>IFERROR(
IF($D$21="VDO 2021 - Final",
ROUNDUP(
(INDEX(OP_TotalRates_SME_2[[Ausnet]:[United Energy]],MATCH("Anytime - supply",OP_TotalRates_SME_2[[Rate name]:[Rate name]],0),MATCH(N$24,OP_TotalRates_SME_2[[#Headers],[Ausnet]:[United Energy]],0))*DiY)+
(IFERROR((INDEX(OP_TotalRates_SME_2[[Ausnet]:[United Energy]],MATCH("Block 1",OP_TotalRates_SME_2[[Rate name]:[Rate name]],0),MATCH(N$24,OP_TotalRates_SME_2[[#Headers],[Ausnet]:[United Energy]],0))*
INDEX(Input_Usage[[F-PreviousVDO_Input]:[F-NextVDO_Input]],MATCH($L26&amp;" - Block 1",Input_Usage[[Ref]:[Ref]],0),MATCH($D$21,Inputs!$I$134:$O$134,0))),0)+
IFERROR((INDEX(OP_TotalRates_SME_2[[Ausnet]:[United Energy]],MATCH("Balance",OP_TotalRates_SME_2[[Rate name]:[Rate name]],0),MATCH(N$24,OP_TotalRates_SME_2[[#Headers],[Ausnet]:[United Energy]],0))*
INDEX(Input_Usage[[F-PreviousVDO_Input]:[F-NextVDO_Input]],MATCH($L26&amp;" - Balance",Input_Usage[[Ref]:[Ref]],0),MATCH($D$21,Inputs!$I$134:$O$134,0))),0)+
IFERROR((INDEX(OP_TotalRates_SME_2[[Ausnet]:[United Energy]],MATCH("Single rate",OP_TotalRates_SME_2[[Rate name]:[Rate name]],0),MATCH(N$24,OP_TotalRates_SME_2[[#Headers],[Ausnet]:[United Energy]],0))*
INDEX(Input_Usage[[F-PreviousVDO_Input]:[F-NextVDO_Input]],MATCH($L26&amp;" - Annual",Input_Usage[[Ref]:[Ref]],0),MATCH($D$21,Inputs!$I$134:$O$134,0))),0)),0),
ROUNDUP(
(INDEX(OP_TotalRates_SME_2[[Ausnet]:[United Energy]],MATCH("TOU - supply",OP_TotalRates_SME_2[[Rate name]:[Rate name]],0),MATCH(N$24,OP_TotalRates_SME_2[[#Headers],[Ausnet]:[United Energy]],0))*DiY)+
(INDEX(OP_TotalRates_SME_2[[Ausnet]:[United Energy]],MATCH("Peak",OP_TotalRates_SME_2[[Rate name]:[Rate name]],0),MATCH(N$24,OP_TotalRates_SME_2[[#Headers],[Ausnet]:[United Energy]],0))*
INDEX(Input_Usage[[F-PreviousVDO_Input]:[F-NextVDO_Input]],MATCH($L26&amp;" - Peak",Input_Usage[[Ref]:[Ref]],0),MATCH($D$21,Inputs!$I$134:$O$134,0)))+
IFERROR((INDEX(OP_TotalRates_SME_2[[Ausnet]:[United Energy]],MATCH("TOU - Shoulder",OP_TotalRates_SME_2[[Rate name]:[Rate name]],0),MATCH(N$24,OP_TotalRates_SME_2[[#Headers],[Ausnet]:[United Energy]],0))*
INDEX(Input_Usage[[F-PreviousVDO_Input]:[F-NextVDO_Input]],MATCH($L26&amp;" - Shoulder",Input_Usage[[Ref]:[Ref]],0),MATCH($D$21,Inputs!$I$134:$O$134,0))),0)+
(INDEX(OP_TotalRates_SME_2[[Ausnet]:[United Energy]],MATCH("Off peak",OP_TotalRates_SME_2[[Rate name]:[Rate name]],0),MATCH(N$24,OP_TotalRates_SME_2[[#Headers],[Ausnet]:[United Energy]],0))*
INDEX(Input_Usage[[F-PreviousVDO_Input]:[F-NextVDO_Input]],MATCH($L26&amp;" - Off peak",Input_Usage[[Ref]:[Ref]],0),MATCH($D$21,Inputs!$I$134:$O$134,0))),0)),"-")</f>
        <v>4694</v>
      </c>
      <c r="O26" s="120">
        <f>IFERROR(
IF($D$21="VDO 2021 - Final",
ROUNDUP(
(INDEX(OP_TotalRates_SME_2[[Ausnet]:[United Energy]],MATCH("Anytime - supply",OP_TotalRates_SME_2[[Rate name]:[Rate name]],0),MATCH(O$24,OP_TotalRates_SME_2[[#Headers],[Ausnet]:[United Energy]],0))*DiY)+
(IFERROR((INDEX(OP_TotalRates_SME_2[[Ausnet]:[United Energy]],MATCH("Block 1",OP_TotalRates_SME_2[[Rate name]:[Rate name]],0),MATCH(O$24,OP_TotalRates_SME_2[[#Headers],[Ausnet]:[United Energy]],0))*
INDEX(Input_Usage[[F-PreviousVDO_Input]:[F-NextVDO_Input]],MATCH($L26&amp;" - Block 1",Input_Usage[[Ref]:[Ref]],0),MATCH($D$21,Inputs!$I$134:$O$134,0))),0)+
IFERROR((INDEX(OP_TotalRates_SME_2[[Ausnet]:[United Energy]],MATCH("Balance",OP_TotalRates_SME_2[[Rate name]:[Rate name]],0),MATCH(O$24,OP_TotalRates_SME_2[[#Headers],[Ausnet]:[United Energy]],0))*
INDEX(Input_Usage[[F-PreviousVDO_Input]:[F-NextVDO_Input]],MATCH($L26&amp;" - Balance",Input_Usage[[Ref]:[Ref]],0),MATCH($D$21,Inputs!$I$134:$O$134,0))),0)+
IFERROR((INDEX(OP_TotalRates_SME_2[[Ausnet]:[United Energy]],MATCH("Single rate",OP_TotalRates_SME_2[[Rate name]:[Rate name]],0),MATCH(O$24,OP_TotalRates_SME_2[[#Headers],[Ausnet]:[United Energy]],0))*
INDEX(Input_Usage[[F-PreviousVDO_Input]:[F-NextVDO_Input]],MATCH($L26&amp;" - Annual",Input_Usage[[Ref]:[Ref]],0),MATCH($D$21,Inputs!$I$134:$O$134,0))),0)),0),
ROUNDUP(
(INDEX(OP_TotalRates_SME_2[[Ausnet]:[United Energy]],MATCH("TOU - supply",OP_TotalRates_SME_2[[Rate name]:[Rate name]],0),MATCH(O$24,OP_TotalRates_SME_2[[#Headers],[Ausnet]:[United Energy]],0))*DiY)+
(INDEX(OP_TotalRates_SME_2[[Ausnet]:[United Energy]],MATCH("Peak",OP_TotalRates_SME_2[[Rate name]:[Rate name]],0),MATCH(O$24,OP_TotalRates_SME_2[[#Headers],[Ausnet]:[United Energy]],0))*
INDEX(Input_Usage[[F-PreviousVDO_Input]:[F-NextVDO_Input]],MATCH($L26&amp;" - Peak",Input_Usage[[Ref]:[Ref]],0),MATCH($D$21,Inputs!$I$134:$O$134,0)))+
IFERROR((INDEX(OP_TotalRates_SME_2[[Ausnet]:[United Energy]],MATCH("TOU - Shoulder",OP_TotalRates_SME_2[[Rate name]:[Rate name]],0),MATCH(O$24,OP_TotalRates_SME_2[[#Headers],[Ausnet]:[United Energy]],0))*
INDEX(Input_Usage[[F-PreviousVDO_Input]:[F-NextVDO_Input]],MATCH($L26&amp;" - Shoulder",Input_Usage[[Ref]:[Ref]],0),MATCH($D$21,Inputs!$I$134:$O$134,0))),0)+
(INDEX(OP_TotalRates_SME_2[[Ausnet]:[United Energy]],MATCH("Off peak",OP_TotalRates_SME_2[[Rate name]:[Rate name]],0),MATCH(O$24,OP_TotalRates_SME_2[[#Headers],[Ausnet]:[United Energy]],0))*
INDEX(Input_Usage[[F-PreviousVDO_Input]:[F-NextVDO_Input]],MATCH($L26&amp;" - Off peak",Input_Usage[[Ref]:[Ref]],0),MATCH($D$21,Inputs!$I$134:$O$134,0))),0)),"-")</f>
        <v>4955</v>
      </c>
      <c r="P26" s="120">
        <f>IFERROR(
IF($D$21="VDO 2021 - Final",
ROUNDUP(
(INDEX(OP_TotalRates_SME_2[[Ausnet]:[United Energy]],MATCH("Anytime - supply",OP_TotalRates_SME_2[[Rate name]:[Rate name]],0),MATCH(P$24,OP_TotalRates_SME_2[[#Headers],[Ausnet]:[United Energy]],0))*DiY)+
(IFERROR((INDEX(OP_TotalRates_SME_2[[Ausnet]:[United Energy]],MATCH("Block 1",OP_TotalRates_SME_2[[Rate name]:[Rate name]],0),MATCH(P$24,OP_TotalRates_SME_2[[#Headers],[Ausnet]:[United Energy]],0))*
INDEX(Input_Usage[[F-PreviousVDO_Input]:[F-NextVDO_Input]],MATCH($L26&amp;" - Block 1",Input_Usage[[Ref]:[Ref]],0),MATCH($D$21,Inputs!$I$134:$O$134,0))),0)+
IFERROR((INDEX(OP_TotalRates_SME_2[[Ausnet]:[United Energy]],MATCH("Balance",OP_TotalRates_SME_2[[Rate name]:[Rate name]],0),MATCH(P$24,OP_TotalRates_SME_2[[#Headers],[Ausnet]:[United Energy]],0))*
INDEX(Input_Usage[[F-PreviousVDO_Input]:[F-NextVDO_Input]],MATCH($L26&amp;" - Balance",Input_Usage[[Ref]:[Ref]],0),MATCH($D$21,Inputs!$I$134:$O$134,0))),0)+
IFERROR((INDEX(OP_TotalRates_SME_2[[Ausnet]:[United Energy]],MATCH("Single rate",OP_TotalRates_SME_2[[Rate name]:[Rate name]],0),MATCH(P$24,OP_TotalRates_SME_2[[#Headers],[Ausnet]:[United Energy]],0))*
INDEX(Input_Usage[[F-PreviousVDO_Input]:[F-NextVDO_Input]],MATCH($L26&amp;" - Annual",Input_Usage[[Ref]:[Ref]],0),MATCH($D$21,Inputs!$I$134:$O$134,0))),0)),0),
ROUNDUP(
(INDEX(OP_TotalRates_SME_2[[Ausnet]:[United Energy]],MATCH("TOU - supply",OP_TotalRates_SME_2[[Rate name]:[Rate name]],0),MATCH(P$24,OP_TotalRates_SME_2[[#Headers],[Ausnet]:[United Energy]],0))*DiY)+
(INDEX(OP_TotalRates_SME_2[[Ausnet]:[United Energy]],MATCH("Peak",OP_TotalRates_SME_2[[Rate name]:[Rate name]],0),MATCH(P$24,OP_TotalRates_SME_2[[#Headers],[Ausnet]:[United Energy]],0))*
INDEX(Input_Usage[[F-PreviousVDO_Input]:[F-NextVDO_Input]],MATCH($L26&amp;" - Peak",Input_Usage[[Ref]:[Ref]],0),MATCH($D$21,Inputs!$I$134:$O$134,0)))+
IFERROR((INDEX(OP_TotalRates_SME_2[[Ausnet]:[United Energy]],MATCH("TOU - Shoulder",OP_TotalRates_SME_2[[Rate name]:[Rate name]],0),MATCH(P$24,OP_TotalRates_SME_2[[#Headers],[Ausnet]:[United Energy]],0))*
INDEX(Input_Usage[[F-PreviousVDO_Input]:[F-NextVDO_Input]],MATCH($L26&amp;" - Shoulder",Input_Usage[[Ref]:[Ref]],0),MATCH($D$21,Inputs!$I$134:$O$134,0))),0)+
(INDEX(OP_TotalRates_SME_2[[Ausnet]:[United Energy]],MATCH("Off peak",OP_TotalRates_SME_2[[Rate name]:[Rate name]],0),MATCH(P$24,OP_TotalRates_SME_2[[#Headers],[Ausnet]:[United Energy]],0))*
INDEX(Input_Usage[[F-PreviousVDO_Input]:[F-NextVDO_Input]],MATCH($L26&amp;" - Off peak",Input_Usage[[Ref]:[Ref]],0),MATCH($D$21,Inputs!$I$134:$O$134,0))),0)),"-")</f>
        <v>4945</v>
      </c>
      <c r="Q26" s="120">
        <f>IFERROR(
IF($D$21="VDO 2021 - Final",
ROUNDUP(
(INDEX(OP_TotalRates_SME_2[[Ausnet]:[United Energy]],MATCH("Anytime - supply",OP_TotalRates_SME_2[[Rate name]:[Rate name]],0),MATCH(Q$24,OP_TotalRates_SME_2[[#Headers],[Ausnet]:[United Energy]],0))*DiY)+
(IFERROR((INDEX(OP_TotalRates_SME_2[[Ausnet]:[United Energy]],MATCH("Block 1",OP_TotalRates_SME_2[[Rate name]:[Rate name]],0),MATCH(Q$24,OP_TotalRates_SME_2[[#Headers],[Ausnet]:[United Energy]],0))*
INDEX(Input_Usage[[F-PreviousVDO_Input]:[F-NextVDO_Input]],MATCH($L26&amp;" - Block 1",Input_Usage[[Ref]:[Ref]],0),MATCH($D$21,Inputs!$I$134:$O$134,0))),0)+
IFERROR((INDEX(OP_TotalRates_SME_2[[Ausnet]:[United Energy]],MATCH("Balance",OP_TotalRates_SME_2[[Rate name]:[Rate name]],0),MATCH(Q$24,OP_TotalRates_SME_2[[#Headers],[Ausnet]:[United Energy]],0))*
INDEX(Input_Usage[[F-PreviousVDO_Input]:[F-NextVDO_Input]],MATCH($L26&amp;" - Balance",Input_Usage[[Ref]:[Ref]],0),MATCH($D$21,Inputs!$I$134:$O$134,0))),0)+
IFERROR((INDEX(OP_TotalRates_SME_2[[Ausnet]:[United Energy]],MATCH("Single rate",OP_TotalRates_SME_2[[Rate name]:[Rate name]],0),MATCH(Q$24,OP_TotalRates_SME_2[[#Headers],[Ausnet]:[United Energy]],0))*
INDEX(Input_Usage[[F-PreviousVDO_Input]:[F-NextVDO_Input]],MATCH($L26&amp;" - Annual",Input_Usage[[Ref]:[Ref]],0),MATCH($D$21,Inputs!$I$134:$O$134,0))),0)),0),
ROUNDUP(
(INDEX(OP_TotalRates_SME_2[[Ausnet]:[United Energy]],MATCH("TOU - supply",OP_TotalRates_SME_2[[Rate name]:[Rate name]],0),MATCH(Q$24,OP_TotalRates_SME_2[[#Headers],[Ausnet]:[United Energy]],0))*DiY)+
(INDEX(OP_TotalRates_SME_2[[Ausnet]:[United Energy]],MATCH("Peak",OP_TotalRates_SME_2[[Rate name]:[Rate name]],0),MATCH(Q$24,OP_TotalRates_SME_2[[#Headers],[Ausnet]:[United Energy]],0))*
INDEX(Input_Usage[[F-PreviousVDO_Input]:[F-NextVDO_Input]],MATCH($L26&amp;" - Peak",Input_Usage[[Ref]:[Ref]],0),MATCH($D$21,Inputs!$I$134:$O$134,0)))+
IFERROR((INDEX(OP_TotalRates_SME_2[[Ausnet]:[United Energy]],MATCH("TOU - Shoulder",OP_TotalRates_SME_2[[Rate name]:[Rate name]],0),MATCH(Q$24,OP_TotalRates_SME_2[[#Headers],[Ausnet]:[United Energy]],0))*
INDEX(Input_Usage[[F-PreviousVDO_Input]:[F-NextVDO_Input]],MATCH($L26&amp;" - Shoulder",Input_Usage[[Ref]:[Ref]],0),MATCH($D$21,Inputs!$I$134:$O$134,0))),0)+
(INDEX(OP_TotalRates_SME_2[[Ausnet]:[United Energy]],MATCH("Off peak",OP_TotalRates_SME_2[[Rate name]:[Rate name]],0),MATCH(Q$24,OP_TotalRates_SME_2[[#Headers],[Ausnet]:[United Energy]],0))*
INDEX(Input_Usage[[F-PreviousVDO_Input]:[F-NextVDO_Input]],MATCH($L26&amp;" - Off peak",Input_Usage[[Ref]:[Ref]],0),MATCH($D$21,Inputs!$I$134:$O$134,0))),0)),"-")</f>
        <v>4780</v>
      </c>
    </row>
    <row r="27" spans="1:18" x14ac:dyDescent="0.25">
      <c r="C27" s="44" t="s">
        <v>92</v>
      </c>
      <c r="D27" s="44" t="s">
        <v>224</v>
      </c>
      <c r="E27" s="120">
        <f>IFERROR(
IF($D$21="VDO 2021 - Final",
ROUNDUP(
(INDEX(OP_TotalRates_RES_2[[Ausnet]:[United Energy]],MATCH("Anytime - supply",OP_TotalRates_RES_2[[Rate name]:[Rate name]],0),MATCH(E$24,OP_TotalRates_RES_2[[#Headers],[Ausnet]:[United Energy]],0))*DiY)+
(IFERROR((INDEX(OP_TotalRates_RES_2[[Ausnet]:[United Energy]],MATCH("Block 1",OP_TotalRates_RES_2[[Rate name]:[Rate name]],0),MATCH(E$24,OP_TotalRates_RES_2[[#Headers],[Ausnet]:[United Energy]],0))*
INDEX(Input_Usage[[F-PreviousVDO_Input]:[F-NextVDO_Input]],MATCH($D27&amp;" - Block 1",Input_Usage[[Ref]:[Ref]],0),MATCH($D$21,Inputs!$I$134:$O$134,0))),0)+
IFERROR((INDEX(OP_TotalRates_RES_2[[Ausnet]:[United Energy]],MATCH("Balance",OP_TotalRates_RES_2[[Rate name]:[Rate name]],0),MATCH(E$24,OP_TotalRates_RES_2[[#Headers],[Ausnet]:[United Energy]],0))*
INDEX(Input_Usage[[F-PreviousVDO_Input]:[F-NextVDO_Input]],MATCH($D27&amp;" - Balance",Input_Usage[[Ref]:[Ref]],0),MATCH($D$21,Inputs!$I$134:$O$134,0))),0)+
IFERROR((INDEX(OP_TotalRates_RES_2[[Ausnet]:[United Energy]],MATCH("Single rate",OP_TotalRates_RES_2[[Rate name]:[Rate name]],0),MATCH(E$24,OP_TotalRates_RES_2[[#Headers],[Ausnet]:[United Energy]],0))*
INDEX(Input_Usage[[F-PreviousVDO_Input]:[F-NextVDO_Input]],MATCH($D27&amp;" - Annual",Input_Usage[[Ref]:[Ref]],0),MATCH($D$21,Inputs!$I$134:$O$134,0))),0)),0),
ROUNDUP(
(INDEX(OP_TotalRates_RES_2[[Ausnet]:[United Energy]],MATCH("TOU - supply",OP_TotalRates_RES_2[[Rate name]:[Rate name]],0),MATCH(E$24,OP_TotalRates_RES_2[[#Headers],[Ausnet]:[United Energy]],0))*DiY)+
(INDEX(OP_TotalRates_RES_2[[Ausnet]:[United Energy]],MATCH("Peak",OP_TotalRates_RES_2[[Rate name]:[Rate name]],0),MATCH(E$24,OP_TotalRates_RES_2[[#Headers],[Ausnet]:[United Energy]],0))*
INDEX(Input_Usage[[F-PreviousVDO_Input]:[F-NextVDO_Input]],MATCH($D27&amp;" - Peak",Input_Usage[[Ref]:[Ref]],0),MATCH($D$21,Inputs!$I$134:$O$134,0)))+
IFERROR((INDEX(OP_TotalRates_RES_2[[Ausnet]:[United Energy]],MATCH("TOU - Shoulder",OP_TotalRates_RES_2[[Rate name]:[Rate name]],0),MATCH(E$24,OP_TotalRates_RES_2[[#Headers],[Ausnet]:[United Energy]],0))*
INDEX(Input_Usage[[F-PreviousVDO_Input]:[F-NextVDO_Input]],MATCH($D27&amp;" - Shoulder",Input_Usage[[Ref]:[Ref]],0),MATCH($D$21,Inputs!$I$134:$O$134,0))),0)+
(INDEX(OP_TotalRates_RES_2[[Ausnet]:[United Energy]],MATCH("Off peak",OP_TotalRates_RES_2[[Rate name]:[Rate name]],0),MATCH(E$24,OP_TotalRates_RES_2[[#Headers],[Ausnet]:[United Energy]],0))*
INDEX(Input_Usage[[F-PreviousVDO_Input]:[F-NextVDO_Input]],MATCH($D27&amp;" - Off peak",Input_Usage[[Ref]:[Ref]],0),MATCH($D$21,Inputs!$I$134:$O$134,0))),0)),"-")</f>
        <v>2388</v>
      </c>
      <c r="F27" s="120">
        <f>IFERROR(
IF($D$21="VDO 2021 - Final",
ROUNDUP(
(INDEX(OP_TotalRates_RES_2[[Ausnet]:[United Energy]],MATCH("Anytime - supply",OP_TotalRates_RES_2[[Rate name]:[Rate name]],0),MATCH(F$24,OP_TotalRates_RES_2[[#Headers],[Ausnet]:[United Energy]],0))*DiY)+
(IFERROR((INDEX(OP_TotalRates_RES_2[[Ausnet]:[United Energy]],MATCH("Block 1",OP_TotalRates_RES_2[[Rate name]:[Rate name]],0),MATCH(F$24,OP_TotalRates_RES_2[[#Headers],[Ausnet]:[United Energy]],0))*
INDEX(Input_Usage[[F-PreviousVDO_Input]:[F-NextVDO_Input]],MATCH($D27&amp;" - Block 1",Input_Usage[[Ref]:[Ref]],0),MATCH($D$21,Inputs!$I$134:$O$134,0))),0)+
IFERROR((INDEX(OP_TotalRates_RES_2[[Ausnet]:[United Energy]],MATCH("Balance",OP_TotalRates_RES_2[[Rate name]:[Rate name]],0),MATCH(F$24,OP_TotalRates_RES_2[[#Headers],[Ausnet]:[United Energy]],0))*
INDEX(Input_Usage[[F-PreviousVDO_Input]:[F-NextVDO_Input]],MATCH($D27&amp;" - Balance",Input_Usage[[Ref]:[Ref]],0),MATCH($D$21,Inputs!$I$134:$O$134,0))),0)+
IFERROR((INDEX(OP_TotalRates_RES_2[[Ausnet]:[United Energy]],MATCH("Single rate",OP_TotalRates_RES_2[[Rate name]:[Rate name]],0),MATCH(F$24,OP_TotalRates_RES_2[[#Headers],[Ausnet]:[United Energy]],0))*
INDEX(Input_Usage[[F-PreviousVDO_Input]:[F-NextVDO_Input]],MATCH($D27&amp;" - Annual",Input_Usage[[Ref]:[Ref]],0),MATCH($D$21,Inputs!$I$134:$O$134,0))),0)),0),
ROUNDUP(
(INDEX(OP_TotalRates_RES_2[[Ausnet]:[United Energy]],MATCH("TOU - supply",OP_TotalRates_RES_2[[Rate name]:[Rate name]],0),MATCH(F$24,OP_TotalRates_RES_2[[#Headers],[Ausnet]:[United Energy]],0))*DiY)+
(INDEX(OP_TotalRates_RES_2[[Ausnet]:[United Energy]],MATCH("Peak",OP_TotalRates_RES_2[[Rate name]:[Rate name]],0),MATCH(F$24,OP_TotalRates_RES_2[[#Headers],[Ausnet]:[United Energy]],0))*
INDEX(Input_Usage[[F-PreviousVDO_Input]:[F-NextVDO_Input]],MATCH($D27&amp;" - Peak",Input_Usage[[Ref]:[Ref]],0),MATCH($D$21,Inputs!$I$134:$O$134,0)))+
IFERROR((INDEX(OP_TotalRates_RES_2[[Ausnet]:[United Energy]],MATCH("TOU - Shoulder",OP_TotalRates_RES_2[[Rate name]:[Rate name]],0),MATCH(F$24,OP_TotalRates_RES_2[[#Headers],[Ausnet]:[United Energy]],0))*
INDEX(Input_Usage[[F-PreviousVDO_Input]:[F-NextVDO_Input]],MATCH($D27&amp;" - Shoulder",Input_Usage[[Ref]:[Ref]],0),MATCH($D$21,Inputs!$I$134:$O$134,0))),0)+
(INDEX(OP_TotalRates_RES_2[[Ausnet]:[United Energy]],MATCH("Off peak",OP_TotalRates_RES_2[[Rate name]:[Rate name]],0),MATCH(F$24,OP_TotalRates_RES_2[[#Headers],[Ausnet]:[United Energy]],0))*
INDEX(Input_Usage[[F-PreviousVDO_Input]:[F-NextVDO_Input]],MATCH($D27&amp;" - Off peak",Input_Usage[[Ref]:[Ref]],0),MATCH($D$21,Inputs!$I$134:$O$134,0))),0)),"-")</f>
        <v>2162</v>
      </c>
      <c r="G27" s="120">
        <f>IFERROR(
IF($D$21="VDO 2021 - Final",
ROUNDUP(
(INDEX(OP_TotalRates_RES_2[[Ausnet]:[United Energy]],MATCH("Anytime - supply",OP_TotalRates_RES_2[[Rate name]:[Rate name]],0),MATCH(G$24,OP_TotalRates_RES_2[[#Headers],[Ausnet]:[United Energy]],0))*DiY)+
(IFERROR((INDEX(OP_TotalRates_RES_2[[Ausnet]:[United Energy]],MATCH("Block 1",OP_TotalRates_RES_2[[Rate name]:[Rate name]],0),MATCH(G$24,OP_TotalRates_RES_2[[#Headers],[Ausnet]:[United Energy]],0))*
INDEX(Input_Usage[[F-PreviousVDO_Input]:[F-NextVDO_Input]],MATCH($D27&amp;" - Block 1",Input_Usage[[Ref]:[Ref]],0),MATCH($D$21,Inputs!$I$134:$O$134,0))),0)+
IFERROR((INDEX(OP_TotalRates_RES_2[[Ausnet]:[United Energy]],MATCH("Balance",OP_TotalRates_RES_2[[Rate name]:[Rate name]],0),MATCH(G$24,OP_TotalRates_RES_2[[#Headers],[Ausnet]:[United Energy]],0))*
INDEX(Input_Usage[[F-PreviousVDO_Input]:[F-NextVDO_Input]],MATCH($D27&amp;" - Balance",Input_Usage[[Ref]:[Ref]],0),MATCH($D$21,Inputs!$I$134:$O$134,0))),0)+
IFERROR((INDEX(OP_TotalRates_RES_2[[Ausnet]:[United Energy]],MATCH("Single rate",OP_TotalRates_RES_2[[Rate name]:[Rate name]],0),MATCH(G$24,OP_TotalRates_RES_2[[#Headers],[Ausnet]:[United Energy]],0))*
INDEX(Input_Usage[[F-PreviousVDO_Input]:[F-NextVDO_Input]],MATCH($D27&amp;" - Annual",Input_Usage[[Ref]:[Ref]],0),MATCH($D$21,Inputs!$I$134:$O$134,0))),0)),0),
ROUNDUP(
(INDEX(OP_TotalRates_RES_2[[Ausnet]:[United Energy]],MATCH("TOU - supply",OP_TotalRates_RES_2[[Rate name]:[Rate name]],0),MATCH(G$24,OP_TotalRates_RES_2[[#Headers],[Ausnet]:[United Energy]],0))*DiY)+
(INDEX(OP_TotalRates_RES_2[[Ausnet]:[United Energy]],MATCH("Peak",OP_TotalRates_RES_2[[Rate name]:[Rate name]],0),MATCH(G$24,OP_TotalRates_RES_2[[#Headers],[Ausnet]:[United Energy]],0))*
INDEX(Input_Usage[[F-PreviousVDO_Input]:[F-NextVDO_Input]],MATCH($D27&amp;" - Peak",Input_Usage[[Ref]:[Ref]],0),MATCH($D$21,Inputs!$I$134:$O$134,0)))+
IFERROR((INDEX(OP_TotalRates_RES_2[[Ausnet]:[United Energy]],MATCH("TOU - Shoulder",OP_TotalRates_RES_2[[Rate name]:[Rate name]],0),MATCH(G$24,OP_TotalRates_RES_2[[#Headers],[Ausnet]:[United Energy]],0))*
INDEX(Input_Usage[[F-PreviousVDO_Input]:[F-NextVDO_Input]],MATCH($D27&amp;" - Shoulder",Input_Usage[[Ref]:[Ref]],0),MATCH($D$21,Inputs!$I$134:$O$134,0))),0)+
(INDEX(OP_TotalRates_RES_2[[Ausnet]:[United Energy]],MATCH("Off peak",OP_TotalRates_RES_2[[Rate name]:[Rate name]],0),MATCH(G$24,OP_TotalRates_RES_2[[#Headers],[Ausnet]:[United Energy]],0))*
INDEX(Input_Usage[[F-PreviousVDO_Input]:[F-NextVDO_Input]],MATCH($D27&amp;" - Off peak",Input_Usage[[Ref]:[Ref]],0),MATCH($D$21,Inputs!$I$134:$O$134,0))),0)),"-")</f>
        <v>2080</v>
      </c>
      <c r="H27" s="120">
        <f>IFERROR(
IF($D$21="VDO 2021 - Final",
ROUNDUP(
(INDEX(OP_TotalRates_RES_2[[Ausnet]:[United Energy]],MATCH("Anytime - supply",OP_TotalRates_RES_2[[Rate name]:[Rate name]],0),MATCH(H$24,OP_TotalRates_RES_2[[#Headers],[Ausnet]:[United Energy]],0))*DiY)+
(IFERROR((INDEX(OP_TotalRates_RES_2[[Ausnet]:[United Energy]],MATCH("Block 1",OP_TotalRates_RES_2[[Rate name]:[Rate name]],0),MATCH(H$24,OP_TotalRates_RES_2[[#Headers],[Ausnet]:[United Energy]],0))*
INDEX(Input_Usage[[F-PreviousVDO_Input]:[F-NextVDO_Input]],MATCH($D27&amp;" - Block 1",Input_Usage[[Ref]:[Ref]],0),MATCH($D$21,Inputs!$I$134:$O$134,0))),0)+
IFERROR((INDEX(OP_TotalRates_RES_2[[Ausnet]:[United Energy]],MATCH("Balance",OP_TotalRates_RES_2[[Rate name]:[Rate name]],0),MATCH(H$24,OP_TotalRates_RES_2[[#Headers],[Ausnet]:[United Energy]],0))*
INDEX(Input_Usage[[F-PreviousVDO_Input]:[F-NextVDO_Input]],MATCH($D27&amp;" - Balance",Input_Usage[[Ref]:[Ref]],0),MATCH($D$21,Inputs!$I$134:$O$134,0))),0)+
IFERROR((INDEX(OP_TotalRates_RES_2[[Ausnet]:[United Energy]],MATCH("Single rate",OP_TotalRates_RES_2[[Rate name]:[Rate name]],0),MATCH(H$24,OP_TotalRates_RES_2[[#Headers],[Ausnet]:[United Energy]],0))*
INDEX(Input_Usage[[F-PreviousVDO_Input]:[F-NextVDO_Input]],MATCH($D27&amp;" - Annual",Input_Usage[[Ref]:[Ref]],0),MATCH($D$21,Inputs!$I$134:$O$134,0))),0)),0),
ROUNDUP(
(INDEX(OP_TotalRates_RES_2[[Ausnet]:[United Energy]],MATCH("TOU - supply",OP_TotalRates_RES_2[[Rate name]:[Rate name]],0),MATCH(H$24,OP_TotalRates_RES_2[[#Headers],[Ausnet]:[United Energy]],0))*DiY)+
(INDEX(OP_TotalRates_RES_2[[Ausnet]:[United Energy]],MATCH("Peak",OP_TotalRates_RES_2[[Rate name]:[Rate name]],0),MATCH(H$24,OP_TotalRates_RES_2[[#Headers],[Ausnet]:[United Energy]],0))*
INDEX(Input_Usage[[F-PreviousVDO_Input]:[F-NextVDO_Input]],MATCH($D27&amp;" - Peak",Input_Usage[[Ref]:[Ref]],0),MATCH($D$21,Inputs!$I$134:$O$134,0)))+
IFERROR((INDEX(OP_TotalRates_RES_2[[Ausnet]:[United Energy]],MATCH("TOU - Shoulder",OP_TotalRates_RES_2[[Rate name]:[Rate name]],0),MATCH(H$24,OP_TotalRates_RES_2[[#Headers],[Ausnet]:[United Energy]],0))*
INDEX(Input_Usage[[F-PreviousVDO_Input]:[F-NextVDO_Input]],MATCH($D27&amp;" - Shoulder",Input_Usage[[Ref]:[Ref]],0),MATCH($D$21,Inputs!$I$134:$O$134,0))),0)+
(INDEX(OP_TotalRates_RES_2[[Ausnet]:[United Energy]],MATCH("Off peak",OP_TotalRates_RES_2[[Rate name]:[Rate name]],0),MATCH(H$24,OP_TotalRates_RES_2[[#Headers],[Ausnet]:[United Energy]],0))*
INDEX(Input_Usage[[F-PreviousVDO_Input]:[F-NextVDO_Input]],MATCH($D27&amp;" - Off peak",Input_Usage[[Ref]:[Ref]],0),MATCH($D$21,Inputs!$I$134:$O$134,0))),0)),"-")</f>
        <v>2249</v>
      </c>
      <c r="I27" s="120">
        <f>IFERROR(
IF($D$21="VDO 2021 - Final",
ROUNDUP(
(INDEX(OP_TotalRates_RES_2[[Ausnet]:[United Energy]],MATCH("Anytime - supply",OP_TotalRates_RES_2[[Rate name]:[Rate name]],0),MATCH(I$24,OP_TotalRates_RES_2[[#Headers],[Ausnet]:[United Energy]],0))*DiY)+
(IFERROR((INDEX(OP_TotalRates_RES_2[[Ausnet]:[United Energy]],MATCH("Block 1",OP_TotalRates_RES_2[[Rate name]:[Rate name]],0),MATCH(I$24,OP_TotalRates_RES_2[[#Headers],[Ausnet]:[United Energy]],0))*
INDEX(Input_Usage[[F-PreviousVDO_Input]:[F-NextVDO_Input]],MATCH($D27&amp;" - Block 1",Input_Usage[[Ref]:[Ref]],0),MATCH($D$21,Inputs!$I$134:$O$134,0))),0)+
IFERROR((INDEX(OP_TotalRates_RES_2[[Ausnet]:[United Energy]],MATCH("Balance",OP_TotalRates_RES_2[[Rate name]:[Rate name]],0),MATCH(I$24,OP_TotalRates_RES_2[[#Headers],[Ausnet]:[United Energy]],0))*
INDEX(Input_Usage[[F-PreviousVDO_Input]:[F-NextVDO_Input]],MATCH($D27&amp;" - Balance",Input_Usage[[Ref]:[Ref]],0),MATCH($D$21,Inputs!$I$134:$O$134,0))),0)+
IFERROR((INDEX(OP_TotalRates_RES_2[[Ausnet]:[United Energy]],MATCH("Single rate",OP_TotalRates_RES_2[[Rate name]:[Rate name]],0),MATCH(I$24,OP_TotalRates_RES_2[[#Headers],[Ausnet]:[United Energy]],0))*
INDEX(Input_Usage[[F-PreviousVDO_Input]:[F-NextVDO_Input]],MATCH($D27&amp;" - Annual",Input_Usage[[Ref]:[Ref]],0),MATCH($D$21,Inputs!$I$134:$O$134,0))),0)),0),
ROUNDUP(
(INDEX(OP_TotalRates_RES_2[[Ausnet]:[United Energy]],MATCH("TOU - supply",OP_TotalRates_RES_2[[Rate name]:[Rate name]],0),MATCH(I$24,OP_TotalRates_RES_2[[#Headers],[Ausnet]:[United Energy]],0))*DiY)+
(INDEX(OP_TotalRates_RES_2[[Ausnet]:[United Energy]],MATCH("Peak",OP_TotalRates_RES_2[[Rate name]:[Rate name]],0),MATCH(I$24,OP_TotalRates_RES_2[[#Headers],[Ausnet]:[United Energy]],0))*
INDEX(Input_Usage[[F-PreviousVDO_Input]:[F-NextVDO_Input]],MATCH($D27&amp;" - Peak",Input_Usage[[Ref]:[Ref]],0),MATCH($D$21,Inputs!$I$134:$O$134,0)))+
IFERROR((INDEX(OP_TotalRates_RES_2[[Ausnet]:[United Energy]],MATCH("TOU - Shoulder",OP_TotalRates_RES_2[[Rate name]:[Rate name]],0),MATCH(I$24,OP_TotalRates_RES_2[[#Headers],[Ausnet]:[United Energy]],0))*
INDEX(Input_Usage[[F-PreviousVDO_Input]:[F-NextVDO_Input]],MATCH($D27&amp;" - Shoulder",Input_Usage[[Ref]:[Ref]],0),MATCH($D$21,Inputs!$I$134:$O$134,0))),0)+
(INDEX(OP_TotalRates_RES_2[[Ausnet]:[United Energy]],MATCH("Off peak",OP_TotalRates_RES_2[[Rate name]:[Rate name]],0),MATCH(I$24,OP_TotalRates_RES_2[[#Headers],[Ausnet]:[United Energy]],0))*
INDEX(Input_Usage[[F-PreviousVDO_Input]:[F-NextVDO_Input]],MATCH($D27&amp;" - Off peak",Input_Usage[[Ref]:[Ref]],0),MATCH($D$21,Inputs!$I$134:$O$134,0))),0)),"-")</f>
        <v>2167</v>
      </c>
      <c r="K27" s="44" t="s">
        <v>93</v>
      </c>
      <c r="L27" s="44" t="s">
        <v>227</v>
      </c>
      <c r="M27" s="120">
        <f>IFERROR(
IF($D$21="VDO 2021 - Final",
ROUNDUP(
(INDEX(OP_TotalRates_SME_2[[Ausnet]:[United Energy]],MATCH("Anytime - supply",OP_TotalRates_SME_2[[Rate name]:[Rate name]],0),MATCH(M$24,OP_TotalRates_SME_2[[#Headers],[Ausnet]:[United Energy]],0))*DiY)+
(IFERROR((INDEX(OP_TotalRates_SME_2[[Ausnet]:[United Energy]],MATCH("Block 1",OP_TotalRates_SME_2[[Rate name]:[Rate name]],0),MATCH(M$24,OP_TotalRates_SME_2[[#Headers],[Ausnet]:[United Energy]],0))*
INDEX(Input_Usage[[F-PreviousVDO_Input]:[F-NextVDO_Input]],MATCH($L27&amp;" - Block 1",Input_Usage[[Ref]:[Ref]],0),MATCH($D$21,Inputs!$I$134:$O$134,0))),0)+
IFERROR((INDEX(OP_TotalRates_SME_2[[Ausnet]:[United Energy]],MATCH("Balance",OP_TotalRates_SME_2[[Rate name]:[Rate name]],0),MATCH(M$24,OP_TotalRates_SME_2[[#Headers],[Ausnet]:[United Energy]],0))*
INDEX(Input_Usage[[F-PreviousVDO_Input]:[F-NextVDO_Input]],MATCH($L27&amp;" - Balance",Input_Usage[[Ref]:[Ref]],0),MATCH($D$21,Inputs!$I$134:$O$134,0))),0)+
IFERROR((INDEX(OP_TotalRates_SME_2[[Ausnet]:[United Energy]],MATCH("Single rate",OP_TotalRates_SME_2[[Rate name]:[Rate name]],0),MATCH(M$24,OP_TotalRates_SME_2[[#Headers],[Ausnet]:[United Energy]],0))*
INDEX(Input_Usage[[F-PreviousVDO_Input]:[F-NextVDO_Input]],MATCH($L27&amp;" - Annual",Input_Usage[[Ref]:[Ref]],0),MATCH($D$21,Inputs!$I$134:$O$134,0))),0)),0),
ROUNDUP(
(INDEX(OP_TotalRates_SME_2[[Ausnet]:[United Energy]],MATCH("TOU - supply",OP_TotalRates_SME_2[[Rate name]:[Rate name]],0),MATCH(M$24,OP_TotalRates_SME_2[[#Headers],[Ausnet]:[United Energy]],0))*DiY)+
(INDEX(OP_TotalRates_SME_2[[Ausnet]:[United Energy]],MATCH("Peak",OP_TotalRates_SME_2[[Rate name]:[Rate name]],0),MATCH(M$24,OP_TotalRates_SME_2[[#Headers],[Ausnet]:[United Energy]],0))*
INDEX(Input_Usage[[F-PreviousVDO_Input]:[F-NextVDO_Input]],MATCH($L27&amp;" - Peak",Input_Usage[[Ref]:[Ref]],0),MATCH($D$21,Inputs!$I$134:$O$134,0)))+
IFERROR((INDEX(OP_TotalRates_SME_2[[Ausnet]:[United Energy]],MATCH("TOU - Shoulder",OP_TotalRates_SME_2[[Rate name]:[Rate name]],0),MATCH(M$24,OP_TotalRates_SME_2[[#Headers],[Ausnet]:[United Energy]],0))*
INDEX(Input_Usage[[F-PreviousVDO_Input]:[F-NextVDO_Input]],MATCH($L27&amp;" - Shoulder",Input_Usage[[Ref]:[Ref]],0),MATCH($D$21,Inputs!$I$134:$O$134,0))),0)+
(INDEX(OP_TotalRates_SME_2[[Ausnet]:[United Energy]],MATCH("Off peak",OP_TotalRates_SME_2[[Rate name]:[Rate name]],0),MATCH(M$24,OP_TotalRates_SME_2[[#Headers],[Ausnet]:[United Energy]],0))*
INDEX(Input_Usage[[F-PreviousVDO_Input]:[F-NextVDO_Input]],MATCH($L27&amp;" - Off peak",Input_Usage[[Ref]:[Ref]],0),MATCH($D$21,Inputs!$I$134:$O$134,0))),0)),"-")</f>
        <v>10148</v>
      </c>
      <c r="N27" s="120">
        <f>IFERROR(
IF($D$21="VDO 2021 - Final",
ROUNDUP(
(INDEX(OP_TotalRates_SME_2[[Ausnet]:[United Energy]],MATCH("Anytime - supply",OP_TotalRates_SME_2[[Rate name]:[Rate name]],0),MATCH(N$24,OP_TotalRates_SME_2[[#Headers],[Ausnet]:[United Energy]],0))*DiY)+
(IFERROR((INDEX(OP_TotalRates_SME_2[[Ausnet]:[United Energy]],MATCH("Block 1",OP_TotalRates_SME_2[[Rate name]:[Rate name]],0),MATCH(N$24,OP_TotalRates_SME_2[[#Headers],[Ausnet]:[United Energy]],0))*
INDEX(Input_Usage[[F-PreviousVDO_Input]:[F-NextVDO_Input]],MATCH($L27&amp;" - Block 1",Input_Usage[[Ref]:[Ref]],0),MATCH($D$21,Inputs!$I$134:$O$134,0))),0)+
IFERROR((INDEX(OP_TotalRates_SME_2[[Ausnet]:[United Energy]],MATCH("Balance",OP_TotalRates_SME_2[[Rate name]:[Rate name]],0),MATCH(N$24,OP_TotalRates_SME_2[[#Headers],[Ausnet]:[United Energy]],0))*
INDEX(Input_Usage[[F-PreviousVDO_Input]:[F-NextVDO_Input]],MATCH($L27&amp;" - Balance",Input_Usage[[Ref]:[Ref]],0),MATCH($D$21,Inputs!$I$134:$O$134,0))),0)+
IFERROR((INDEX(OP_TotalRates_SME_2[[Ausnet]:[United Energy]],MATCH("Single rate",OP_TotalRates_SME_2[[Rate name]:[Rate name]],0),MATCH(N$24,OP_TotalRates_SME_2[[#Headers],[Ausnet]:[United Energy]],0))*
INDEX(Input_Usage[[F-PreviousVDO_Input]:[F-NextVDO_Input]],MATCH($L27&amp;" - Annual",Input_Usage[[Ref]:[Ref]],0),MATCH($D$21,Inputs!$I$134:$O$134,0))),0)),0),
ROUNDUP(
(INDEX(OP_TotalRates_SME_2[[Ausnet]:[United Energy]],MATCH("TOU - supply",OP_TotalRates_SME_2[[Rate name]:[Rate name]],0),MATCH(N$24,OP_TotalRates_SME_2[[#Headers],[Ausnet]:[United Energy]],0))*DiY)+
(INDEX(OP_TotalRates_SME_2[[Ausnet]:[United Energy]],MATCH("Peak",OP_TotalRates_SME_2[[Rate name]:[Rate name]],0),MATCH(N$24,OP_TotalRates_SME_2[[#Headers],[Ausnet]:[United Energy]],0))*
INDEX(Input_Usage[[F-PreviousVDO_Input]:[F-NextVDO_Input]],MATCH($L27&amp;" - Peak",Input_Usage[[Ref]:[Ref]],0),MATCH($D$21,Inputs!$I$134:$O$134,0)))+
IFERROR((INDEX(OP_TotalRates_SME_2[[Ausnet]:[United Energy]],MATCH("TOU - Shoulder",OP_TotalRates_SME_2[[Rate name]:[Rate name]],0),MATCH(N$24,OP_TotalRates_SME_2[[#Headers],[Ausnet]:[United Energy]],0))*
INDEX(Input_Usage[[F-PreviousVDO_Input]:[F-NextVDO_Input]],MATCH($L27&amp;" - Shoulder",Input_Usage[[Ref]:[Ref]],0),MATCH($D$21,Inputs!$I$134:$O$134,0))),0)+
(INDEX(OP_TotalRates_SME_2[[Ausnet]:[United Energy]],MATCH("Off peak",OP_TotalRates_SME_2[[Rate name]:[Rate name]],0),MATCH(N$24,OP_TotalRates_SME_2[[#Headers],[Ausnet]:[United Energy]],0))*
INDEX(Input_Usage[[F-PreviousVDO_Input]:[F-NextVDO_Input]],MATCH($L27&amp;" - Off peak",Input_Usage[[Ref]:[Ref]],0),MATCH($D$21,Inputs!$I$134:$O$134,0))),0)),"-")</f>
        <v>8892</v>
      </c>
      <c r="O27" s="120">
        <f>IFERROR(
IF($D$21="VDO 2021 - Final",
ROUNDUP(
(INDEX(OP_TotalRates_SME_2[[Ausnet]:[United Energy]],MATCH("Anytime - supply",OP_TotalRates_SME_2[[Rate name]:[Rate name]],0),MATCH(O$24,OP_TotalRates_SME_2[[#Headers],[Ausnet]:[United Energy]],0))*DiY)+
(IFERROR((INDEX(OP_TotalRates_SME_2[[Ausnet]:[United Energy]],MATCH("Block 1",OP_TotalRates_SME_2[[Rate name]:[Rate name]],0),MATCH(O$24,OP_TotalRates_SME_2[[#Headers],[Ausnet]:[United Energy]],0))*
INDEX(Input_Usage[[F-PreviousVDO_Input]:[F-NextVDO_Input]],MATCH($L27&amp;" - Block 1",Input_Usage[[Ref]:[Ref]],0),MATCH($D$21,Inputs!$I$134:$O$134,0))),0)+
IFERROR((INDEX(OP_TotalRates_SME_2[[Ausnet]:[United Energy]],MATCH("Balance",OP_TotalRates_SME_2[[Rate name]:[Rate name]],0),MATCH(O$24,OP_TotalRates_SME_2[[#Headers],[Ausnet]:[United Energy]],0))*
INDEX(Input_Usage[[F-PreviousVDO_Input]:[F-NextVDO_Input]],MATCH($L27&amp;" - Balance",Input_Usage[[Ref]:[Ref]],0),MATCH($D$21,Inputs!$I$134:$O$134,0))),0)+
IFERROR((INDEX(OP_TotalRates_SME_2[[Ausnet]:[United Energy]],MATCH("Single rate",OP_TotalRates_SME_2[[Rate name]:[Rate name]],0),MATCH(O$24,OP_TotalRates_SME_2[[#Headers],[Ausnet]:[United Energy]],0))*
INDEX(Input_Usage[[F-PreviousVDO_Input]:[F-NextVDO_Input]],MATCH($L27&amp;" - Annual",Input_Usage[[Ref]:[Ref]],0),MATCH($D$21,Inputs!$I$134:$O$134,0))),0)),0),
ROUNDUP(
(INDEX(OP_TotalRates_SME_2[[Ausnet]:[United Energy]],MATCH("TOU - supply",OP_TotalRates_SME_2[[Rate name]:[Rate name]],0),MATCH(O$24,OP_TotalRates_SME_2[[#Headers],[Ausnet]:[United Energy]],0))*DiY)+
(INDEX(OP_TotalRates_SME_2[[Ausnet]:[United Energy]],MATCH("Peak",OP_TotalRates_SME_2[[Rate name]:[Rate name]],0),MATCH(O$24,OP_TotalRates_SME_2[[#Headers],[Ausnet]:[United Energy]],0))*
INDEX(Input_Usage[[F-PreviousVDO_Input]:[F-NextVDO_Input]],MATCH($L27&amp;" - Peak",Input_Usage[[Ref]:[Ref]],0),MATCH($D$21,Inputs!$I$134:$O$134,0)))+
IFERROR((INDEX(OP_TotalRates_SME_2[[Ausnet]:[United Energy]],MATCH("TOU - Shoulder",OP_TotalRates_SME_2[[Rate name]:[Rate name]],0),MATCH(O$24,OP_TotalRates_SME_2[[#Headers],[Ausnet]:[United Energy]],0))*
INDEX(Input_Usage[[F-PreviousVDO_Input]:[F-NextVDO_Input]],MATCH($L27&amp;" - Shoulder",Input_Usage[[Ref]:[Ref]],0),MATCH($D$21,Inputs!$I$134:$O$134,0))),0)+
(INDEX(OP_TotalRates_SME_2[[Ausnet]:[United Energy]],MATCH("Off peak",OP_TotalRates_SME_2[[Rate name]:[Rate name]],0),MATCH(O$24,OP_TotalRates_SME_2[[#Headers],[Ausnet]:[United Energy]],0))*
INDEX(Input_Usage[[F-PreviousVDO_Input]:[F-NextVDO_Input]],MATCH($L27&amp;" - Off peak",Input_Usage[[Ref]:[Ref]],0),MATCH($D$21,Inputs!$I$134:$O$134,0))),0)),"-")</f>
        <v>9310</v>
      </c>
      <c r="P27" s="120">
        <f>IFERROR(
IF($D$21="VDO 2021 - Final",
ROUNDUP(
(INDEX(OP_TotalRates_SME_2[[Ausnet]:[United Energy]],MATCH("Anytime - supply",OP_TotalRates_SME_2[[Rate name]:[Rate name]],0),MATCH(P$24,OP_TotalRates_SME_2[[#Headers],[Ausnet]:[United Energy]],0))*DiY)+
(IFERROR((INDEX(OP_TotalRates_SME_2[[Ausnet]:[United Energy]],MATCH("Block 1",OP_TotalRates_SME_2[[Rate name]:[Rate name]],0),MATCH(P$24,OP_TotalRates_SME_2[[#Headers],[Ausnet]:[United Energy]],0))*
INDEX(Input_Usage[[F-PreviousVDO_Input]:[F-NextVDO_Input]],MATCH($L27&amp;" - Block 1",Input_Usage[[Ref]:[Ref]],0),MATCH($D$21,Inputs!$I$134:$O$134,0))),0)+
IFERROR((INDEX(OP_TotalRates_SME_2[[Ausnet]:[United Energy]],MATCH("Balance",OP_TotalRates_SME_2[[Rate name]:[Rate name]],0),MATCH(P$24,OP_TotalRates_SME_2[[#Headers],[Ausnet]:[United Energy]],0))*
INDEX(Input_Usage[[F-PreviousVDO_Input]:[F-NextVDO_Input]],MATCH($L27&amp;" - Balance",Input_Usage[[Ref]:[Ref]],0),MATCH($D$21,Inputs!$I$134:$O$134,0))),0)+
IFERROR((INDEX(OP_TotalRates_SME_2[[Ausnet]:[United Energy]],MATCH("Single rate",OP_TotalRates_SME_2[[Rate name]:[Rate name]],0),MATCH(P$24,OP_TotalRates_SME_2[[#Headers],[Ausnet]:[United Energy]],0))*
INDEX(Input_Usage[[F-PreviousVDO_Input]:[F-NextVDO_Input]],MATCH($L27&amp;" - Annual",Input_Usage[[Ref]:[Ref]],0),MATCH($D$21,Inputs!$I$134:$O$134,0))),0)),0),
ROUNDUP(
(INDEX(OP_TotalRates_SME_2[[Ausnet]:[United Energy]],MATCH("TOU - supply",OP_TotalRates_SME_2[[Rate name]:[Rate name]],0),MATCH(P$24,OP_TotalRates_SME_2[[#Headers],[Ausnet]:[United Energy]],0))*DiY)+
(INDEX(OP_TotalRates_SME_2[[Ausnet]:[United Energy]],MATCH("Peak",OP_TotalRates_SME_2[[Rate name]:[Rate name]],0),MATCH(P$24,OP_TotalRates_SME_2[[#Headers],[Ausnet]:[United Energy]],0))*
INDEX(Input_Usage[[F-PreviousVDO_Input]:[F-NextVDO_Input]],MATCH($L27&amp;" - Peak",Input_Usage[[Ref]:[Ref]],0),MATCH($D$21,Inputs!$I$134:$O$134,0)))+
IFERROR((INDEX(OP_TotalRates_SME_2[[Ausnet]:[United Energy]],MATCH("TOU - Shoulder",OP_TotalRates_SME_2[[Rate name]:[Rate name]],0),MATCH(P$24,OP_TotalRates_SME_2[[#Headers],[Ausnet]:[United Energy]],0))*
INDEX(Input_Usage[[F-PreviousVDO_Input]:[F-NextVDO_Input]],MATCH($L27&amp;" - Shoulder",Input_Usage[[Ref]:[Ref]],0),MATCH($D$21,Inputs!$I$134:$O$134,0))),0)+
(INDEX(OP_TotalRates_SME_2[[Ausnet]:[United Energy]],MATCH("Off peak",OP_TotalRates_SME_2[[Rate name]:[Rate name]],0),MATCH(P$24,OP_TotalRates_SME_2[[#Headers],[Ausnet]:[United Energy]],0))*
INDEX(Input_Usage[[F-PreviousVDO_Input]:[F-NextVDO_Input]],MATCH($L27&amp;" - Off peak",Input_Usage[[Ref]:[Ref]],0),MATCH($D$21,Inputs!$I$134:$O$134,0))),0)),"-")</f>
        <v>9368</v>
      </c>
      <c r="Q27" s="120">
        <f>IFERROR(
IF($D$21="VDO 2021 - Final",
ROUNDUP(
(INDEX(OP_TotalRates_SME_2[[Ausnet]:[United Energy]],MATCH("Anytime - supply",OP_TotalRates_SME_2[[Rate name]:[Rate name]],0),MATCH(Q$24,OP_TotalRates_SME_2[[#Headers],[Ausnet]:[United Energy]],0))*DiY)+
(IFERROR((INDEX(OP_TotalRates_SME_2[[Ausnet]:[United Energy]],MATCH("Block 1",OP_TotalRates_SME_2[[Rate name]:[Rate name]],0),MATCH(Q$24,OP_TotalRates_SME_2[[#Headers],[Ausnet]:[United Energy]],0))*
INDEX(Input_Usage[[F-PreviousVDO_Input]:[F-NextVDO_Input]],MATCH($L27&amp;" - Block 1",Input_Usage[[Ref]:[Ref]],0),MATCH($D$21,Inputs!$I$134:$O$134,0))),0)+
IFERROR((INDEX(OP_TotalRates_SME_2[[Ausnet]:[United Energy]],MATCH("Balance",OP_TotalRates_SME_2[[Rate name]:[Rate name]],0),MATCH(Q$24,OP_TotalRates_SME_2[[#Headers],[Ausnet]:[United Energy]],0))*
INDEX(Input_Usage[[F-PreviousVDO_Input]:[F-NextVDO_Input]],MATCH($L27&amp;" - Balance",Input_Usage[[Ref]:[Ref]],0),MATCH($D$21,Inputs!$I$134:$O$134,0))),0)+
IFERROR((INDEX(OP_TotalRates_SME_2[[Ausnet]:[United Energy]],MATCH("Single rate",OP_TotalRates_SME_2[[Rate name]:[Rate name]],0),MATCH(Q$24,OP_TotalRates_SME_2[[#Headers],[Ausnet]:[United Energy]],0))*
INDEX(Input_Usage[[F-PreviousVDO_Input]:[F-NextVDO_Input]],MATCH($L27&amp;" - Annual",Input_Usage[[Ref]:[Ref]],0),MATCH($D$21,Inputs!$I$134:$O$134,0))),0)),0),
ROUNDUP(
(INDEX(OP_TotalRates_SME_2[[Ausnet]:[United Energy]],MATCH("TOU - supply",OP_TotalRates_SME_2[[Rate name]:[Rate name]],0),MATCH(Q$24,OP_TotalRates_SME_2[[#Headers],[Ausnet]:[United Energy]],0))*DiY)+
(INDEX(OP_TotalRates_SME_2[[Ausnet]:[United Energy]],MATCH("Peak",OP_TotalRates_SME_2[[Rate name]:[Rate name]],0),MATCH(Q$24,OP_TotalRates_SME_2[[#Headers],[Ausnet]:[United Energy]],0))*
INDEX(Input_Usage[[F-PreviousVDO_Input]:[F-NextVDO_Input]],MATCH($L27&amp;" - Peak",Input_Usage[[Ref]:[Ref]],0),MATCH($D$21,Inputs!$I$134:$O$134,0)))+
IFERROR((INDEX(OP_TotalRates_SME_2[[Ausnet]:[United Energy]],MATCH("TOU - Shoulder",OP_TotalRates_SME_2[[Rate name]:[Rate name]],0),MATCH(Q$24,OP_TotalRates_SME_2[[#Headers],[Ausnet]:[United Energy]],0))*
INDEX(Input_Usage[[F-PreviousVDO_Input]:[F-NextVDO_Input]],MATCH($L27&amp;" - Shoulder",Input_Usage[[Ref]:[Ref]],0),MATCH($D$21,Inputs!$I$134:$O$134,0))),0)+
(INDEX(OP_TotalRates_SME_2[[Ausnet]:[United Energy]],MATCH("Off peak",OP_TotalRates_SME_2[[Rate name]:[Rate name]],0),MATCH(Q$24,OP_TotalRates_SME_2[[#Headers],[Ausnet]:[United Energy]],0))*
INDEX(Input_Usage[[F-PreviousVDO_Input]:[F-NextVDO_Input]],MATCH($L27&amp;" - Off peak",Input_Usage[[Ref]:[Ref]],0),MATCH($D$21,Inputs!$I$134:$O$134,0))),0)),"-")</f>
        <v>9149</v>
      </c>
    </row>
    <row r="29" spans="1:18" ht="15.75" x14ac:dyDescent="0.25">
      <c r="E29" s="93">
        <f>IF($D$21="VDO 2021 - Final",
IF(E25=
ROUNDUP(
(INDEX(OP_TotalRates_RES_2[[Ausnet]:[United Energy]],MATCH("Anytime - supply",OP_TotalRates_RES_2[[Rate name]:[Rate name]],0),MATCH(OP_CMAB!E$24,OP_TotalRates_RES_2[[#Headers],[Ausnet]:[United Energy]],0))*DiY)+
(IFERROR((INDEX(OP_TotalRates_RES_2[[Ausnet]:[United Energy]],MATCH("Block 1",OP_TotalRates_RES_2[[Rate name]:[Rate name]],0),MATCH(OP_CMAB!E$24,OP_TotalRates_RES_2[[#Headers],[Ausnet]:[United Energy]],0))*
INDEX(Input_Usage[[F-PreviousVDO_Input]:[F-CurrentVDO_Input]],MATCH(OP_CMAB!$D25&amp;" - Block 1",Input_Usage[[Ref]:[Ref]],0),MATCH(OP_CMAB!$D$21,Inputs!$I$134:$M$134,0))),0)+
IFERROR((INDEX(OP_TotalRates_RES_2[[Ausnet]:[United Energy]],MATCH("Balance",OP_TotalRates_RES_2[[Rate name]:[Rate name]],0),MATCH(OP_CMAB!E$24,OP_TotalRates_RES_2[[#Headers],[Ausnet]:[United Energy]],0))*
INDEX(Input_Usage[[F-PreviousVDO_Input]:[F-CurrentVDO_Input]],MATCH(OP_CMAB!$D25&amp;" - Balance",Input_Usage[[Ref]:[Ref]],0),MATCH(OP_CMAB!$D$21,Inputs!$I$134:$M$134,0))),0)+
IFERROR((INDEX(OP_TotalRates_RES_2[[Ausnet]:[United Energy]],MATCH("Single rate",OP_TotalRates_RES_2[[Rate name]:[Rate name]],0),MATCH(OP_CMAB!E$24,OP_TotalRates_RES_2[[#Headers],[Ausnet]:[United Energy]],0))*
INDEX(Input_Usage[[F-PreviousVDO_Input]:[F-CurrentVDO_Input]],MATCH(OP_CMAB!$D25&amp;" - Annual",Input_Usage[[Ref]:[Ref]],0),MATCH(OP_CMAB!$D$21,Inputs!$I$134:$M$134,0))),0)),0),0,1),
IF(E25=
ROUNDUP(
(INDEX(OP_TotalRates_RES_2[[Ausnet]:[United Energy]],MATCH("TOU - supply",OP_TotalRates_RES_2[[Rate name]:[Rate name]],0),MATCH(OP_CMAB!E$24,OP_TotalRates_RES_2[[#Headers],[Ausnet]:[United Energy]],0))*DiY)+
(INDEX(OP_TotalRates_RES_2[[Ausnet]:[United Energy]],MATCH("Peak",OP_TotalRates_RES_2[[Rate name]:[Rate name]],0),MATCH(OP_CMAB!E$24,OP_TotalRates_RES_2[[#Headers],[Ausnet]:[United Energy]],0))*
INDEX(Input_Usage[[F-PreviousVDO_Input]:[F-CurrentVDO_Input]],MATCH($D25&amp;" - Peak",Input_Usage[[Ref]:[Ref]],0),MATCH($D$21,Inputs!$I$134:$M$134,0)))+
IFERROR((INDEX(OP_TotalRates_RES_2[[Ausnet]:[United Energy]],MATCH("TOU - Shoulder",OP_TotalRates_RES_2[[Rate name]:[Rate name]],0),MATCH(OP_CMAB!E$24,OP_TotalRates_RES_2[[#Headers],[Ausnet]:[United Energy]],0))*
INDEX(Input_Usage[[F-PreviousVDO_Input]:[F-CurrentVDO_Input]],MATCH($D25&amp;" - Shoulder",Input_Usage[[Ref]:[Ref]],0),MATCH($D$21,Inputs!$I$134:$M$134,0))),0)+
(INDEX(OP_TotalRates_RES_2[[Ausnet]:[United Energy]],MATCH("Off peak",OP_TotalRates_RES_2[[Rate name]:[Rate name]],0),MATCH(OP_CMAB!E$24,OP_TotalRates_RES_2[[#Headers],[Ausnet]:[United Energy]],0))*
INDEX(Input_Usage[[F-PreviousVDO_Input]:[F-CurrentVDO_Input]],MATCH($D25&amp;" - Off peak",Input_Usage[[Ref]:[Ref]],0),MATCH($D$21,Inputs!$I$134:$M$134,0))),0),0,1))</f>
        <v>0</v>
      </c>
      <c r="F29" s="93">
        <f>IF($D$21="VDO 2021 - Final",
IF(F25=
ROUNDUP(
(INDEX(OP_TotalRates_RES_2[[Ausnet]:[United Energy]],MATCH("Anytime - supply",OP_TotalRates_RES_2[[Rate name]:[Rate name]],0),MATCH(OP_CMAB!F$24,OP_TotalRates_RES_2[[#Headers],[Ausnet]:[United Energy]],0))*DiY)+
(IFERROR((INDEX(OP_TotalRates_RES_2[[Ausnet]:[United Energy]],MATCH("Block 1",OP_TotalRates_RES_2[[Rate name]:[Rate name]],0),MATCH(OP_CMAB!F$24,OP_TotalRates_RES_2[[#Headers],[Ausnet]:[United Energy]],0))*
INDEX(Input_Usage[[F-PreviousVDO_Input]:[F-CurrentVDO_Input]],MATCH(OP_CMAB!$D25&amp;" - Block 1",Input_Usage[[Ref]:[Ref]],0),MATCH(OP_CMAB!$D$21,Inputs!$I$134:$M$134,0))),0)+
IFERROR((INDEX(OP_TotalRates_RES_2[[Ausnet]:[United Energy]],MATCH("Balance",OP_TotalRates_RES_2[[Rate name]:[Rate name]],0),MATCH(OP_CMAB!F$24,OP_TotalRates_RES_2[[#Headers],[Ausnet]:[United Energy]],0))*
INDEX(Input_Usage[[F-PreviousVDO_Input]:[F-CurrentVDO_Input]],MATCH(OP_CMAB!$D25&amp;" - Balance",Input_Usage[[Ref]:[Ref]],0),MATCH(OP_CMAB!$D$21,Inputs!$I$134:$M$134,0))),0)+
IFERROR((INDEX(OP_TotalRates_RES_2[[Ausnet]:[United Energy]],MATCH("Single rate",OP_TotalRates_RES_2[[Rate name]:[Rate name]],0),MATCH(OP_CMAB!F$24,OP_TotalRates_RES_2[[#Headers],[Ausnet]:[United Energy]],0))*
INDEX(Input_Usage[[F-PreviousVDO_Input]:[F-CurrentVDO_Input]],MATCH(OP_CMAB!$D25&amp;" - Annual",Input_Usage[[Ref]:[Ref]],0),MATCH(OP_CMAB!$D$21,Inputs!$I$134:$M$134,0))),0)),0),0,1),
IF(F25=
ROUNDUP(
(INDEX(OP_TotalRates_RES_2[[Ausnet]:[United Energy]],MATCH("TOU - supply",OP_TotalRates_RES_2[[Rate name]:[Rate name]],0),MATCH(OP_CMAB!F$24,OP_TotalRates_RES_2[[#Headers],[Ausnet]:[United Energy]],0))*DiY)+
(INDEX(OP_TotalRates_RES_2[[Ausnet]:[United Energy]],MATCH("Peak",OP_TotalRates_RES_2[[Rate name]:[Rate name]],0),MATCH(OP_CMAB!F$24,OP_TotalRates_RES_2[[#Headers],[Ausnet]:[United Energy]],0))*
INDEX(Input_Usage[[F-PreviousVDO_Input]:[F-CurrentVDO_Input]],MATCH($D25&amp;" - Peak",Input_Usage[[Ref]:[Ref]],0),MATCH($D$21,Inputs!$I$134:$M$134,0)))+
IFERROR((INDEX(OP_TotalRates_RES_2[[Ausnet]:[United Energy]],MATCH("TOU - Shoulder",OP_TotalRates_RES_2[[Rate name]:[Rate name]],0),MATCH(OP_CMAB!F$24,OP_TotalRates_RES_2[[#Headers],[Ausnet]:[United Energy]],0))*
INDEX(Input_Usage[[F-PreviousVDO_Input]:[F-CurrentVDO_Input]],MATCH($D25&amp;" - Shoulder",Input_Usage[[Ref]:[Ref]],0),MATCH($D$21,Inputs!$I$134:$M$134,0))),0)+
(INDEX(OP_TotalRates_RES_2[[Ausnet]:[United Energy]],MATCH("Off peak",OP_TotalRates_RES_2[[Rate name]:[Rate name]],0),MATCH(OP_CMAB!F$24,OP_TotalRates_RES_2[[#Headers],[Ausnet]:[United Energy]],0))*
INDEX(Input_Usage[[F-PreviousVDO_Input]:[F-CurrentVDO_Input]],MATCH($D25&amp;" - Off peak",Input_Usage[[Ref]:[Ref]],0),MATCH($D$21,Inputs!$I$134:$M$134,0))),0),0,1))</f>
        <v>0</v>
      </c>
      <c r="G29" s="93">
        <f>IF($D$21="VDO 2021 - Final",
IF(G25=
ROUNDUP(
(INDEX(OP_TotalRates_RES_2[[Ausnet]:[United Energy]],MATCH("Anytime - supply",OP_TotalRates_RES_2[[Rate name]:[Rate name]],0),MATCH(OP_CMAB!G$24,OP_TotalRates_RES_2[[#Headers],[Ausnet]:[United Energy]],0))*DiY)+
(IFERROR((INDEX(OP_TotalRates_RES_2[[Ausnet]:[United Energy]],MATCH("Block 1",OP_TotalRates_RES_2[[Rate name]:[Rate name]],0),MATCH(OP_CMAB!G$24,OP_TotalRates_RES_2[[#Headers],[Ausnet]:[United Energy]],0))*
INDEX(Input_Usage[[F-PreviousVDO_Input]:[F-CurrentVDO_Input]],MATCH(OP_CMAB!$D25&amp;" - Block 1",Input_Usage[[Ref]:[Ref]],0),MATCH(OP_CMAB!$D$21,Inputs!$I$134:$M$134,0))),0)+
IFERROR((INDEX(OP_TotalRates_RES_2[[Ausnet]:[United Energy]],MATCH("Balance",OP_TotalRates_RES_2[[Rate name]:[Rate name]],0),MATCH(OP_CMAB!G$24,OP_TotalRates_RES_2[[#Headers],[Ausnet]:[United Energy]],0))*
INDEX(Input_Usage[[F-PreviousVDO_Input]:[F-CurrentVDO_Input]],MATCH(OP_CMAB!$D25&amp;" - Balance",Input_Usage[[Ref]:[Ref]],0),MATCH(OP_CMAB!$D$21,Inputs!$I$134:$M$134,0))),0)+
IFERROR((INDEX(OP_TotalRates_RES_2[[Ausnet]:[United Energy]],MATCH("Single rate",OP_TotalRates_RES_2[[Rate name]:[Rate name]],0),MATCH(OP_CMAB!G$24,OP_TotalRates_RES_2[[#Headers],[Ausnet]:[United Energy]],0))*
INDEX(Input_Usage[[F-PreviousVDO_Input]:[F-CurrentVDO_Input]],MATCH(OP_CMAB!$D25&amp;" - Annual",Input_Usage[[Ref]:[Ref]],0),MATCH(OP_CMAB!$D$21,Inputs!$I$134:$M$134,0))),0)),0),0,1),
IF(G25=
ROUNDUP(
(INDEX(OP_TotalRates_RES_2[[Ausnet]:[United Energy]],MATCH("TOU - supply",OP_TotalRates_RES_2[[Rate name]:[Rate name]],0),MATCH(OP_CMAB!G$24,OP_TotalRates_RES_2[[#Headers],[Ausnet]:[United Energy]],0))*DiY)+
(INDEX(OP_TotalRates_RES_2[[Ausnet]:[United Energy]],MATCH("Peak",OP_TotalRates_RES_2[[Rate name]:[Rate name]],0),MATCH(OP_CMAB!G$24,OP_TotalRates_RES_2[[#Headers],[Ausnet]:[United Energy]],0))*
INDEX(Input_Usage[[F-PreviousVDO_Input]:[F-CurrentVDO_Input]],MATCH($D25&amp;" - Peak",Input_Usage[[Ref]:[Ref]],0),MATCH($D$21,Inputs!$I$134:$M$134,0)))+
IFERROR((INDEX(OP_TotalRates_RES_2[[Ausnet]:[United Energy]],MATCH("TOU - Shoulder",OP_TotalRates_RES_2[[Rate name]:[Rate name]],0),MATCH(OP_CMAB!G$24,OP_TotalRates_RES_2[[#Headers],[Ausnet]:[United Energy]],0))*
INDEX(Input_Usage[[F-PreviousVDO_Input]:[F-CurrentVDO_Input]],MATCH($D25&amp;" - Shoulder",Input_Usage[[Ref]:[Ref]],0),MATCH($D$21,Inputs!$I$134:$M$134,0))),0)+
(INDEX(OP_TotalRates_RES_2[[Ausnet]:[United Energy]],MATCH("Off peak",OP_TotalRates_RES_2[[Rate name]:[Rate name]],0),MATCH(OP_CMAB!G$24,OP_TotalRates_RES_2[[#Headers],[Ausnet]:[United Energy]],0))*
INDEX(Input_Usage[[F-PreviousVDO_Input]:[F-CurrentVDO_Input]],MATCH($D25&amp;" - Off peak",Input_Usage[[Ref]:[Ref]],0),MATCH($D$21,Inputs!$I$134:$M$134,0))),0),0,1))</f>
        <v>0</v>
      </c>
      <c r="H29" s="93">
        <f>IF($D$21="VDO 2021 - Final",
IF(H25=
ROUNDUP(
(INDEX(OP_TotalRates_RES_2[[Ausnet]:[United Energy]],MATCH("Anytime - supply",OP_TotalRates_RES_2[[Rate name]:[Rate name]],0),MATCH(OP_CMAB!H$24,OP_TotalRates_RES_2[[#Headers],[Ausnet]:[United Energy]],0))*DiY)+
(IFERROR((INDEX(OP_TotalRates_RES_2[[Ausnet]:[United Energy]],MATCH("Block 1",OP_TotalRates_RES_2[[Rate name]:[Rate name]],0),MATCH(OP_CMAB!H$24,OP_TotalRates_RES_2[[#Headers],[Ausnet]:[United Energy]],0))*
INDEX(Input_Usage[[F-PreviousVDO_Input]:[F-CurrentVDO_Input]],MATCH(OP_CMAB!$D25&amp;" - Block 1",Input_Usage[[Ref]:[Ref]],0),MATCH(OP_CMAB!$D$21,Inputs!$I$134:$M$134,0))),0)+
IFERROR((INDEX(OP_TotalRates_RES_2[[Ausnet]:[United Energy]],MATCH("Balance",OP_TotalRates_RES_2[[Rate name]:[Rate name]],0),MATCH(OP_CMAB!H$24,OP_TotalRates_RES_2[[#Headers],[Ausnet]:[United Energy]],0))*
INDEX(Input_Usage[[F-PreviousVDO_Input]:[F-CurrentVDO_Input]],MATCH(OP_CMAB!$D25&amp;" - Balance",Input_Usage[[Ref]:[Ref]],0),MATCH(OP_CMAB!$D$21,Inputs!$I$134:$M$134,0))),0)+
IFERROR((INDEX(OP_TotalRates_RES_2[[Ausnet]:[United Energy]],MATCH("Single rate",OP_TotalRates_RES_2[[Rate name]:[Rate name]],0),MATCH(OP_CMAB!H$24,OP_TotalRates_RES_2[[#Headers],[Ausnet]:[United Energy]],0))*
INDEX(Input_Usage[[F-PreviousVDO_Input]:[F-CurrentVDO_Input]],MATCH(OP_CMAB!$D25&amp;" - Annual",Input_Usage[[Ref]:[Ref]],0),MATCH(OP_CMAB!$D$21,Inputs!$I$134:$M$134,0))),0)),0),0,1),
IF(H25=
ROUNDUP(
(INDEX(OP_TotalRates_RES_2[[Ausnet]:[United Energy]],MATCH("TOU - supply",OP_TotalRates_RES_2[[Rate name]:[Rate name]],0),MATCH(OP_CMAB!H$24,OP_TotalRates_RES_2[[#Headers],[Ausnet]:[United Energy]],0))*DiY)+
(INDEX(OP_TotalRates_RES_2[[Ausnet]:[United Energy]],MATCH("Peak",OP_TotalRates_RES_2[[Rate name]:[Rate name]],0),MATCH(OP_CMAB!H$24,OP_TotalRates_RES_2[[#Headers],[Ausnet]:[United Energy]],0))*
INDEX(Input_Usage[[F-PreviousVDO_Input]:[F-CurrentVDO_Input]],MATCH($D25&amp;" - Peak",Input_Usage[[Ref]:[Ref]],0),MATCH($D$21,Inputs!$I$134:$M$134,0)))+
IFERROR((INDEX(OP_TotalRates_RES_2[[Ausnet]:[United Energy]],MATCH("TOU - Shoulder",OP_TotalRates_RES_2[[Rate name]:[Rate name]],0),MATCH(OP_CMAB!H$24,OP_TotalRates_RES_2[[#Headers],[Ausnet]:[United Energy]],0))*
INDEX(Input_Usage[[F-PreviousVDO_Input]:[F-CurrentVDO_Input]],MATCH($D25&amp;" - Shoulder",Input_Usage[[Ref]:[Ref]],0),MATCH($D$21,Inputs!$I$134:$M$134,0))),0)+
(INDEX(OP_TotalRates_RES_2[[Ausnet]:[United Energy]],MATCH("Off peak",OP_TotalRates_RES_2[[Rate name]:[Rate name]],0),MATCH(OP_CMAB!H$24,OP_TotalRates_RES_2[[#Headers],[Ausnet]:[United Energy]],0))*
INDEX(Input_Usage[[F-PreviousVDO_Input]:[F-CurrentVDO_Input]],MATCH($D25&amp;" - Off peak",Input_Usage[[Ref]:[Ref]],0),MATCH($D$21,Inputs!$I$134:$M$134,0))),0),0,1))</f>
        <v>0</v>
      </c>
      <c r="I29" s="93">
        <f>IF($D$21="VDO 2021 - Final",
IF(I25=
ROUNDUP(
(INDEX(OP_TotalRates_RES_2[[Ausnet]:[United Energy]],MATCH("Anytime - supply",OP_TotalRates_RES_2[[Rate name]:[Rate name]],0),MATCH(OP_CMAB!I$24,OP_TotalRates_RES_2[[#Headers],[Ausnet]:[United Energy]],0))*DiY)+
(IFERROR((INDEX(OP_TotalRates_RES_2[[Ausnet]:[United Energy]],MATCH("Block 1",OP_TotalRates_RES_2[[Rate name]:[Rate name]],0),MATCH(OP_CMAB!I$24,OP_TotalRates_RES_2[[#Headers],[Ausnet]:[United Energy]],0))*
INDEX(Input_Usage[[F-PreviousVDO_Input]:[F-CurrentVDO_Input]],MATCH(OP_CMAB!$D25&amp;" - Block 1",Input_Usage[[Ref]:[Ref]],0),MATCH(OP_CMAB!$D$21,Inputs!$I$134:$M$134,0))),0)+
IFERROR((INDEX(OP_TotalRates_RES_2[[Ausnet]:[United Energy]],MATCH("Balance",OP_TotalRates_RES_2[[Rate name]:[Rate name]],0),MATCH(OP_CMAB!I$24,OP_TotalRates_RES_2[[#Headers],[Ausnet]:[United Energy]],0))*
INDEX(Input_Usage[[F-PreviousVDO_Input]:[F-CurrentVDO_Input]],MATCH(OP_CMAB!$D25&amp;" - Balance",Input_Usage[[Ref]:[Ref]],0),MATCH(OP_CMAB!$D$21,Inputs!$I$134:$M$134,0))),0)+
IFERROR((INDEX(OP_TotalRates_RES_2[[Ausnet]:[United Energy]],MATCH("Single rate",OP_TotalRates_RES_2[[Rate name]:[Rate name]],0),MATCH(OP_CMAB!I$24,OP_TotalRates_RES_2[[#Headers],[Ausnet]:[United Energy]],0))*
INDEX(Input_Usage[[F-PreviousVDO_Input]:[F-CurrentVDO_Input]],MATCH(OP_CMAB!$D25&amp;" - Annual",Input_Usage[[Ref]:[Ref]],0),MATCH(OP_CMAB!$D$21,Inputs!$I$134:$M$134,0))),0)),0),0,1),
IF(I25=
ROUNDUP(
(INDEX(OP_TotalRates_RES_2[[Ausnet]:[United Energy]],MATCH("TOU - supply",OP_TotalRates_RES_2[[Rate name]:[Rate name]],0),MATCH(OP_CMAB!I$24,OP_TotalRates_RES_2[[#Headers],[Ausnet]:[United Energy]],0))*DiY)+
(INDEX(OP_TotalRates_RES_2[[Ausnet]:[United Energy]],MATCH("Peak",OP_TotalRates_RES_2[[Rate name]:[Rate name]],0),MATCH(OP_CMAB!I$24,OP_TotalRates_RES_2[[#Headers],[Ausnet]:[United Energy]],0))*
INDEX(Input_Usage[[F-PreviousVDO_Input]:[F-CurrentVDO_Input]],MATCH($D25&amp;" - Peak",Input_Usage[[Ref]:[Ref]],0),MATCH($D$21,Inputs!$I$134:$M$134,0)))+
IFERROR((INDEX(OP_TotalRates_RES_2[[Ausnet]:[United Energy]],MATCH("TOU - Shoulder",OP_TotalRates_RES_2[[Rate name]:[Rate name]],0),MATCH(OP_CMAB!I$24,OP_TotalRates_RES_2[[#Headers],[Ausnet]:[United Energy]],0))*
INDEX(Input_Usage[[F-PreviousVDO_Input]:[F-CurrentVDO_Input]],MATCH($D25&amp;" - Shoulder",Input_Usage[[Ref]:[Ref]],0),MATCH($D$21,Inputs!$I$134:$M$134,0))),0)+
(INDEX(OP_TotalRates_RES_2[[Ausnet]:[United Energy]],MATCH("Off peak",OP_TotalRates_RES_2[[Rate name]:[Rate name]],0),MATCH(OP_CMAB!I$24,OP_TotalRates_RES_2[[#Headers],[Ausnet]:[United Energy]],0))*
INDEX(Input_Usage[[F-PreviousVDO_Input]:[F-CurrentVDO_Input]],MATCH($D25&amp;" - Off peak",Input_Usage[[Ref]:[Ref]],0),MATCH($D$21,Inputs!$I$134:$M$134,0))),0),0,1))</f>
        <v>0</v>
      </c>
      <c r="M29" s="93">
        <f>IF($D$21="VDO 2021 - Final",
IF(M25=
ROUNDUP(
(INDEX(OP_TotalRates_SME_2[[Ausnet]:[United Energy]],MATCH("Anytime - supply",OP_TotalRates_SME_2[[Rate name]:[Rate name]],0),MATCH(OP_CMAB!M$24,OP_TotalRates_SME_2[[#Headers],[Ausnet]:[United Energy]],0))*DiY)+
(IFERROR((INDEX(OP_TotalRates_SME_2[[Ausnet]:[United Energy]],MATCH("Block 1",OP_TotalRates_SME_2[[Rate name]:[Rate name]],0),MATCH(OP_CMAB!M$24,OP_TotalRates_SME_2[[#Headers],[Ausnet]:[United Energy]],0))*
INDEX(Input_Usage[[F-PreviousVDO_Input]:[F-CurrentVDO_Input]],MATCH(OP_CMAB!$L25&amp;" - Block 1",Input_Usage[[Ref]:[Ref]],0),MATCH(OP_CMAB!$D$21,Inputs!$I$134:$M$134,0))),0)+
IFERROR((INDEX(OP_TotalRates_SME_2[[Ausnet]:[United Energy]],MATCH("Balance",OP_TotalRates_SME_2[[Rate name]:[Rate name]],0),MATCH(OP_CMAB!M$24,OP_TotalRates_SME_2[[#Headers],[Ausnet]:[United Energy]],0))*
INDEX(Input_Usage[[F-PreviousVDO_Input]:[F-CurrentVDO_Input]],MATCH(OP_CMAB!$L25&amp;" - Balance",Input_Usage[[Ref]:[Ref]],0),MATCH(OP_CMAB!$D$21,Inputs!$I$134:$M$134,0))),0)+
IFERROR((INDEX(OP_TotalRates_SME_2[[Ausnet]:[United Energy]],MATCH("Single rate",OP_TotalRates_SME_2[[Rate name]:[Rate name]],0),MATCH(OP_CMAB!M$24,OP_TotalRates_SME_2[[#Headers],[Ausnet]:[United Energy]],0))*
INDEX(Input_Usage[[F-PreviousVDO_Input]:[F-CurrentVDO_Input]],MATCH(OP_CMAB!$L25&amp;" - Annual",Input_Usage[[Ref]:[Ref]],0),MATCH(OP_CMAB!$D$21,Inputs!$I$134:$M$134,0))),0)),0),0,1),
IF(M25=
ROUNDUP(
(INDEX(OP_TotalRates_SME_2[[Ausnet]:[United Energy]],MATCH("TOU - supply",OP_TotalRates_SME_2[[Rate name]:[Rate name]],0),MATCH(OP_CMAB!M$24,OP_TotalRates_SME_2[[#Headers],[Ausnet]:[United Energy]],0))*DiY)+
(INDEX(OP_TotalRates_SME_2[[Ausnet]:[United Energy]],MATCH("Peak",OP_TotalRates_SME_2[[Rate name]:[Rate name]],0),MATCH(OP_CMAB!M$24,OP_TotalRates_SME_2[[#Headers],[Ausnet]:[United Energy]],0))*
INDEX(Input_Usage[[F-PreviousVDO_Input]:[F-CurrentVDO_Input]],MATCH($L25&amp;" - Peak",Input_Usage[[Ref]:[Ref]],0),MATCH($D$21,Inputs!$I$134:$M$134,0)))+
IFERROR((INDEX(OP_TotalRates_SME_2[[Ausnet]:[United Energy]],MATCH("TOU - Shoulder",OP_TotalRates_SME_2[[Rate name]:[Rate name]],0),MATCH(OP_CMAB!M$24,OP_TotalRates_SME_2[[#Headers],[Ausnet]:[United Energy]],0))*
INDEX(Input_Usage[[F-PreviousVDO_Input]:[F-CurrentVDO_Input]],MATCH($L25&amp;" - Shoulder",Input_Usage[[Ref]:[Ref]],0),MATCH($D$21,Inputs!$I$134:$M$134,0))),0)+
(INDEX(OP_TotalRates_SME_2[[Ausnet]:[United Energy]],MATCH("Off peak",OP_TotalRates_SME_2[[Rate name]:[Rate name]],0),MATCH(OP_CMAB!M$24,OP_TotalRates_SME_2[[#Headers],[Ausnet]:[United Energy]],0))*
INDEX(Input_Usage[[F-PreviousVDO_Input]:[F-CurrentVDO_Input]],MATCH($L25&amp;" - Off peak",Input_Usage[[Ref]:[Ref]],0),MATCH($D$21,Inputs!$I$134:$M$134,0))),0),0,1))</f>
        <v>0</v>
      </c>
      <c r="N29" s="93">
        <f>IF($D$21="VDO 2021 - Final",
IF(N25=
ROUNDUP(
(INDEX(OP_TotalRates_SME_2[[Ausnet]:[United Energy]],MATCH("Anytime - supply",OP_TotalRates_SME_2[[Rate name]:[Rate name]],0),MATCH(OP_CMAB!N$24,OP_TotalRates_SME_2[[#Headers],[Ausnet]:[United Energy]],0))*DiY)+
(IFERROR((INDEX(OP_TotalRates_SME_2[[Ausnet]:[United Energy]],MATCH("Block 1",OP_TotalRates_SME_2[[Rate name]:[Rate name]],0),MATCH(OP_CMAB!N$24,OP_TotalRates_SME_2[[#Headers],[Ausnet]:[United Energy]],0))*
INDEX(Input_Usage[[F-PreviousVDO_Input]:[F-CurrentVDO_Input]],MATCH(OP_CMAB!$L25&amp;" - Block 1",Input_Usage[[Ref]:[Ref]],0),MATCH(OP_CMAB!$D$21,Inputs!$I$134:$M$134,0))),0)+
IFERROR((INDEX(OP_TotalRates_SME_2[[Ausnet]:[United Energy]],MATCH("Balance",OP_TotalRates_SME_2[[Rate name]:[Rate name]],0),MATCH(OP_CMAB!N$24,OP_TotalRates_SME_2[[#Headers],[Ausnet]:[United Energy]],0))*
INDEX(Input_Usage[[F-PreviousVDO_Input]:[F-CurrentVDO_Input]],MATCH(OP_CMAB!$L25&amp;" - Balance",Input_Usage[[Ref]:[Ref]],0),MATCH(OP_CMAB!$D$21,Inputs!$I$134:$M$134,0))),0)+
IFERROR((INDEX(OP_TotalRates_SME_2[[Ausnet]:[United Energy]],MATCH("Single rate",OP_TotalRates_SME_2[[Rate name]:[Rate name]],0),MATCH(OP_CMAB!N$24,OP_TotalRates_SME_2[[#Headers],[Ausnet]:[United Energy]],0))*
INDEX(Input_Usage[[F-PreviousVDO_Input]:[F-CurrentVDO_Input]],MATCH(OP_CMAB!$L25&amp;" - Annual",Input_Usage[[Ref]:[Ref]],0),MATCH(OP_CMAB!$D$21,Inputs!$I$134:$M$134,0))),0)),0),0,1),
IF(N25=
ROUNDUP(
(INDEX(OP_TotalRates_SME_2[[Ausnet]:[United Energy]],MATCH("TOU - supply",OP_TotalRates_SME_2[[Rate name]:[Rate name]],0),MATCH(OP_CMAB!N$24,OP_TotalRates_SME_2[[#Headers],[Ausnet]:[United Energy]],0))*DiY)+
(INDEX(OP_TotalRates_SME_2[[Ausnet]:[United Energy]],MATCH("Peak",OP_TotalRates_SME_2[[Rate name]:[Rate name]],0),MATCH(OP_CMAB!N$24,OP_TotalRates_SME_2[[#Headers],[Ausnet]:[United Energy]],0))*
INDEX(Input_Usage[[F-PreviousVDO_Input]:[F-CurrentVDO_Input]],MATCH($L25&amp;" - Peak",Input_Usage[[Ref]:[Ref]],0),MATCH($D$21,Inputs!$I$134:$M$134,0)))+
IFERROR((INDEX(OP_TotalRates_SME_2[[Ausnet]:[United Energy]],MATCH("TOU - Shoulder",OP_TotalRates_SME_2[[Rate name]:[Rate name]],0),MATCH(OP_CMAB!N$24,OP_TotalRates_SME_2[[#Headers],[Ausnet]:[United Energy]],0))*
INDEX(Input_Usage[[F-PreviousVDO_Input]:[F-CurrentVDO_Input]],MATCH($L25&amp;" - Shoulder",Input_Usage[[Ref]:[Ref]],0),MATCH($D$21,Inputs!$I$134:$M$134,0))),0)+
(INDEX(OP_TotalRates_SME_2[[Ausnet]:[United Energy]],MATCH("Off peak",OP_TotalRates_SME_2[[Rate name]:[Rate name]],0),MATCH(OP_CMAB!N$24,OP_TotalRates_SME_2[[#Headers],[Ausnet]:[United Energy]],0))*
INDEX(Input_Usage[[F-PreviousVDO_Input]:[F-CurrentVDO_Input]],MATCH($L25&amp;" - Off peak",Input_Usage[[Ref]:[Ref]],0),MATCH($D$21,Inputs!$I$134:$M$134,0))),0),0,1))</f>
        <v>0</v>
      </c>
      <c r="O29" s="93">
        <f>IF($D$21="VDO 2021 - Final",
IF(O25=
ROUNDUP(
(INDEX(OP_TotalRates_SME_2[[Ausnet]:[United Energy]],MATCH("Anytime - supply",OP_TotalRates_SME_2[[Rate name]:[Rate name]],0),MATCH(OP_CMAB!O$24,OP_TotalRates_SME_2[[#Headers],[Ausnet]:[United Energy]],0))*DiY)+
(IFERROR((INDEX(OP_TotalRates_SME_2[[Ausnet]:[United Energy]],MATCH("Block 1",OP_TotalRates_SME_2[[Rate name]:[Rate name]],0),MATCH(OP_CMAB!O$24,OP_TotalRates_SME_2[[#Headers],[Ausnet]:[United Energy]],0))*
INDEX(Input_Usage[[F-PreviousVDO_Input]:[F-CurrentVDO_Input]],MATCH(OP_CMAB!$L25&amp;" - Block 1",Input_Usage[[Ref]:[Ref]],0),MATCH(OP_CMAB!$D$21,Inputs!$I$134:$M$134,0))),0)+
IFERROR((INDEX(OP_TotalRates_SME_2[[Ausnet]:[United Energy]],MATCH("Balance",OP_TotalRates_SME_2[[Rate name]:[Rate name]],0),MATCH(OP_CMAB!O$24,OP_TotalRates_SME_2[[#Headers],[Ausnet]:[United Energy]],0))*
INDEX(Input_Usage[[F-PreviousVDO_Input]:[F-CurrentVDO_Input]],MATCH(OP_CMAB!$L25&amp;" - Balance",Input_Usage[[Ref]:[Ref]],0),MATCH(OP_CMAB!$D$21,Inputs!$I$134:$M$134,0))),0)+
IFERROR((INDEX(OP_TotalRates_SME_2[[Ausnet]:[United Energy]],MATCH("Single rate",OP_TotalRates_SME_2[[Rate name]:[Rate name]],0),MATCH(OP_CMAB!O$24,OP_TotalRates_SME_2[[#Headers],[Ausnet]:[United Energy]],0))*
INDEX(Input_Usage[[F-PreviousVDO_Input]:[F-CurrentVDO_Input]],MATCH(OP_CMAB!$L25&amp;" - Annual",Input_Usage[[Ref]:[Ref]],0),MATCH(OP_CMAB!$D$21,Inputs!$I$134:$M$134,0))),0)),0),0,1),
IF(O25=
ROUNDUP(
(INDEX(OP_TotalRates_SME_2[[Ausnet]:[United Energy]],MATCH("TOU - supply",OP_TotalRates_SME_2[[Rate name]:[Rate name]],0),MATCH(OP_CMAB!O$24,OP_TotalRates_SME_2[[#Headers],[Ausnet]:[United Energy]],0))*DiY)+
(INDEX(OP_TotalRates_SME_2[[Ausnet]:[United Energy]],MATCH("Peak",OP_TotalRates_SME_2[[Rate name]:[Rate name]],0),MATCH(OP_CMAB!O$24,OP_TotalRates_SME_2[[#Headers],[Ausnet]:[United Energy]],0))*
INDEX(Input_Usage[[F-PreviousVDO_Input]:[F-CurrentVDO_Input]],MATCH($L25&amp;" - Peak",Input_Usage[[Ref]:[Ref]],0),MATCH($D$21,Inputs!$I$134:$M$134,0)))+
IFERROR((INDEX(OP_TotalRates_SME_2[[Ausnet]:[United Energy]],MATCH("TOU - Shoulder",OP_TotalRates_SME_2[[Rate name]:[Rate name]],0),MATCH(OP_CMAB!O$24,OP_TotalRates_SME_2[[#Headers],[Ausnet]:[United Energy]],0))*
INDEX(Input_Usage[[F-PreviousVDO_Input]:[F-CurrentVDO_Input]],MATCH($L25&amp;" - Shoulder",Input_Usage[[Ref]:[Ref]],0),MATCH($D$21,Inputs!$I$134:$M$134,0))),0)+
(INDEX(OP_TotalRates_SME_2[[Ausnet]:[United Energy]],MATCH("Off peak",OP_TotalRates_SME_2[[Rate name]:[Rate name]],0),MATCH(OP_CMAB!O$24,OP_TotalRates_SME_2[[#Headers],[Ausnet]:[United Energy]],0))*
INDEX(Input_Usage[[F-PreviousVDO_Input]:[F-CurrentVDO_Input]],MATCH($L25&amp;" - Off peak",Input_Usage[[Ref]:[Ref]],0),MATCH($D$21,Inputs!$I$134:$M$134,0))),0),0,1))</f>
        <v>0</v>
      </c>
      <c r="P29" s="93">
        <f>IF($D$21="VDO 2021 - Final",
IF(P25=
ROUNDUP(
(INDEX(OP_TotalRates_SME_2[[Ausnet]:[United Energy]],MATCH("Anytime - supply",OP_TotalRates_SME_2[[Rate name]:[Rate name]],0),MATCH(OP_CMAB!P$24,OP_TotalRates_SME_2[[#Headers],[Ausnet]:[United Energy]],0))*DiY)+
(IFERROR((INDEX(OP_TotalRates_SME_2[[Ausnet]:[United Energy]],MATCH("Block 1",OP_TotalRates_SME_2[[Rate name]:[Rate name]],0),MATCH(OP_CMAB!P$24,OP_TotalRates_SME_2[[#Headers],[Ausnet]:[United Energy]],0))*
INDEX(Input_Usage[[F-PreviousVDO_Input]:[F-CurrentVDO_Input]],MATCH(OP_CMAB!$L25&amp;" - Block 1",Input_Usage[[Ref]:[Ref]],0),MATCH(OP_CMAB!$D$21,Inputs!$I$134:$M$134,0))),0)+
IFERROR((INDEX(OP_TotalRates_SME_2[[Ausnet]:[United Energy]],MATCH("Balance",OP_TotalRates_SME_2[[Rate name]:[Rate name]],0),MATCH(OP_CMAB!P$24,OP_TotalRates_SME_2[[#Headers],[Ausnet]:[United Energy]],0))*
INDEX(Input_Usage[[F-PreviousVDO_Input]:[F-CurrentVDO_Input]],MATCH(OP_CMAB!$L25&amp;" - Balance",Input_Usage[[Ref]:[Ref]],0),MATCH(OP_CMAB!$D$21,Inputs!$I$134:$M$134,0))),0)+
IFERROR((INDEX(OP_TotalRates_SME_2[[Ausnet]:[United Energy]],MATCH("Single rate",OP_TotalRates_SME_2[[Rate name]:[Rate name]],0),MATCH(OP_CMAB!P$24,OP_TotalRates_SME_2[[#Headers],[Ausnet]:[United Energy]],0))*
INDEX(Input_Usage[[F-PreviousVDO_Input]:[F-CurrentVDO_Input]],MATCH(OP_CMAB!$L25&amp;" - Annual",Input_Usage[[Ref]:[Ref]],0),MATCH(OP_CMAB!$D$21,Inputs!$I$134:$M$134,0))),0)),0),0,1),
IF(P25=
ROUNDUP(
(INDEX(OP_TotalRates_SME_2[[Ausnet]:[United Energy]],MATCH("TOU - supply",OP_TotalRates_SME_2[[Rate name]:[Rate name]],0),MATCH(OP_CMAB!P$24,OP_TotalRates_SME_2[[#Headers],[Ausnet]:[United Energy]],0))*DiY)+
(INDEX(OP_TotalRates_SME_2[[Ausnet]:[United Energy]],MATCH("Peak",OP_TotalRates_SME_2[[Rate name]:[Rate name]],0),MATCH(OP_CMAB!P$24,OP_TotalRates_SME_2[[#Headers],[Ausnet]:[United Energy]],0))*
INDEX(Input_Usage[[F-PreviousVDO_Input]:[F-CurrentVDO_Input]],MATCH($L25&amp;" - Peak",Input_Usage[[Ref]:[Ref]],0),MATCH($D$21,Inputs!$I$134:$M$134,0)))+
IFERROR((INDEX(OP_TotalRates_SME_2[[Ausnet]:[United Energy]],MATCH("TOU - Shoulder",OP_TotalRates_SME_2[[Rate name]:[Rate name]],0),MATCH(OP_CMAB!P$24,OP_TotalRates_SME_2[[#Headers],[Ausnet]:[United Energy]],0))*
INDEX(Input_Usage[[F-PreviousVDO_Input]:[F-CurrentVDO_Input]],MATCH($L25&amp;" - Shoulder",Input_Usage[[Ref]:[Ref]],0),MATCH($D$21,Inputs!$I$134:$M$134,0))),0)+
(INDEX(OP_TotalRates_SME_2[[Ausnet]:[United Energy]],MATCH("Off peak",OP_TotalRates_SME_2[[Rate name]:[Rate name]],0),MATCH(OP_CMAB!P$24,OP_TotalRates_SME_2[[#Headers],[Ausnet]:[United Energy]],0))*
INDEX(Input_Usage[[F-PreviousVDO_Input]:[F-CurrentVDO_Input]],MATCH($L25&amp;" - Off peak",Input_Usage[[Ref]:[Ref]],0),MATCH($D$21,Inputs!$I$134:$M$134,0))),0),0,1))</f>
        <v>0</v>
      </c>
      <c r="Q29" s="93">
        <f>IF($D$21="VDO 2021 - Final",
IF(Q25=
ROUNDUP(
(INDEX(OP_TotalRates_SME_2[[Ausnet]:[United Energy]],MATCH("Anytime - supply",OP_TotalRates_SME_2[[Rate name]:[Rate name]],0),MATCH(OP_CMAB!Q$24,OP_TotalRates_SME_2[[#Headers],[Ausnet]:[United Energy]],0))*DiY)+
(IFERROR((INDEX(OP_TotalRates_SME_2[[Ausnet]:[United Energy]],MATCH("Block 1",OP_TotalRates_SME_2[[Rate name]:[Rate name]],0),MATCH(OP_CMAB!Q$24,OP_TotalRates_SME_2[[#Headers],[Ausnet]:[United Energy]],0))*
INDEX(Input_Usage[[F-PreviousVDO_Input]:[F-CurrentVDO_Input]],MATCH(OP_CMAB!$L25&amp;" - Block 1",Input_Usage[[Ref]:[Ref]],0),MATCH(OP_CMAB!$D$21,Inputs!$I$134:$M$134,0))),0)+
IFERROR((INDEX(OP_TotalRates_SME_2[[Ausnet]:[United Energy]],MATCH("Balance",OP_TotalRates_SME_2[[Rate name]:[Rate name]],0),MATCH(OP_CMAB!Q$24,OP_TotalRates_SME_2[[#Headers],[Ausnet]:[United Energy]],0))*
INDEX(Input_Usage[[F-PreviousVDO_Input]:[F-CurrentVDO_Input]],MATCH(OP_CMAB!$L25&amp;" - Balance",Input_Usage[[Ref]:[Ref]],0),MATCH(OP_CMAB!$D$21,Inputs!$I$134:$M$134,0))),0)+
IFERROR((INDEX(OP_TotalRates_SME_2[[Ausnet]:[United Energy]],MATCH("Single rate",OP_TotalRates_SME_2[[Rate name]:[Rate name]],0),MATCH(OP_CMAB!Q$24,OP_TotalRates_SME_2[[#Headers],[Ausnet]:[United Energy]],0))*
INDEX(Input_Usage[[F-PreviousVDO_Input]:[F-CurrentVDO_Input]],MATCH(OP_CMAB!$L25&amp;" - Annual",Input_Usage[[Ref]:[Ref]],0),MATCH(OP_CMAB!$D$21,Inputs!$I$134:$M$134,0))),0)),0),0,1),
IF(Q25=
ROUNDUP(
(INDEX(OP_TotalRates_SME_2[[Ausnet]:[United Energy]],MATCH("TOU - supply",OP_TotalRates_SME_2[[Rate name]:[Rate name]],0),MATCH(OP_CMAB!Q$24,OP_TotalRates_SME_2[[#Headers],[Ausnet]:[United Energy]],0))*DiY)+
(INDEX(OP_TotalRates_SME_2[[Ausnet]:[United Energy]],MATCH("Peak",OP_TotalRates_SME_2[[Rate name]:[Rate name]],0),MATCH(OP_CMAB!Q$24,OP_TotalRates_SME_2[[#Headers],[Ausnet]:[United Energy]],0))*
INDEX(Input_Usage[[F-PreviousVDO_Input]:[F-CurrentVDO_Input]],MATCH($L25&amp;" - Peak",Input_Usage[[Ref]:[Ref]],0),MATCH($D$21,Inputs!$I$134:$M$134,0)))+
IFERROR((INDEX(OP_TotalRates_SME_2[[Ausnet]:[United Energy]],MATCH("TOU - Shoulder",OP_TotalRates_SME_2[[Rate name]:[Rate name]],0),MATCH(OP_CMAB!Q$24,OP_TotalRates_SME_2[[#Headers],[Ausnet]:[United Energy]],0))*
INDEX(Input_Usage[[F-PreviousVDO_Input]:[F-CurrentVDO_Input]],MATCH($L25&amp;" - Shoulder",Input_Usage[[Ref]:[Ref]],0),MATCH($D$21,Inputs!$I$134:$M$134,0))),0)+
(INDEX(OP_TotalRates_SME_2[[Ausnet]:[United Energy]],MATCH("Off peak",OP_TotalRates_SME_2[[Rate name]:[Rate name]],0),MATCH(OP_CMAB!Q$24,OP_TotalRates_SME_2[[#Headers],[Ausnet]:[United Energy]],0))*
INDEX(Input_Usage[[F-PreviousVDO_Input]:[F-CurrentVDO_Input]],MATCH($L25&amp;" - Off peak",Input_Usage[[Ref]:[Ref]],0),MATCH($D$21,Inputs!$I$134:$M$134,0))),0),0,1))</f>
        <v>0</v>
      </c>
    </row>
    <row r="30" spans="1:18" ht="15.75" x14ac:dyDescent="0.25">
      <c r="E30" s="93">
        <f>IF($D$21="VDO 2021 - Final",
IF(E26=
ROUNDUP(
(INDEX(OP_TotalRates_RES_2[[Ausnet]:[United Energy]],MATCH("Anytime - supply",OP_TotalRates_RES_2[[Rate name]:[Rate name]],0),MATCH(OP_CMAB!E$24,OP_TotalRates_RES_2[[#Headers],[Ausnet]:[United Energy]],0))*DiY)+
(IFERROR((INDEX(OP_TotalRates_RES_2[[Ausnet]:[United Energy]],MATCH("Block 1",OP_TotalRates_RES_2[[Rate name]:[Rate name]],0),MATCH(OP_CMAB!E$24,OP_TotalRates_RES_2[[#Headers],[Ausnet]:[United Energy]],0))*
INDEX(Input_Usage[[F-PreviousVDO_Input]:[F-CurrentVDO_Input]],MATCH(OP_CMAB!$D26&amp;" - Block 1",Input_Usage[[Ref]:[Ref]],0),MATCH(OP_CMAB!$D$21,Inputs!$I$134:$M$134,0))),0)+
IFERROR((INDEX(OP_TotalRates_RES_2[[Ausnet]:[United Energy]],MATCH("Balance",OP_TotalRates_RES_2[[Rate name]:[Rate name]],0),MATCH(OP_CMAB!E$24,OP_TotalRates_RES_2[[#Headers],[Ausnet]:[United Energy]],0))*
INDEX(Input_Usage[[F-PreviousVDO_Input]:[F-CurrentVDO_Input]],MATCH(OP_CMAB!$D26&amp;" - Balance",Input_Usage[[Ref]:[Ref]],0),MATCH(OP_CMAB!$D$21,Inputs!$I$134:$M$134,0))),0)+
IFERROR((INDEX(OP_TotalRates_RES_2[[Ausnet]:[United Energy]],MATCH("Single rate",OP_TotalRates_RES_2[[Rate name]:[Rate name]],0),MATCH(OP_CMAB!E$24,OP_TotalRates_RES_2[[#Headers],[Ausnet]:[United Energy]],0))*
INDEX(Input_Usage[[F-PreviousVDO_Input]:[F-CurrentVDO_Input]],MATCH(OP_CMAB!$D26&amp;" - Annual",Input_Usage[[Ref]:[Ref]],0),MATCH(OP_CMAB!$D$21,Inputs!$I$134:$M$134,0))),0)),0),0,1),
IF(E26=
ROUNDUP(
(INDEX(OP_TotalRates_RES_2[[Ausnet]:[United Energy]],MATCH("TOU - supply",OP_TotalRates_RES_2[[Rate name]:[Rate name]],0),MATCH(OP_CMAB!E$24,OP_TotalRates_RES_2[[#Headers],[Ausnet]:[United Energy]],0))*DiY)+
(INDEX(OP_TotalRates_RES_2[[Ausnet]:[United Energy]],MATCH("Peak",OP_TotalRates_RES_2[[Rate name]:[Rate name]],0),MATCH(OP_CMAB!E$24,OP_TotalRates_RES_2[[#Headers],[Ausnet]:[United Energy]],0))*
INDEX(Input_Usage[[F-PreviousVDO_Input]:[F-CurrentVDO_Input]],MATCH($D26&amp;" - Peak",Input_Usage[[Ref]:[Ref]],0),MATCH($D$21,Inputs!$I$134:$M$134,0)))+
IFERROR((INDEX(OP_TotalRates_RES_2[[Ausnet]:[United Energy]],MATCH("TOU - Shoulder",OP_TotalRates_RES_2[[Rate name]:[Rate name]],0),MATCH(OP_CMAB!E$24,OP_TotalRates_RES_2[[#Headers],[Ausnet]:[United Energy]],0))*
INDEX(Input_Usage[[F-PreviousVDO_Input]:[F-CurrentVDO_Input]],MATCH($D26&amp;" - Shoulder",Input_Usage[[Ref]:[Ref]],0),MATCH($D$21,Inputs!$I$134:$M$134,0))),0)+
(INDEX(OP_TotalRates_RES_2[[Ausnet]:[United Energy]],MATCH("Off peak",OP_TotalRates_RES_2[[Rate name]:[Rate name]],0),MATCH(OP_CMAB!E$24,OP_TotalRates_RES_2[[#Headers],[Ausnet]:[United Energy]],0))*
INDEX(Input_Usage[[F-PreviousVDO_Input]:[F-CurrentVDO_Input]],MATCH($D26&amp;" - Off peak",Input_Usage[[Ref]:[Ref]],0),MATCH($D$21,Inputs!$I$134:$M$134,0))),0),0,1))</f>
        <v>0</v>
      </c>
      <c r="F30" s="93">
        <f>IF($D$21="VDO 2021 - Final",
IF(F26=
ROUNDUP(
(INDEX(OP_TotalRates_RES_2[[Ausnet]:[United Energy]],MATCH("Anytime - supply",OP_TotalRates_RES_2[[Rate name]:[Rate name]],0),MATCH(OP_CMAB!F$24,OP_TotalRates_RES_2[[#Headers],[Ausnet]:[United Energy]],0))*DiY)+
(IFERROR((INDEX(OP_TotalRates_RES_2[[Ausnet]:[United Energy]],MATCH("Block 1",OP_TotalRates_RES_2[[Rate name]:[Rate name]],0),MATCH(OP_CMAB!F$24,OP_TotalRates_RES_2[[#Headers],[Ausnet]:[United Energy]],0))*
INDEX(Input_Usage[[F-PreviousVDO_Input]:[F-CurrentVDO_Input]],MATCH(OP_CMAB!$D26&amp;" - Block 1",Input_Usage[[Ref]:[Ref]],0),MATCH(OP_CMAB!$D$21,Inputs!$I$134:$M$134,0))),0)+
IFERROR((INDEX(OP_TotalRates_RES_2[[Ausnet]:[United Energy]],MATCH("Balance",OP_TotalRates_RES_2[[Rate name]:[Rate name]],0),MATCH(OP_CMAB!F$24,OP_TotalRates_RES_2[[#Headers],[Ausnet]:[United Energy]],0))*
INDEX(Input_Usage[[F-PreviousVDO_Input]:[F-CurrentVDO_Input]],MATCH(OP_CMAB!$D26&amp;" - Balance",Input_Usage[[Ref]:[Ref]],0),MATCH(OP_CMAB!$D$21,Inputs!$I$134:$M$134,0))),0)+
IFERROR((INDEX(OP_TotalRates_RES_2[[Ausnet]:[United Energy]],MATCH("Single rate",OP_TotalRates_RES_2[[Rate name]:[Rate name]],0),MATCH(OP_CMAB!F$24,OP_TotalRates_RES_2[[#Headers],[Ausnet]:[United Energy]],0))*
INDEX(Input_Usage[[F-PreviousVDO_Input]:[F-CurrentVDO_Input]],MATCH(OP_CMAB!$D26&amp;" - Annual",Input_Usage[[Ref]:[Ref]],0),MATCH(OP_CMAB!$D$21,Inputs!$I$134:$M$134,0))),0)),0),0,1),
IF(F26=
ROUNDUP(
(INDEX(OP_TotalRates_RES_2[[Ausnet]:[United Energy]],MATCH("TOU - supply",OP_TotalRates_RES_2[[Rate name]:[Rate name]],0),MATCH(OP_CMAB!F$24,OP_TotalRates_RES_2[[#Headers],[Ausnet]:[United Energy]],0))*DiY)+
(INDEX(OP_TotalRates_RES_2[[Ausnet]:[United Energy]],MATCH("Peak",OP_TotalRates_RES_2[[Rate name]:[Rate name]],0),MATCH(OP_CMAB!F$24,OP_TotalRates_RES_2[[#Headers],[Ausnet]:[United Energy]],0))*
INDEX(Input_Usage[[F-PreviousVDO_Input]:[F-CurrentVDO_Input]],MATCH($D26&amp;" - Peak",Input_Usage[[Ref]:[Ref]],0),MATCH($D$21,Inputs!$I$134:$M$134,0)))+
IFERROR((INDEX(OP_TotalRates_RES_2[[Ausnet]:[United Energy]],MATCH("TOU - Shoulder",OP_TotalRates_RES_2[[Rate name]:[Rate name]],0),MATCH(OP_CMAB!F$24,OP_TotalRates_RES_2[[#Headers],[Ausnet]:[United Energy]],0))*
INDEX(Input_Usage[[F-PreviousVDO_Input]:[F-CurrentVDO_Input]],MATCH($D26&amp;" - Shoulder",Input_Usage[[Ref]:[Ref]],0),MATCH($D$21,Inputs!$I$134:$M$134,0))),0)+
(INDEX(OP_TotalRates_RES_2[[Ausnet]:[United Energy]],MATCH("Off peak",OP_TotalRates_RES_2[[Rate name]:[Rate name]],0),MATCH(OP_CMAB!F$24,OP_TotalRates_RES_2[[#Headers],[Ausnet]:[United Energy]],0))*
INDEX(Input_Usage[[F-PreviousVDO_Input]:[F-CurrentVDO_Input]],MATCH($D26&amp;" - Off peak",Input_Usage[[Ref]:[Ref]],0),MATCH($D$21,Inputs!$I$134:$M$134,0))),0),0,1))</f>
        <v>0</v>
      </c>
      <c r="G30" s="93">
        <f>IF($D$21="VDO 2021 - Final",
IF(G26=
ROUNDUP(
(INDEX(OP_TotalRates_RES_2[[Ausnet]:[United Energy]],MATCH("Anytime - supply",OP_TotalRates_RES_2[[Rate name]:[Rate name]],0),MATCH(OP_CMAB!G$24,OP_TotalRates_RES_2[[#Headers],[Ausnet]:[United Energy]],0))*DiY)+
(IFERROR((INDEX(OP_TotalRates_RES_2[[Ausnet]:[United Energy]],MATCH("Block 1",OP_TotalRates_RES_2[[Rate name]:[Rate name]],0),MATCH(OP_CMAB!G$24,OP_TotalRates_RES_2[[#Headers],[Ausnet]:[United Energy]],0))*
INDEX(Input_Usage[[F-PreviousVDO_Input]:[F-CurrentVDO_Input]],MATCH(OP_CMAB!$D26&amp;" - Block 1",Input_Usage[[Ref]:[Ref]],0),MATCH(OP_CMAB!$D$21,Inputs!$I$134:$M$134,0))),0)+
IFERROR((INDEX(OP_TotalRates_RES_2[[Ausnet]:[United Energy]],MATCH("Balance",OP_TotalRates_RES_2[[Rate name]:[Rate name]],0),MATCH(OP_CMAB!G$24,OP_TotalRates_RES_2[[#Headers],[Ausnet]:[United Energy]],0))*
INDEX(Input_Usage[[F-PreviousVDO_Input]:[F-CurrentVDO_Input]],MATCH(OP_CMAB!$D26&amp;" - Balance",Input_Usage[[Ref]:[Ref]],0),MATCH(OP_CMAB!$D$21,Inputs!$I$134:$M$134,0))),0)+
IFERROR((INDEX(OP_TotalRates_RES_2[[Ausnet]:[United Energy]],MATCH("Single rate",OP_TotalRates_RES_2[[Rate name]:[Rate name]],0),MATCH(OP_CMAB!G$24,OP_TotalRates_RES_2[[#Headers],[Ausnet]:[United Energy]],0))*
INDEX(Input_Usage[[F-PreviousVDO_Input]:[F-CurrentVDO_Input]],MATCH(OP_CMAB!$D26&amp;" - Annual",Input_Usage[[Ref]:[Ref]],0),MATCH(OP_CMAB!$D$21,Inputs!$I$134:$M$134,0))),0)),0),0,1),
IF(G26=
ROUNDUP(
(INDEX(OP_TotalRates_RES_2[[Ausnet]:[United Energy]],MATCH("TOU - supply",OP_TotalRates_RES_2[[Rate name]:[Rate name]],0),MATCH(OP_CMAB!G$24,OP_TotalRates_RES_2[[#Headers],[Ausnet]:[United Energy]],0))*DiY)+
(INDEX(OP_TotalRates_RES_2[[Ausnet]:[United Energy]],MATCH("Peak",OP_TotalRates_RES_2[[Rate name]:[Rate name]],0),MATCH(OP_CMAB!G$24,OP_TotalRates_RES_2[[#Headers],[Ausnet]:[United Energy]],0))*
INDEX(Input_Usage[[F-PreviousVDO_Input]:[F-CurrentVDO_Input]],MATCH($D26&amp;" - Peak",Input_Usage[[Ref]:[Ref]],0),MATCH($D$21,Inputs!$I$134:$M$134,0)))+
IFERROR((INDEX(OP_TotalRates_RES_2[[Ausnet]:[United Energy]],MATCH("TOU - Shoulder",OP_TotalRates_RES_2[[Rate name]:[Rate name]],0),MATCH(OP_CMAB!G$24,OP_TotalRates_RES_2[[#Headers],[Ausnet]:[United Energy]],0))*
INDEX(Input_Usage[[F-PreviousVDO_Input]:[F-CurrentVDO_Input]],MATCH($D26&amp;" - Shoulder",Input_Usage[[Ref]:[Ref]],0),MATCH($D$21,Inputs!$I$134:$M$134,0))),0)+
(INDEX(OP_TotalRates_RES_2[[Ausnet]:[United Energy]],MATCH("Off peak",OP_TotalRates_RES_2[[Rate name]:[Rate name]],0),MATCH(OP_CMAB!G$24,OP_TotalRates_RES_2[[#Headers],[Ausnet]:[United Energy]],0))*
INDEX(Input_Usage[[F-PreviousVDO_Input]:[F-CurrentVDO_Input]],MATCH($D26&amp;" - Off peak",Input_Usage[[Ref]:[Ref]],0),MATCH($D$21,Inputs!$I$134:$M$134,0))),0),0,1))</f>
        <v>0</v>
      </c>
      <c r="H30" s="93">
        <f>IF($D$21="VDO 2021 - Final",
IF(H26=
ROUNDUP(
(INDEX(OP_TotalRates_RES_2[[Ausnet]:[United Energy]],MATCH("Anytime - supply",OP_TotalRates_RES_2[[Rate name]:[Rate name]],0),MATCH(OP_CMAB!H$24,OP_TotalRates_RES_2[[#Headers],[Ausnet]:[United Energy]],0))*DiY)+
(IFERROR((INDEX(OP_TotalRates_RES_2[[Ausnet]:[United Energy]],MATCH("Block 1",OP_TotalRates_RES_2[[Rate name]:[Rate name]],0),MATCH(OP_CMAB!H$24,OP_TotalRates_RES_2[[#Headers],[Ausnet]:[United Energy]],0))*
INDEX(Input_Usage[[F-PreviousVDO_Input]:[F-CurrentVDO_Input]],MATCH(OP_CMAB!$D26&amp;" - Block 1",Input_Usage[[Ref]:[Ref]],0),MATCH(OP_CMAB!$D$21,Inputs!$I$134:$M$134,0))),0)+
IFERROR((INDEX(OP_TotalRates_RES_2[[Ausnet]:[United Energy]],MATCH("Balance",OP_TotalRates_RES_2[[Rate name]:[Rate name]],0),MATCH(OP_CMAB!H$24,OP_TotalRates_RES_2[[#Headers],[Ausnet]:[United Energy]],0))*
INDEX(Input_Usage[[F-PreviousVDO_Input]:[F-CurrentVDO_Input]],MATCH(OP_CMAB!$D26&amp;" - Balance",Input_Usage[[Ref]:[Ref]],0),MATCH(OP_CMAB!$D$21,Inputs!$I$134:$M$134,0))),0)+
IFERROR((INDEX(OP_TotalRates_RES_2[[Ausnet]:[United Energy]],MATCH("Single rate",OP_TotalRates_RES_2[[Rate name]:[Rate name]],0),MATCH(OP_CMAB!H$24,OP_TotalRates_RES_2[[#Headers],[Ausnet]:[United Energy]],0))*
INDEX(Input_Usage[[F-PreviousVDO_Input]:[F-CurrentVDO_Input]],MATCH(OP_CMAB!$D26&amp;" - Annual",Input_Usage[[Ref]:[Ref]],0),MATCH(OP_CMAB!$D$21,Inputs!$I$134:$M$134,0))),0)),0),0,1),
IF(H26=
ROUNDUP(
(INDEX(OP_TotalRates_RES_2[[Ausnet]:[United Energy]],MATCH("TOU - supply",OP_TotalRates_RES_2[[Rate name]:[Rate name]],0),MATCH(OP_CMAB!H$24,OP_TotalRates_RES_2[[#Headers],[Ausnet]:[United Energy]],0))*DiY)+
(INDEX(OP_TotalRates_RES_2[[Ausnet]:[United Energy]],MATCH("Peak",OP_TotalRates_RES_2[[Rate name]:[Rate name]],0),MATCH(OP_CMAB!H$24,OP_TotalRates_RES_2[[#Headers],[Ausnet]:[United Energy]],0))*
INDEX(Input_Usage[[F-PreviousVDO_Input]:[F-CurrentVDO_Input]],MATCH($D26&amp;" - Peak",Input_Usage[[Ref]:[Ref]],0),MATCH($D$21,Inputs!$I$134:$M$134,0)))+
IFERROR((INDEX(OP_TotalRates_RES_2[[Ausnet]:[United Energy]],MATCH("TOU - Shoulder",OP_TotalRates_RES_2[[Rate name]:[Rate name]],0),MATCH(OP_CMAB!H$24,OP_TotalRates_RES_2[[#Headers],[Ausnet]:[United Energy]],0))*
INDEX(Input_Usage[[F-PreviousVDO_Input]:[F-CurrentVDO_Input]],MATCH($D26&amp;" - Shoulder",Input_Usage[[Ref]:[Ref]],0),MATCH($D$21,Inputs!$I$134:$M$134,0))),0)+
(INDEX(OP_TotalRates_RES_2[[Ausnet]:[United Energy]],MATCH("Off peak",OP_TotalRates_RES_2[[Rate name]:[Rate name]],0),MATCH(OP_CMAB!H$24,OP_TotalRates_RES_2[[#Headers],[Ausnet]:[United Energy]],0))*
INDEX(Input_Usage[[F-PreviousVDO_Input]:[F-CurrentVDO_Input]],MATCH($D26&amp;" - Off peak",Input_Usage[[Ref]:[Ref]],0),MATCH($D$21,Inputs!$I$134:$M$134,0))),0),0,1))</f>
        <v>0</v>
      </c>
      <c r="I30" s="93">
        <f>IF($D$21="VDO 2021 - Final",
IF(I26=
ROUNDUP(
(INDEX(OP_TotalRates_RES_2[[Ausnet]:[United Energy]],MATCH("Anytime - supply",OP_TotalRates_RES_2[[Rate name]:[Rate name]],0),MATCH(OP_CMAB!I$24,OP_TotalRates_RES_2[[#Headers],[Ausnet]:[United Energy]],0))*DiY)+
(IFERROR((INDEX(OP_TotalRates_RES_2[[Ausnet]:[United Energy]],MATCH("Block 1",OP_TotalRates_RES_2[[Rate name]:[Rate name]],0),MATCH(OP_CMAB!I$24,OP_TotalRates_RES_2[[#Headers],[Ausnet]:[United Energy]],0))*
INDEX(Input_Usage[[F-PreviousVDO_Input]:[F-CurrentVDO_Input]],MATCH(OP_CMAB!$D26&amp;" - Block 1",Input_Usage[[Ref]:[Ref]],0),MATCH(OP_CMAB!$D$21,Inputs!$I$134:$M$134,0))),0)+
IFERROR((INDEX(OP_TotalRates_RES_2[[Ausnet]:[United Energy]],MATCH("Balance",OP_TotalRates_RES_2[[Rate name]:[Rate name]],0),MATCH(OP_CMAB!I$24,OP_TotalRates_RES_2[[#Headers],[Ausnet]:[United Energy]],0))*
INDEX(Input_Usage[[F-PreviousVDO_Input]:[F-CurrentVDO_Input]],MATCH(OP_CMAB!$D26&amp;" - Balance",Input_Usage[[Ref]:[Ref]],0),MATCH(OP_CMAB!$D$21,Inputs!$I$134:$M$134,0))),0)+
IFERROR((INDEX(OP_TotalRates_RES_2[[Ausnet]:[United Energy]],MATCH("Single rate",OP_TotalRates_RES_2[[Rate name]:[Rate name]],0),MATCH(OP_CMAB!I$24,OP_TotalRates_RES_2[[#Headers],[Ausnet]:[United Energy]],0))*
INDEX(Input_Usage[[F-PreviousVDO_Input]:[F-CurrentVDO_Input]],MATCH(OP_CMAB!$D26&amp;" - Annual",Input_Usage[[Ref]:[Ref]],0),MATCH(OP_CMAB!$D$21,Inputs!$I$134:$M$134,0))),0)),0),0,1),
IF(I26=
ROUNDUP(
(INDEX(OP_TotalRates_RES_2[[Ausnet]:[United Energy]],MATCH("TOU - supply",OP_TotalRates_RES_2[[Rate name]:[Rate name]],0),MATCH(OP_CMAB!I$24,OP_TotalRates_RES_2[[#Headers],[Ausnet]:[United Energy]],0))*DiY)+
(INDEX(OP_TotalRates_RES_2[[Ausnet]:[United Energy]],MATCH("Peak",OP_TotalRates_RES_2[[Rate name]:[Rate name]],0),MATCH(OP_CMAB!I$24,OP_TotalRates_RES_2[[#Headers],[Ausnet]:[United Energy]],0))*
INDEX(Input_Usage[[F-PreviousVDO_Input]:[F-CurrentVDO_Input]],MATCH($D26&amp;" - Peak",Input_Usage[[Ref]:[Ref]],0),MATCH($D$21,Inputs!$I$134:$M$134,0)))+
IFERROR((INDEX(OP_TotalRates_RES_2[[Ausnet]:[United Energy]],MATCH("TOU - Shoulder",OP_TotalRates_RES_2[[Rate name]:[Rate name]],0),MATCH(OP_CMAB!I$24,OP_TotalRates_RES_2[[#Headers],[Ausnet]:[United Energy]],0))*
INDEX(Input_Usage[[F-PreviousVDO_Input]:[F-CurrentVDO_Input]],MATCH($D26&amp;" - Shoulder",Input_Usage[[Ref]:[Ref]],0),MATCH($D$21,Inputs!$I$134:$M$134,0))),0)+
(INDEX(OP_TotalRates_RES_2[[Ausnet]:[United Energy]],MATCH("Off peak",OP_TotalRates_RES_2[[Rate name]:[Rate name]],0),MATCH(OP_CMAB!I$24,OP_TotalRates_RES_2[[#Headers],[Ausnet]:[United Energy]],0))*
INDEX(Input_Usage[[F-PreviousVDO_Input]:[F-CurrentVDO_Input]],MATCH($D26&amp;" - Off peak",Input_Usage[[Ref]:[Ref]],0),MATCH($D$21,Inputs!$I$134:$M$134,0))),0),0,1))</f>
        <v>0</v>
      </c>
      <c r="M30" s="93">
        <f>IF($D$21="VDO 2021 - Final",
IF(M26=
ROUNDUP(
(INDEX(OP_TotalRates_SME_2[[Ausnet]:[United Energy]],MATCH("Anytime - supply",OP_TotalRates_SME_2[[Rate name]:[Rate name]],0),MATCH(OP_CMAB!M$24,OP_TotalRates_SME_2[[#Headers],[Ausnet]:[United Energy]],0))*DiY)+
(IFERROR((INDEX(OP_TotalRates_SME_2[[Ausnet]:[United Energy]],MATCH("Block 1",OP_TotalRates_SME_2[[Rate name]:[Rate name]],0),MATCH(OP_CMAB!M$24,OP_TotalRates_SME_2[[#Headers],[Ausnet]:[United Energy]],0))*
INDEX(Input_Usage[[F-PreviousVDO_Input]:[F-CurrentVDO_Input]],MATCH(OP_CMAB!$L26&amp;" - Block 1",Input_Usage[[Ref]:[Ref]],0),MATCH(OP_CMAB!$D$21,Inputs!$I$134:$M$134,0))),0)+
IFERROR((INDEX(OP_TotalRates_SME_2[[Ausnet]:[United Energy]],MATCH("Balance",OP_TotalRates_SME_2[[Rate name]:[Rate name]],0),MATCH(OP_CMAB!M$24,OP_TotalRates_SME_2[[#Headers],[Ausnet]:[United Energy]],0))*
INDEX(Input_Usage[[F-PreviousVDO_Input]:[F-CurrentVDO_Input]],MATCH(OP_CMAB!$L26&amp;" - Balance",Input_Usage[[Ref]:[Ref]],0),MATCH(OP_CMAB!$D$21,Inputs!$I$134:$M$134,0))),0)+
IFERROR((INDEX(OP_TotalRates_SME_2[[Ausnet]:[United Energy]],MATCH("Single rate",OP_TotalRates_SME_2[[Rate name]:[Rate name]],0),MATCH(OP_CMAB!M$24,OP_TotalRates_SME_2[[#Headers],[Ausnet]:[United Energy]],0))*
INDEX(Input_Usage[[F-PreviousVDO_Input]:[F-CurrentVDO_Input]],MATCH(OP_CMAB!$L26&amp;" - Annual",Input_Usage[[Ref]:[Ref]],0),MATCH(OP_CMAB!$D$21,Inputs!$I$134:$M$134,0))),0)),0),0,1),
IF(M26=
ROUNDUP(
(INDEX(OP_TotalRates_SME_2[[Ausnet]:[United Energy]],MATCH("TOU - supply",OP_TotalRates_SME_2[[Rate name]:[Rate name]],0),MATCH(OP_CMAB!M$24,OP_TotalRates_SME_2[[#Headers],[Ausnet]:[United Energy]],0))*DiY)+
(INDEX(OP_TotalRates_SME_2[[Ausnet]:[United Energy]],MATCH("Peak",OP_TotalRates_SME_2[[Rate name]:[Rate name]],0),MATCH(OP_CMAB!M$24,OP_TotalRates_SME_2[[#Headers],[Ausnet]:[United Energy]],0))*
INDEX(Input_Usage[[F-PreviousVDO_Input]:[F-CurrentVDO_Input]],MATCH($L26&amp;" - Peak",Input_Usage[[Ref]:[Ref]],0),MATCH($D$21,Inputs!$I$134:$M$134,0)))+
IFERROR((INDEX(OP_TotalRates_SME_2[[Ausnet]:[United Energy]],MATCH("TOU - Shoulder",OP_TotalRates_SME_2[[Rate name]:[Rate name]],0),MATCH(OP_CMAB!M$24,OP_TotalRates_SME_2[[#Headers],[Ausnet]:[United Energy]],0))*
INDEX(Input_Usage[[F-PreviousVDO_Input]:[F-CurrentVDO_Input]],MATCH($L26&amp;" - Shoulder",Input_Usage[[Ref]:[Ref]],0),MATCH($D$21,Inputs!$I$134:$M$134,0))),0)+
(INDEX(OP_TotalRates_SME_2[[Ausnet]:[United Energy]],MATCH("Off peak",OP_TotalRates_SME_2[[Rate name]:[Rate name]],0),MATCH(OP_CMAB!M$24,OP_TotalRates_SME_2[[#Headers],[Ausnet]:[United Energy]],0))*
INDEX(Input_Usage[[F-PreviousVDO_Input]:[F-CurrentVDO_Input]],MATCH($L26&amp;" - Off peak",Input_Usage[[Ref]:[Ref]],0),MATCH($D$21,Inputs!$I$134:$M$134,0))),0),0,1))</f>
        <v>0</v>
      </c>
      <c r="N30" s="93">
        <f>IF($D$21="VDO 2021 - Final",
IF(N26=
ROUNDUP(
(INDEX(OP_TotalRates_SME_2[[Ausnet]:[United Energy]],MATCH("Anytime - supply",OP_TotalRates_SME_2[[Rate name]:[Rate name]],0),MATCH(OP_CMAB!N$24,OP_TotalRates_SME_2[[#Headers],[Ausnet]:[United Energy]],0))*DiY)+
(IFERROR((INDEX(OP_TotalRates_SME_2[[Ausnet]:[United Energy]],MATCH("Block 1",OP_TotalRates_SME_2[[Rate name]:[Rate name]],0),MATCH(OP_CMAB!N$24,OP_TotalRates_SME_2[[#Headers],[Ausnet]:[United Energy]],0))*
INDEX(Input_Usage[[F-PreviousVDO_Input]:[F-CurrentVDO_Input]],MATCH(OP_CMAB!$L26&amp;" - Block 1",Input_Usage[[Ref]:[Ref]],0),MATCH(OP_CMAB!$D$21,Inputs!$I$134:$M$134,0))),0)+
IFERROR((INDEX(OP_TotalRates_SME_2[[Ausnet]:[United Energy]],MATCH("Balance",OP_TotalRates_SME_2[[Rate name]:[Rate name]],0),MATCH(OP_CMAB!N$24,OP_TotalRates_SME_2[[#Headers],[Ausnet]:[United Energy]],0))*
INDEX(Input_Usage[[F-PreviousVDO_Input]:[F-CurrentVDO_Input]],MATCH(OP_CMAB!$L26&amp;" - Balance",Input_Usage[[Ref]:[Ref]],0),MATCH(OP_CMAB!$D$21,Inputs!$I$134:$M$134,0))),0)+
IFERROR((INDEX(OP_TotalRates_SME_2[[Ausnet]:[United Energy]],MATCH("Single rate",OP_TotalRates_SME_2[[Rate name]:[Rate name]],0),MATCH(OP_CMAB!N$24,OP_TotalRates_SME_2[[#Headers],[Ausnet]:[United Energy]],0))*
INDEX(Input_Usage[[F-PreviousVDO_Input]:[F-CurrentVDO_Input]],MATCH(OP_CMAB!$L26&amp;" - Annual",Input_Usage[[Ref]:[Ref]],0),MATCH(OP_CMAB!$D$21,Inputs!$I$134:$M$134,0))),0)),0),0,1),
IF(N26=
ROUNDUP(
(INDEX(OP_TotalRates_SME_2[[Ausnet]:[United Energy]],MATCH("TOU - supply",OP_TotalRates_SME_2[[Rate name]:[Rate name]],0),MATCH(OP_CMAB!N$24,OP_TotalRates_SME_2[[#Headers],[Ausnet]:[United Energy]],0))*DiY)+
(INDEX(OP_TotalRates_SME_2[[Ausnet]:[United Energy]],MATCH("Peak",OP_TotalRates_SME_2[[Rate name]:[Rate name]],0),MATCH(OP_CMAB!N$24,OP_TotalRates_SME_2[[#Headers],[Ausnet]:[United Energy]],0))*
INDEX(Input_Usage[[F-PreviousVDO_Input]:[F-CurrentVDO_Input]],MATCH($L26&amp;" - Peak",Input_Usage[[Ref]:[Ref]],0),MATCH($D$21,Inputs!$I$134:$M$134,0)))+
IFERROR((INDEX(OP_TotalRates_SME_2[[Ausnet]:[United Energy]],MATCH("TOU - Shoulder",OP_TotalRates_SME_2[[Rate name]:[Rate name]],0),MATCH(OP_CMAB!N$24,OP_TotalRates_SME_2[[#Headers],[Ausnet]:[United Energy]],0))*
INDEX(Input_Usage[[F-PreviousVDO_Input]:[F-CurrentVDO_Input]],MATCH($L26&amp;" - Shoulder",Input_Usage[[Ref]:[Ref]],0),MATCH($D$21,Inputs!$I$134:$M$134,0))),0)+
(INDEX(OP_TotalRates_SME_2[[Ausnet]:[United Energy]],MATCH("Off peak",OP_TotalRates_SME_2[[Rate name]:[Rate name]],0),MATCH(OP_CMAB!N$24,OP_TotalRates_SME_2[[#Headers],[Ausnet]:[United Energy]],0))*
INDEX(Input_Usage[[F-PreviousVDO_Input]:[F-CurrentVDO_Input]],MATCH($L26&amp;" - Off peak",Input_Usage[[Ref]:[Ref]],0),MATCH($D$21,Inputs!$I$134:$M$134,0))),0),0,1))</f>
        <v>0</v>
      </c>
      <c r="O30" s="93">
        <f>IF($D$21="VDO 2021 - Final",
IF(O26=
ROUNDUP(
(INDEX(OP_TotalRates_SME_2[[Ausnet]:[United Energy]],MATCH("Anytime - supply",OP_TotalRates_SME_2[[Rate name]:[Rate name]],0),MATCH(OP_CMAB!O$24,OP_TotalRates_SME_2[[#Headers],[Ausnet]:[United Energy]],0))*DiY)+
(IFERROR((INDEX(OP_TotalRates_SME_2[[Ausnet]:[United Energy]],MATCH("Block 1",OP_TotalRates_SME_2[[Rate name]:[Rate name]],0),MATCH(OP_CMAB!O$24,OP_TotalRates_SME_2[[#Headers],[Ausnet]:[United Energy]],0))*
INDEX(Input_Usage[[F-PreviousVDO_Input]:[F-CurrentVDO_Input]],MATCH(OP_CMAB!$L26&amp;" - Block 1",Input_Usage[[Ref]:[Ref]],0),MATCH(OP_CMAB!$D$21,Inputs!$I$134:$M$134,0))),0)+
IFERROR((INDEX(OP_TotalRates_SME_2[[Ausnet]:[United Energy]],MATCH("Balance",OP_TotalRates_SME_2[[Rate name]:[Rate name]],0),MATCH(OP_CMAB!O$24,OP_TotalRates_SME_2[[#Headers],[Ausnet]:[United Energy]],0))*
INDEX(Input_Usage[[F-PreviousVDO_Input]:[F-CurrentVDO_Input]],MATCH(OP_CMAB!$L26&amp;" - Balance",Input_Usage[[Ref]:[Ref]],0),MATCH(OP_CMAB!$D$21,Inputs!$I$134:$M$134,0))),0)+
IFERROR((INDEX(OP_TotalRates_SME_2[[Ausnet]:[United Energy]],MATCH("Single rate",OP_TotalRates_SME_2[[Rate name]:[Rate name]],0),MATCH(OP_CMAB!O$24,OP_TotalRates_SME_2[[#Headers],[Ausnet]:[United Energy]],0))*
INDEX(Input_Usage[[F-PreviousVDO_Input]:[F-CurrentVDO_Input]],MATCH(OP_CMAB!$L26&amp;" - Annual",Input_Usage[[Ref]:[Ref]],0),MATCH(OP_CMAB!$D$21,Inputs!$I$134:$M$134,0))),0)),0),0,1),
IF(O26=
ROUNDUP(
(INDEX(OP_TotalRates_SME_2[[Ausnet]:[United Energy]],MATCH("TOU - supply",OP_TotalRates_SME_2[[Rate name]:[Rate name]],0),MATCH(OP_CMAB!O$24,OP_TotalRates_SME_2[[#Headers],[Ausnet]:[United Energy]],0))*DiY)+
(INDEX(OP_TotalRates_SME_2[[Ausnet]:[United Energy]],MATCH("Peak",OP_TotalRates_SME_2[[Rate name]:[Rate name]],0),MATCH(OP_CMAB!O$24,OP_TotalRates_SME_2[[#Headers],[Ausnet]:[United Energy]],0))*
INDEX(Input_Usage[[F-PreviousVDO_Input]:[F-CurrentVDO_Input]],MATCH($L26&amp;" - Peak",Input_Usage[[Ref]:[Ref]],0),MATCH($D$21,Inputs!$I$134:$M$134,0)))+
IFERROR((INDEX(OP_TotalRates_SME_2[[Ausnet]:[United Energy]],MATCH("TOU - Shoulder",OP_TotalRates_SME_2[[Rate name]:[Rate name]],0),MATCH(OP_CMAB!O$24,OP_TotalRates_SME_2[[#Headers],[Ausnet]:[United Energy]],0))*
INDEX(Input_Usage[[F-PreviousVDO_Input]:[F-CurrentVDO_Input]],MATCH($L26&amp;" - Shoulder",Input_Usage[[Ref]:[Ref]],0),MATCH($D$21,Inputs!$I$134:$M$134,0))),0)+
(INDEX(OP_TotalRates_SME_2[[Ausnet]:[United Energy]],MATCH("Off peak",OP_TotalRates_SME_2[[Rate name]:[Rate name]],0),MATCH(OP_CMAB!O$24,OP_TotalRates_SME_2[[#Headers],[Ausnet]:[United Energy]],0))*
INDEX(Input_Usage[[F-PreviousVDO_Input]:[F-CurrentVDO_Input]],MATCH($L26&amp;" - Off peak",Input_Usage[[Ref]:[Ref]],0),MATCH($D$21,Inputs!$I$134:$M$134,0))),0),0,1))</f>
        <v>0</v>
      </c>
      <c r="P30" s="93">
        <f>IF($D$21="VDO 2021 - Final",
IF(P26=
ROUNDUP(
(INDEX(OP_TotalRates_SME_2[[Ausnet]:[United Energy]],MATCH("Anytime - supply",OP_TotalRates_SME_2[[Rate name]:[Rate name]],0),MATCH(OP_CMAB!P$24,OP_TotalRates_SME_2[[#Headers],[Ausnet]:[United Energy]],0))*DiY)+
(IFERROR((INDEX(OP_TotalRates_SME_2[[Ausnet]:[United Energy]],MATCH("Block 1",OP_TotalRates_SME_2[[Rate name]:[Rate name]],0),MATCH(OP_CMAB!P$24,OP_TotalRates_SME_2[[#Headers],[Ausnet]:[United Energy]],0))*
INDEX(Input_Usage[[F-PreviousVDO_Input]:[F-CurrentVDO_Input]],MATCH(OP_CMAB!$L26&amp;" - Block 1",Input_Usage[[Ref]:[Ref]],0),MATCH(OP_CMAB!$D$21,Inputs!$I$134:$M$134,0))),0)+
IFERROR((INDEX(OP_TotalRates_SME_2[[Ausnet]:[United Energy]],MATCH("Balance",OP_TotalRates_SME_2[[Rate name]:[Rate name]],0),MATCH(OP_CMAB!P$24,OP_TotalRates_SME_2[[#Headers],[Ausnet]:[United Energy]],0))*
INDEX(Input_Usage[[F-PreviousVDO_Input]:[F-CurrentVDO_Input]],MATCH(OP_CMAB!$L26&amp;" - Balance",Input_Usage[[Ref]:[Ref]],0),MATCH(OP_CMAB!$D$21,Inputs!$I$134:$M$134,0))),0)+
IFERROR((INDEX(OP_TotalRates_SME_2[[Ausnet]:[United Energy]],MATCH("Single rate",OP_TotalRates_SME_2[[Rate name]:[Rate name]],0),MATCH(OP_CMAB!P$24,OP_TotalRates_SME_2[[#Headers],[Ausnet]:[United Energy]],0))*
INDEX(Input_Usage[[F-PreviousVDO_Input]:[F-CurrentVDO_Input]],MATCH(OP_CMAB!$L26&amp;" - Annual",Input_Usage[[Ref]:[Ref]],0),MATCH(OP_CMAB!$D$21,Inputs!$I$134:$M$134,0))),0)),0),0,1),
IF(P26=
ROUNDUP(
(INDEX(OP_TotalRates_SME_2[[Ausnet]:[United Energy]],MATCH("TOU - supply",OP_TotalRates_SME_2[[Rate name]:[Rate name]],0),MATCH(OP_CMAB!P$24,OP_TotalRates_SME_2[[#Headers],[Ausnet]:[United Energy]],0))*DiY)+
(INDEX(OP_TotalRates_SME_2[[Ausnet]:[United Energy]],MATCH("Peak",OP_TotalRates_SME_2[[Rate name]:[Rate name]],0),MATCH(OP_CMAB!P$24,OP_TotalRates_SME_2[[#Headers],[Ausnet]:[United Energy]],0))*
INDEX(Input_Usage[[F-PreviousVDO_Input]:[F-CurrentVDO_Input]],MATCH($L26&amp;" - Peak",Input_Usage[[Ref]:[Ref]],0),MATCH($D$21,Inputs!$I$134:$M$134,0)))+
IFERROR((INDEX(OP_TotalRates_SME_2[[Ausnet]:[United Energy]],MATCH("TOU - Shoulder",OP_TotalRates_SME_2[[Rate name]:[Rate name]],0),MATCH(OP_CMAB!P$24,OP_TotalRates_SME_2[[#Headers],[Ausnet]:[United Energy]],0))*
INDEX(Input_Usage[[F-PreviousVDO_Input]:[F-CurrentVDO_Input]],MATCH($L26&amp;" - Shoulder",Input_Usage[[Ref]:[Ref]],0),MATCH($D$21,Inputs!$I$134:$M$134,0))),0)+
(INDEX(OP_TotalRates_SME_2[[Ausnet]:[United Energy]],MATCH("Off peak",OP_TotalRates_SME_2[[Rate name]:[Rate name]],0),MATCH(OP_CMAB!P$24,OP_TotalRates_SME_2[[#Headers],[Ausnet]:[United Energy]],0))*
INDEX(Input_Usage[[F-PreviousVDO_Input]:[F-CurrentVDO_Input]],MATCH($L26&amp;" - Off peak",Input_Usage[[Ref]:[Ref]],0),MATCH($D$21,Inputs!$I$134:$M$134,0))),0),0,1))</f>
        <v>0</v>
      </c>
      <c r="Q30" s="93">
        <f>IF($D$21="VDO 2021 - Final",
IF(Q26=
ROUNDUP(
(INDEX(OP_TotalRates_SME_2[[Ausnet]:[United Energy]],MATCH("Anytime - supply",OP_TotalRates_SME_2[[Rate name]:[Rate name]],0),MATCH(OP_CMAB!Q$24,OP_TotalRates_SME_2[[#Headers],[Ausnet]:[United Energy]],0))*DiY)+
(IFERROR((INDEX(OP_TotalRates_SME_2[[Ausnet]:[United Energy]],MATCH("Block 1",OP_TotalRates_SME_2[[Rate name]:[Rate name]],0),MATCH(OP_CMAB!Q$24,OP_TotalRates_SME_2[[#Headers],[Ausnet]:[United Energy]],0))*
INDEX(Input_Usage[[F-PreviousVDO_Input]:[F-CurrentVDO_Input]],MATCH(OP_CMAB!$L26&amp;" - Block 1",Input_Usage[[Ref]:[Ref]],0),MATCH(OP_CMAB!$D$21,Inputs!$I$134:$M$134,0))),0)+
IFERROR((INDEX(OP_TotalRates_SME_2[[Ausnet]:[United Energy]],MATCH("Balance",OP_TotalRates_SME_2[[Rate name]:[Rate name]],0),MATCH(OP_CMAB!Q$24,OP_TotalRates_SME_2[[#Headers],[Ausnet]:[United Energy]],0))*
INDEX(Input_Usage[[F-PreviousVDO_Input]:[F-CurrentVDO_Input]],MATCH(OP_CMAB!$L26&amp;" - Balance",Input_Usage[[Ref]:[Ref]],0),MATCH(OP_CMAB!$D$21,Inputs!$I$134:$M$134,0))),0)+
IFERROR((INDEX(OP_TotalRates_SME_2[[Ausnet]:[United Energy]],MATCH("Single rate",OP_TotalRates_SME_2[[Rate name]:[Rate name]],0),MATCH(OP_CMAB!Q$24,OP_TotalRates_SME_2[[#Headers],[Ausnet]:[United Energy]],0))*
INDEX(Input_Usage[[F-PreviousVDO_Input]:[F-CurrentVDO_Input]],MATCH(OP_CMAB!$L26&amp;" - Annual",Input_Usage[[Ref]:[Ref]],0),MATCH(OP_CMAB!$D$21,Inputs!$I$134:$M$134,0))),0)),0),0,1),
IF(Q26=
ROUNDUP(
(INDEX(OP_TotalRates_SME_2[[Ausnet]:[United Energy]],MATCH("TOU - supply",OP_TotalRates_SME_2[[Rate name]:[Rate name]],0),MATCH(OP_CMAB!Q$24,OP_TotalRates_SME_2[[#Headers],[Ausnet]:[United Energy]],0))*DiY)+
(INDEX(OP_TotalRates_SME_2[[Ausnet]:[United Energy]],MATCH("Peak",OP_TotalRates_SME_2[[Rate name]:[Rate name]],0),MATCH(OP_CMAB!Q$24,OP_TotalRates_SME_2[[#Headers],[Ausnet]:[United Energy]],0))*
INDEX(Input_Usage[[F-PreviousVDO_Input]:[F-CurrentVDO_Input]],MATCH($L26&amp;" - Peak",Input_Usage[[Ref]:[Ref]],0),MATCH($D$21,Inputs!$I$134:$M$134,0)))+
IFERROR((INDEX(OP_TotalRates_SME_2[[Ausnet]:[United Energy]],MATCH("TOU - Shoulder",OP_TotalRates_SME_2[[Rate name]:[Rate name]],0),MATCH(OP_CMAB!Q$24,OP_TotalRates_SME_2[[#Headers],[Ausnet]:[United Energy]],0))*
INDEX(Input_Usage[[F-PreviousVDO_Input]:[F-CurrentVDO_Input]],MATCH($L26&amp;" - Shoulder",Input_Usage[[Ref]:[Ref]],0),MATCH($D$21,Inputs!$I$134:$M$134,0))),0)+
(INDEX(OP_TotalRates_SME_2[[Ausnet]:[United Energy]],MATCH("Off peak",OP_TotalRates_SME_2[[Rate name]:[Rate name]],0),MATCH(OP_CMAB!Q$24,OP_TotalRates_SME_2[[#Headers],[Ausnet]:[United Energy]],0))*
INDEX(Input_Usage[[F-PreviousVDO_Input]:[F-CurrentVDO_Input]],MATCH($L26&amp;" - Off peak",Input_Usage[[Ref]:[Ref]],0),MATCH($D$21,Inputs!$I$134:$M$134,0))),0),0,1))</f>
        <v>0</v>
      </c>
    </row>
    <row r="31" spans="1:18" ht="15.75" x14ac:dyDescent="0.25">
      <c r="E31" s="93">
        <f>IF($D$21="VDO 2021 - Final",
IF(E27=
ROUNDUP(
(INDEX(OP_TotalRates_RES_2[[Ausnet]:[United Energy]],MATCH("Anytime - supply",OP_TotalRates_RES_2[[Rate name]:[Rate name]],0),MATCH(OP_CMAB!E$24,OP_TotalRates_RES_2[[#Headers],[Ausnet]:[United Energy]],0))*DiY)+
(IFERROR((INDEX(OP_TotalRates_RES_2[[Ausnet]:[United Energy]],MATCH("Block 1",OP_TotalRates_RES_2[[Rate name]:[Rate name]],0),MATCH(OP_CMAB!E$24,OP_TotalRates_RES_2[[#Headers],[Ausnet]:[United Energy]],0))*
INDEX(Input_Usage[[F-PreviousVDO_Input]:[F-CurrentVDO_Input]],MATCH(OP_CMAB!$D27&amp;" - Block 1",Input_Usage[[Ref]:[Ref]],0),MATCH(OP_CMAB!$D$21,Inputs!$I$134:$M$134,0))),0)+
IFERROR((INDEX(OP_TotalRates_RES_2[[Ausnet]:[United Energy]],MATCH("Balance",OP_TotalRates_RES_2[[Rate name]:[Rate name]],0),MATCH(OP_CMAB!E$24,OP_TotalRates_RES_2[[#Headers],[Ausnet]:[United Energy]],0))*
INDEX(Input_Usage[[F-PreviousVDO_Input]:[F-CurrentVDO_Input]],MATCH(OP_CMAB!$D27&amp;" - Balance",Input_Usage[[Ref]:[Ref]],0),MATCH(OP_CMAB!$D$21,Inputs!$I$134:$M$134,0))),0)+
IFERROR((INDEX(OP_TotalRates_RES_2[[Ausnet]:[United Energy]],MATCH("Single rate",OP_TotalRates_RES_2[[Rate name]:[Rate name]],0),MATCH(OP_CMAB!E$24,OP_TotalRates_RES_2[[#Headers],[Ausnet]:[United Energy]],0))*
INDEX(Input_Usage[[F-PreviousVDO_Input]:[F-CurrentVDO_Input]],MATCH(OP_CMAB!$D27&amp;" - Annual",Input_Usage[[Ref]:[Ref]],0),MATCH(OP_CMAB!$D$21,Inputs!$I$134:$M$134,0))),0)),0),0,1),
IF(E27=
ROUNDUP(
(INDEX(OP_TotalRates_RES_2[[Ausnet]:[United Energy]],MATCH("TOU - supply",OP_TotalRates_RES_2[[Rate name]:[Rate name]],0),MATCH(OP_CMAB!E$24,OP_TotalRates_RES_2[[#Headers],[Ausnet]:[United Energy]],0))*DiY)+
(INDEX(OP_TotalRates_RES_2[[Ausnet]:[United Energy]],MATCH("Peak",OP_TotalRates_RES_2[[Rate name]:[Rate name]],0),MATCH(OP_CMAB!E$24,OP_TotalRates_RES_2[[#Headers],[Ausnet]:[United Energy]],0))*
INDEX(Input_Usage[[F-PreviousVDO_Input]:[F-CurrentVDO_Input]],MATCH($D27&amp;" - Peak",Input_Usage[[Ref]:[Ref]],0),MATCH($D$21,Inputs!$I$134:$M$134,0)))+
IFERROR((INDEX(OP_TotalRates_RES_2[[Ausnet]:[United Energy]],MATCH("TOU - Shoulder",OP_TotalRates_RES_2[[Rate name]:[Rate name]],0),MATCH(OP_CMAB!E$24,OP_TotalRates_RES_2[[#Headers],[Ausnet]:[United Energy]],0))*
INDEX(Input_Usage[[F-PreviousVDO_Input]:[F-CurrentVDO_Input]],MATCH($D27&amp;" - Shoulder",Input_Usage[[Ref]:[Ref]],0),MATCH($D$21,Inputs!$I$134:$M$134,0))),0)+
(INDEX(OP_TotalRates_RES_2[[Ausnet]:[United Energy]],MATCH("Off peak",OP_TotalRates_RES_2[[Rate name]:[Rate name]],0),MATCH(OP_CMAB!E$24,OP_TotalRates_RES_2[[#Headers],[Ausnet]:[United Energy]],0))*
INDEX(Input_Usage[[F-PreviousVDO_Input]:[F-CurrentVDO_Input]],MATCH($D27&amp;" - Off peak",Input_Usage[[Ref]:[Ref]],0),MATCH($D$21,Inputs!$I$134:$M$134,0))),0),0,1))</f>
        <v>0</v>
      </c>
      <c r="F31" s="93">
        <f>IF($D$21="VDO 2021 - Final",
IF(F27=
ROUNDUP(
(INDEX(OP_TotalRates_RES_2[[Ausnet]:[United Energy]],MATCH("Anytime - supply",OP_TotalRates_RES_2[[Rate name]:[Rate name]],0),MATCH(OP_CMAB!F$24,OP_TotalRates_RES_2[[#Headers],[Ausnet]:[United Energy]],0))*DiY)+
(IFERROR((INDEX(OP_TotalRates_RES_2[[Ausnet]:[United Energy]],MATCH("Block 1",OP_TotalRates_RES_2[[Rate name]:[Rate name]],0),MATCH(OP_CMAB!F$24,OP_TotalRates_RES_2[[#Headers],[Ausnet]:[United Energy]],0))*
INDEX(Input_Usage[[F-PreviousVDO_Input]:[F-CurrentVDO_Input]],MATCH(OP_CMAB!$D27&amp;" - Block 1",Input_Usage[[Ref]:[Ref]],0),MATCH(OP_CMAB!$D$21,Inputs!$I$134:$M$134,0))),0)+
IFERROR((INDEX(OP_TotalRates_RES_2[[Ausnet]:[United Energy]],MATCH("Balance",OP_TotalRates_RES_2[[Rate name]:[Rate name]],0),MATCH(OP_CMAB!F$24,OP_TotalRates_RES_2[[#Headers],[Ausnet]:[United Energy]],0))*
INDEX(Input_Usage[[F-PreviousVDO_Input]:[F-CurrentVDO_Input]],MATCH(OP_CMAB!$D27&amp;" - Balance",Input_Usage[[Ref]:[Ref]],0),MATCH(OP_CMAB!$D$21,Inputs!$I$134:$M$134,0))),0)+
IFERROR((INDEX(OP_TotalRates_RES_2[[Ausnet]:[United Energy]],MATCH("Single rate",OP_TotalRates_RES_2[[Rate name]:[Rate name]],0),MATCH(OP_CMAB!F$24,OP_TotalRates_RES_2[[#Headers],[Ausnet]:[United Energy]],0))*
INDEX(Input_Usage[[F-PreviousVDO_Input]:[F-CurrentVDO_Input]],MATCH(OP_CMAB!$D27&amp;" - Annual",Input_Usage[[Ref]:[Ref]],0),MATCH(OP_CMAB!$D$21,Inputs!$I$134:$M$134,0))),0)),0),0,1),
IF(F27=
ROUNDUP(
(INDEX(OP_TotalRates_RES_2[[Ausnet]:[United Energy]],MATCH("TOU - supply",OP_TotalRates_RES_2[[Rate name]:[Rate name]],0),MATCH(OP_CMAB!F$24,OP_TotalRates_RES_2[[#Headers],[Ausnet]:[United Energy]],0))*DiY)+
(INDEX(OP_TotalRates_RES_2[[Ausnet]:[United Energy]],MATCH("Peak",OP_TotalRates_RES_2[[Rate name]:[Rate name]],0),MATCH(OP_CMAB!F$24,OP_TotalRates_RES_2[[#Headers],[Ausnet]:[United Energy]],0))*
INDEX(Input_Usage[[F-PreviousVDO_Input]:[F-CurrentVDO_Input]],MATCH($D27&amp;" - Peak",Input_Usage[[Ref]:[Ref]],0),MATCH($D$21,Inputs!$I$134:$M$134,0)))+
IFERROR((INDEX(OP_TotalRates_RES_2[[Ausnet]:[United Energy]],MATCH("TOU - Shoulder",OP_TotalRates_RES_2[[Rate name]:[Rate name]],0),MATCH(OP_CMAB!F$24,OP_TotalRates_RES_2[[#Headers],[Ausnet]:[United Energy]],0))*
INDEX(Input_Usage[[F-PreviousVDO_Input]:[F-CurrentVDO_Input]],MATCH($D27&amp;" - Shoulder",Input_Usage[[Ref]:[Ref]],0),MATCH($D$21,Inputs!$I$134:$M$134,0))),0)+
(INDEX(OP_TotalRates_RES_2[[Ausnet]:[United Energy]],MATCH("Off peak",OP_TotalRates_RES_2[[Rate name]:[Rate name]],0),MATCH(OP_CMAB!F$24,OP_TotalRates_RES_2[[#Headers],[Ausnet]:[United Energy]],0))*
INDEX(Input_Usage[[F-PreviousVDO_Input]:[F-CurrentVDO_Input]],MATCH($D27&amp;" - Off peak",Input_Usage[[Ref]:[Ref]],0),MATCH($D$21,Inputs!$I$134:$M$134,0))),0),0,1))</f>
        <v>0</v>
      </c>
      <c r="G31" s="93">
        <f>IF($D$21="VDO 2021 - Final",
IF(G27=
ROUNDUP(
(INDEX(OP_TotalRates_RES_2[[Ausnet]:[United Energy]],MATCH("Anytime - supply",OP_TotalRates_RES_2[[Rate name]:[Rate name]],0),MATCH(OP_CMAB!G$24,OP_TotalRates_RES_2[[#Headers],[Ausnet]:[United Energy]],0))*DiY)+
(IFERROR((INDEX(OP_TotalRates_RES_2[[Ausnet]:[United Energy]],MATCH("Block 1",OP_TotalRates_RES_2[[Rate name]:[Rate name]],0),MATCH(OP_CMAB!G$24,OP_TotalRates_RES_2[[#Headers],[Ausnet]:[United Energy]],0))*
INDEX(Input_Usage[[F-PreviousVDO_Input]:[F-CurrentVDO_Input]],MATCH(OP_CMAB!$D27&amp;" - Block 1",Input_Usage[[Ref]:[Ref]],0),MATCH(OP_CMAB!$D$21,Inputs!$I$134:$M$134,0))),0)+
IFERROR((INDEX(OP_TotalRates_RES_2[[Ausnet]:[United Energy]],MATCH("Balance",OP_TotalRates_RES_2[[Rate name]:[Rate name]],0),MATCH(OP_CMAB!G$24,OP_TotalRates_RES_2[[#Headers],[Ausnet]:[United Energy]],0))*
INDEX(Input_Usage[[F-PreviousVDO_Input]:[F-CurrentVDO_Input]],MATCH(OP_CMAB!$D27&amp;" - Balance",Input_Usage[[Ref]:[Ref]],0),MATCH(OP_CMAB!$D$21,Inputs!$I$134:$M$134,0))),0)+
IFERROR((INDEX(OP_TotalRates_RES_2[[Ausnet]:[United Energy]],MATCH("Single rate",OP_TotalRates_RES_2[[Rate name]:[Rate name]],0),MATCH(OP_CMAB!G$24,OP_TotalRates_RES_2[[#Headers],[Ausnet]:[United Energy]],0))*
INDEX(Input_Usage[[F-PreviousVDO_Input]:[F-CurrentVDO_Input]],MATCH(OP_CMAB!$D27&amp;" - Annual",Input_Usage[[Ref]:[Ref]],0),MATCH(OP_CMAB!$D$21,Inputs!$I$134:$M$134,0))),0)),0),0,1),
IF(G27=
ROUNDUP(
(INDEX(OP_TotalRates_RES_2[[Ausnet]:[United Energy]],MATCH("TOU - supply",OP_TotalRates_RES_2[[Rate name]:[Rate name]],0),MATCH(OP_CMAB!G$24,OP_TotalRates_RES_2[[#Headers],[Ausnet]:[United Energy]],0))*DiY)+
(INDEX(OP_TotalRates_RES_2[[Ausnet]:[United Energy]],MATCH("Peak",OP_TotalRates_RES_2[[Rate name]:[Rate name]],0),MATCH(OP_CMAB!G$24,OP_TotalRates_RES_2[[#Headers],[Ausnet]:[United Energy]],0))*
INDEX(Input_Usage[[F-PreviousVDO_Input]:[F-CurrentVDO_Input]],MATCH($D27&amp;" - Peak",Input_Usage[[Ref]:[Ref]],0),MATCH($D$21,Inputs!$I$134:$M$134,0)))+
IFERROR((INDEX(OP_TotalRates_RES_2[[Ausnet]:[United Energy]],MATCH("TOU - Shoulder",OP_TotalRates_RES_2[[Rate name]:[Rate name]],0),MATCH(OP_CMAB!G$24,OP_TotalRates_RES_2[[#Headers],[Ausnet]:[United Energy]],0))*
INDEX(Input_Usage[[F-PreviousVDO_Input]:[F-CurrentVDO_Input]],MATCH($D27&amp;" - Shoulder",Input_Usage[[Ref]:[Ref]],0),MATCH($D$21,Inputs!$I$134:$M$134,0))),0)+
(INDEX(OP_TotalRates_RES_2[[Ausnet]:[United Energy]],MATCH("Off peak",OP_TotalRates_RES_2[[Rate name]:[Rate name]],0),MATCH(OP_CMAB!G$24,OP_TotalRates_RES_2[[#Headers],[Ausnet]:[United Energy]],0))*
INDEX(Input_Usage[[F-PreviousVDO_Input]:[F-CurrentVDO_Input]],MATCH($D27&amp;" - Off peak",Input_Usage[[Ref]:[Ref]],0),MATCH($D$21,Inputs!$I$134:$M$134,0))),0),0,1))</f>
        <v>0</v>
      </c>
      <c r="H31" s="93">
        <f>IF($D$21="VDO 2021 - Final",
IF(H27=
ROUNDUP(
(INDEX(OP_TotalRates_RES_2[[Ausnet]:[United Energy]],MATCH("Anytime - supply",OP_TotalRates_RES_2[[Rate name]:[Rate name]],0),MATCH(OP_CMAB!H$24,OP_TotalRates_RES_2[[#Headers],[Ausnet]:[United Energy]],0))*DiY)+
(IFERROR((INDEX(OP_TotalRates_RES_2[[Ausnet]:[United Energy]],MATCH("Block 1",OP_TotalRates_RES_2[[Rate name]:[Rate name]],0),MATCH(OP_CMAB!H$24,OP_TotalRates_RES_2[[#Headers],[Ausnet]:[United Energy]],0))*
INDEX(Input_Usage[[F-PreviousVDO_Input]:[F-CurrentVDO_Input]],MATCH(OP_CMAB!$D27&amp;" - Block 1",Input_Usage[[Ref]:[Ref]],0),MATCH(OP_CMAB!$D$21,Inputs!$I$134:$M$134,0))),0)+
IFERROR((INDEX(OP_TotalRates_RES_2[[Ausnet]:[United Energy]],MATCH("Balance",OP_TotalRates_RES_2[[Rate name]:[Rate name]],0),MATCH(OP_CMAB!H$24,OP_TotalRates_RES_2[[#Headers],[Ausnet]:[United Energy]],0))*
INDEX(Input_Usage[[F-PreviousVDO_Input]:[F-CurrentVDO_Input]],MATCH(OP_CMAB!$D27&amp;" - Balance",Input_Usage[[Ref]:[Ref]],0),MATCH(OP_CMAB!$D$21,Inputs!$I$134:$M$134,0))),0)+
IFERROR((INDEX(OP_TotalRates_RES_2[[Ausnet]:[United Energy]],MATCH("Single rate",OP_TotalRates_RES_2[[Rate name]:[Rate name]],0),MATCH(OP_CMAB!H$24,OP_TotalRates_RES_2[[#Headers],[Ausnet]:[United Energy]],0))*
INDEX(Input_Usage[[F-PreviousVDO_Input]:[F-CurrentVDO_Input]],MATCH(OP_CMAB!$D27&amp;" - Annual",Input_Usage[[Ref]:[Ref]],0),MATCH(OP_CMAB!$D$21,Inputs!$I$134:$M$134,0))),0)),0),0,1),
IF(H27=
ROUNDUP(
(INDEX(OP_TotalRates_RES_2[[Ausnet]:[United Energy]],MATCH("TOU - supply",OP_TotalRates_RES_2[[Rate name]:[Rate name]],0),MATCH(OP_CMAB!H$24,OP_TotalRates_RES_2[[#Headers],[Ausnet]:[United Energy]],0))*DiY)+
(INDEX(OP_TotalRates_RES_2[[Ausnet]:[United Energy]],MATCH("Peak",OP_TotalRates_RES_2[[Rate name]:[Rate name]],0),MATCH(OP_CMAB!H$24,OP_TotalRates_RES_2[[#Headers],[Ausnet]:[United Energy]],0))*
INDEX(Input_Usage[[F-PreviousVDO_Input]:[F-CurrentVDO_Input]],MATCH($D27&amp;" - Peak",Input_Usage[[Ref]:[Ref]],0),MATCH($D$21,Inputs!$I$134:$M$134,0)))+
IFERROR((INDEX(OP_TotalRates_RES_2[[Ausnet]:[United Energy]],MATCH("TOU - Shoulder",OP_TotalRates_RES_2[[Rate name]:[Rate name]],0),MATCH(OP_CMAB!H$24,OP_TotalRates_RES_2[[#Headers],[Ausnet]:[United Energy]],0))*
INDEX(Input_Usage[[F-PreviousVDO_Input]:[F-CurrentVDO_Input]],MATCH($D27&amp;" - Shoulder",Input_Usage[[Ref]:[Ref]],0),MATCH($D$21,Inputs!$I$134:$M$134,0))),0)+
(INDEX(OP_TotalRates_RES_2[[Ausnet]:[United Energy]],MATCH("Off peak",OP_TotalRates_RES_2[[Rate name]:[Rate name]],0),MATCH(OP_CMAB!H$24,OP_TotalRates_RES_2[[#Headers],[Ausnet]:[United Energy]],0))*
INDEX(Input_Usage[[F-PreviousVDO_Input]:[F-CurrentVDO_Input]],MATCH($D27&amp;" - Off peak",Input_Usage[[Ref]:[Ref]],0),MATCH($D$21,Inputs!$I$134:$M$134,0))),0),0,1))</f>
        <v>0</v>
      </c>
      <c r="I31" s="93">
        <f>IF($D$21="VDO 2021 - Final",
IF(I27=
ROUNDUP(
(INDEX(OP_TotalRates_RES_2[[Ausnet]:[United Energy]],MATCH("Anytime - supply",OP_TotalRates_RES_2[[Rate name]:[Rate name]],0),MATCH(OP_CMAB!I$24,OP_TotalRates_RES_2[[#Headers],[Ausnet]:[United Energy]],0))*DiY)+
(IFERROR((INDEX(OP_TotalRates_RES_2[[Ausnet]:[United Energy]],MATCH("Block 1",OP_TotalRates_RES_2[[Rate name]:[Rate name]],0),MATCH(OP_CMAB!I$24,OP_TotalRates_RES_2[[#Headers],[Ausnet]:[United Energy]],0))*
INDEX(Input_Usage[[F-PreviousVDO_Input]:[F-CurrentVDO_Input]],MATCH(OP_CMAB!$D27&amp;" - Block 1",Input_Usage[[Ref]:[Ref]],0),MATCH(OP_CMAB!$D$21,Inputs!$I$134:$M$134,0))),0)+
IFERROR((INDEX(OP_TotalRates_RES_2[[Ausnet]:[United Energy]],MATCH("Balance",OP_TotalRates_RES_2[[Rate name]:[Rate name]],0),MATCH(OP_CMAB!I$24,OP_TotalRates_RES_2[[#Headers],[Ausnet]:[United Energy]],0))*
INDEX(Input_Usage[[F-PreviousVDO_Input]:[F-CurrentVDO_Input]],MATCH(OP_CMAB!$D27&amp;" - Balance",Input_Usage[[Ref]:[Ref]],0),MATCH(OP_CMAB!$D$21,Inputs!$I$134:$M$134,0))),0)+
IFERROR((INDEX(OP_TotalRates_RES_2[[Ausnet]:[United Energy]],MATCH("Single rate",OP_TotalRates_RES_2[[Rate name]:[Rate name]],0),MATCH(OP_CMAB!I$24,OP_TotalRates_RES_2[[#Headers],[Ausnet]:[United Energy]],0))*
INDEX(Input_Usage[[F-PreviousVDO_Input]:[F-CurrentVDO_Input]],MATCH(OP_CMAB!$D27&amp;" - Annual",Input_Usage[[Ref]:[Ref]],0),MATCH(OP_CMAB!$D$21,Inputs!$I$134:$M$134,0))),0)),0),0,1),
IF(I27=
ROUNDUP(
(INDEX(OP_TotalRates_RES_2[[Ausnet]:[United Energy]],MATCH("TOU - supply",OP_TotalRates_RES_2[[Rate name]:[Rate name]],0),MATCH(OP_CMAB!I$24,OP_TotalRates_RES_2[[#Headers],[Ausnet]:[United Energy]],0))*DiY)+
(INDEX(OP_TotalRates_RES_2[[Ausnet]:[United Energy]],MATCH("Peak",OP_TotalRates_RES_2[[Rate name]:[Rate name]],0),MATCH(OP_CMAB!I$24,OP_TotalRates_RES_2[[#Headers],[Ausnet]:[United Energy]],0))*
INDEX(Input_Usage[[F-PreviousVDO_Input]:[F-CurrentVDO_Input]],MATCH($D27&amp;" - Peak",Input_Usage[[Ref]:[Ref]],0),MATCH($D$21,Inputs!$I$134:$M$134,0)))+
IFERROR((INDEX(OP_TotalRates_RES_2[[Ausnet]:[United Energy]],MATCH("TOU - Shoulder",OP_TotalRates_RES_2[[Rate name]:[Rate name]],0),MATCH(OP_CMAB!I$24,OP_TotalRates_RES_2[[#Headers],[Ausnet]:[United Energy]],0))*
INDEX(Input_Usage[[F-PreviousVDO_Input]:[F-CurrentVDO_Input]],MATCH($D27&amp;" - Shoulder",Input_Usage[[Ref]:[Ref]],0),MATCH($D$21,Inputs!$I$134:$M$134,0))),0)+
(INDEX(OP_TotalRates_RES_2[[Ausnet]:[United Energy]],MATCH("Off peak",OP_TotalRates_RES_2[[Rate name]:[Rate name]],0),MATCH(OP_CMAB!I$24,OP_TotalRates_RES_2[[#Headers],[Ausnet]:[United Energy]],0))*
INDEX(Input_Usage[[F-PreviousVDO_Input]:[F-CurrentVDO_Input]],MATCH($D27&amp;" - Off peak",Input_Usage[[Ref]:[Ref]],0),MATCH($D$21,Inputs!$I$134:$M$134,0))),0),0,1))</f>
        <v>0</v>
      </c>
      <c r="M31" s="93">
        <f>IF($D$21="VDO 2021 - Final",
IF(M27=
ROUNDUP(
(INDEX(OP_TotalRates_SME_2[[Ausnet]:[United Energy]],MATCH("Anytime - supply",OP_TotalRates_SME_2[[Rate name]:[Rate name]],0),MATCH(OP_CMAB!M$24,OP_TotalRates_SME_2[[#Headers],[Ausnet]:[United Energy]],0))*DiY)+
(IFERROR((INDEX(OP_TotalRates_SME_2[[Ausnet]:[United Energy]],MATCH("Block 1",OP_TotalRates_SME_2[[Rate name]:[Rate name]],0),MATCH(OP_CMAB!M$24,OP_TotalRates_SME_2[[#Headers],[Ausnet]:[United Energy]],0))*
INDEX(Input_Usage[[F-PreviousVDO_Input]:[F-CurrentVDO_Input]],MATCH(OP_CMAB!$L27&amp;" - Block 1",Input_Usage[[Ref]:[Ref]],0),MATCH(OP_CMAB!$D$21,Inputs!$I$134:$M$134,0))),0)+
IFERROR((INDEX(OP_TotalRates_SME_2[[Ausnet]:[United Energy]],MATCH("Balance",OP_TotalRates_SME_2[[Rate name]:[Rate name]],0),MATCH(OP_CMAB!M$24,OP_TotalRates_SME_2[[#Headers],[Ausnet]:[United Energy]],0))*
INDEX(Input_Usage[[F-PreviousVDO_Input]:[F-CurrentVDO_Input]],MATCH(OP_CMAB!$L27&amp;" - Balance",Input_Usage[[Ref]:[Ref]],0),MATCH(OP_CMAB!$D$21,Inputs!$I$134:$M$134,0))),0)+
IFERROR((INDEX(OP_TotalRates_SME_2[[Ausnet]:[United Energy]],MATCH("Single rate",OP_TotalRates_SME_2[[Rate name]:[Rate name]],0),MATCH(OP_CMAB!M$24,OP_TotalRates_SME_2[[#Headers],[Ausnet]:[United Energy]],0))*
INDEX(Input_Usage[[F-PreviousVDO_Input]:[F-CurrentVDO_Input]],MATCH(OP_CMAB!$L27&amp;" - Annual",Input_Usage[[Ref]:[Ref]],0),MATCH(OP_CMAB!$D$21,Inputs!$I$134:$M$134,0))),0)),0),0,1),
IF(M27=
ROUNDUP(
(INDEX(OP_TotalRates_SME_2[[Ausnet]:[United Energy]],MATCH("TOU - supply",OP_TotalRates_SME_2[[Rate name]:[Rate name]],0),MATCH(OP_CMAB!M$24,OP_TotalRates_SME_2[[#Headers],[Ausnet]:[United Energy]],0))*DiY)+
(INDEX(OP_TotalRates_SME_2[[Ausnet]:[United Energy]],MATCH("Peak",OP_TotalRates_SME_2[[Rate name]:[Rate name]],0),MATCH(OP_CMAB!M$24,OP_TotalRates_SME_2[[#Headers],[Ausnet]:[United Energy]],0))*
INDEX(Input_Usage[[F-PreviousVDO_Input]:[F-CurrentVDO_Input]],MATCH($L27&amp;" - Peak",Input_Usage[[Ref]:[Ref]],0),MATCH($D$21,Inputs!$I$134:$M$134,0)))+
IFERROR((INDEX(OP_TotalRates_SME_2[[Ausnet]:[United Energy]],MATCH("TOU - Shoulder",OP_TotalRates_SME_2[[Rate name]:[Rate name]],0),MATCH(OP_CMAB!M$24,OP_TotalRates_SME_2[[#Headers],[Ausnet]:[United Energy]],0))*
INDEX(Input_Usage[[F-PreviousVDO_Input]:[F-CurrentVDO_Input]],MATCH($L27&amp;" - Shoulder",Input_Usage[[Ref]:[Ref]],0),MATCH($D$21,Inputs!$I$134:$M$134,0))),0)+
(INDEX(OP_TotalRates_SME_2[[Ausnet]:[United Energy]],MATCH("Off peak",OP_TotalRates_SME_2[[Rate name]:[Rate name]],0),MATCH(OP_CMAB!M$24,OP_TotalRates_SME_2[[#Headers],[Ausnet]:[United Energy]],0))*
INDEX(Input_Usage[[F-PreviousVDO_Input]:[F-CurrentVDO_Input]],MATCH($L27&amp;" - Off peak",Input_Usage[[Ref]:[Ref]],0),MATCH($D$21,Inputs!$I$134:$M$134,0))),0),0,1))</f>
        <v>0</v>
      </c>
      <c r="N31" s="93">
        <f>IF($D$21="VDO 2021 - Final",
IF(N27=
ROUNDUP(
(INDEX(OP_TotalRates_SME_2[[Ausnet]:[United Energy]],MATCH("Anytime - supply",OP_TotalRates_SME_2[[Rate name]:[Rate name]],0),MATCH(OP_CMAB!N$24,OP_TotalRates_SME_2[[#Headers],[Ausnet]:[United Energy]],0))*DiY)+
(IFERROR((INDEX(OP_TotalRates_SME_2[[Ausnet]:[United Energy]],MATCH("Block 1",OP_TotalRates_SME_2[[Rate name]:[Rate name]],0),MATCH(OP_CMAB!N$24,OP_TotalRates_SME_2[[#Headers],[Ausnet]:[United Energy]],0))*
INDEX(Input_Usage[[F-PreviousVDO_Input]:[F-CurrentVDO_Input]],MATCH(OP_CMAB!$L27&amp;" - Block 1",Input_Usage[[Ref]:[Ref]],0),MATCH(OP_CMAB!$D$21,Inputs!$I$134:$M$134,0))),0)+
IFERROR((INDEX(OP_TotalRates_SME_2[[Ausnet]:[United Energy]],MATCH("Balance",OP_TotalRates_SME_2[[Rate name]:[Rate name]],0),MATCH(OP_CMAB!N$24,OP_TotalRates_SME_2[[#Headers],[Ausnet]:[United Energy]],0))*
INDEX(Input_Usage[[F-PreviousVDO_Input]:[F-CurrentVDO_Input]],MATCH(OP_CMAB!$L27&amp;" - Balance",Input_Usage[[Ref]:[Ref]],0),MATCH(OP_CMAB!$D$21,Inputs!$I$134:$M$134,0))),0)+
IFERROR((INDEX(OP_TotalRates_SME_2[[Ausnet]:[United Energy]],MATCH("Single rate",OP_TotalRates_SME_2[[Rate name]:[Rate name]],0),MATCH(OP_CMAB!N$24,OP_TotalRates_SME_2[[#Headers],[Ausnet]:[United Energy]],0))*
INDEX(Input_Usage[[F-PreviousVDO_Input]:[F-CurrentVDO_Input]],MATCH(OP_CMAB!$L27&amp;" - Annual",Input_Usage[[Ref]:[Ref]],0),MATCH(OP_CMAB!$D$21,Inputs!$I$134:$M$134,0))),0)),0),0,1),
IF(N27=
ROUNDUP(
(INDEX(OP_TotalRates_SME_2[[Ausnet]:[United Energy]],MATCH("TOU - supply",OP_TotalRates_SME_2[[Rate name]:[Rate name]],0),MATCH(OP_CMAB!N$24,OP_TotalRates_SME_2[[#Headers],[Ausnet]:[United Energy]],0))*DiY)+
(INDEX(OP_TotalRates_SME_2[[Ausnet]:[United Energy]],MATCH("Peak",OP_TotalRates_SME_2[[Rate name]:[Rate name]],0),MATCH(OP_CMAB!N$24,OP_TotalRates_SME_2[[#Headers],[Ausnet]:[United Energy]],0))*
INDEX(Input_Usage[[F-PreviousVDO_Input]:[F-CurrentVDO_Input]],MATCH($L27&amp;" - Peak",Input_Usage[[Ref]:[Ref]],0),MATCH($D$21,Inputs!$I$134:$M$134,0)))+
IFERROR((INDEX(OP_TotalRates_SME_2[[Ausnet]:[United Energy]],MATCH("TOU - Shoulder",OP_TotalRates_SME_2[[Rate name]:[Rate name]],0),MATCH(OP_CMAB!N$24,OP_TotalRates_SME_2[[#Headers],[Ausnet]:[United Energy]],0))*
INDEX(Input_Usage[[F-PreviousVDO_Input]:[F-CurrentVDO_Input]],MATCH($L27&amp;" - Shoulder",Input_Usage[[Ref]:[Ref]],0),MATCH($D$21,Inputs!$I$134:$M$134,0))),0)+
(INDEX(OP_TotalRates_SME_2[[Ausnet]:[United Energy]],MATCH("Off peak",OP_TotalRates_SME_2[[Rate name]:[Rate name]],0),MATCH(OP_CMAB!N$24,OP_TotalRates_SME_2[[#Headers],[Ausnet]:[United Energy]],0))*
INDEX(Input_Usage[[F-PreviousVDO_Input]:[F-CurrentVDO_Input]],MATCH($L27&amp;" - Off peak",Input_Usage[[Ref]:[Ref]],0),MATCH($D$21,Inputs!$I$134:$M$134,0))),0),0,1))</f>
        <v>0</v>
      </c>
      <c r="O31" s="93">
        <f>IF($D$21="VDO 2021 - Final",
IF(O27=
ROUNDUP(
(INDEX(OP_TotalRates_SME_2[[Ausnet]:[United Energy]],MATCH("Anytime - supply",OP_TotalRates_SME_2[[Rate name]:[Rate name]],0),MATCH(OP_CMAB!O$24,OP_TotalRates_SME_2[[#Headers],[Ausnet]:[United Energy]],0))*DiY)+
(IFERROR((INDEX(OP_TotalRates_SME_2[[Ausnet]:[United Energy]],MATCH("Block 1",OP_TotalRates_SME_2[[Rate name]:[Rate name]],0),MATCH(OP_CMAB!O$24,OP_TotalRates_SME_2[[#Headers],[Ausnet]:[United Energy]],0))*
INDEX(Input_Usage[[F-PreviousVDO_Input]:[F-CurrentVDO_Input]],MATCH(OP_CMAB!$L27&amp;" - Block 1",Input_Usage[[Ref]:[Ref]],0),MATCH(OP_CMAB!$D$21,Inputs!$I$134:$M$134,0))),0)+
IFERROR((INDEX(OP_TotalRates_SME_2[[Ausnet]:[United Energy]],MATCH("Balance",OP_TotalRates_SME_2[[Rate name]:[Rate name]],0),MATCH(OP_CMAB!O$24,OP_TotalRates_SME_2[[#Headers],[Ausnet]:[United Energy]],0))*
INDEX(Input_Usage[[F-PreviousVDO_Input]:[F-CurrentVDO_Input]],MATCH(OP_CMAB!$L27&amp;" - Balance",Input_Usage[[Ref]:[Ref]],0),MATCH(OP_CMAB!$D$21,Inputs!$I$134:$M$134,0))),0)+
IFERROR((INDEX(OP_TotalRates_SME_2[[Ausnet]:[United Energy]],MATCH("Single rate",OP_TotalRates_SME_2[[Rate name]:[Rate name]],0),MATCH(OP_CMAB!O$24,OP_TotalRates_SME_2[[#Headers],[Ausnet]:[United Energy]],0))*
INDEX(Input_Usage[[F-PreviousVDO_Input]:[F-CurrentVDO_Input]],MATCH(OP_CMAB!$L27&amp;" - Annual",Input_Usage[[Ref]:[Ref]],0),MATCH(OP_CMAB!$D$21,Inputs!$I$134:$M$134,0))),0)),0),0,1),
IF(O27=
ROUNDUP(
(INDEX(OP_TotalRates_SME_2[[Ausnet]:[United Energy]],MATCH("TOU - supply",OP_TotalRates_SME_2[[Rate name]:[Rate name]],0),MATCH(OP_CMAB!O$24,OP_TotalRates_SME_2[[#Headers],[Ausnet]:[United Energy]],0))*DiY)+
(INDEX(OP_TotalRates_SME_2[[Ausnet]:[United Energy]],MATCH("Peak",OP_TotalRates_SME_2[[Rate name]:[Rate name]],0),MATCH(OP_CMAB!O$24,OP_TotalRates_SME_2[[#Headers],[Ausnet]:[United Energy]],0))*
INDEX(Input_Usage[[F-PreviousVDO_Input]:[F-CurrentVDO_Input]],MATCH($L27&amp;" - Peak",Input_Usage[[Ref]:[Ref]],0),MATCH($D$21,Inputs!$I$134:$M$134,0)))+
IFERROR((INDEX(OP_TotalRates_SME_2[[Ausnet]:[United Energy]],MATCH("TOU - Shoulder",OP_TotalRates_SME_2[[Rate name]:[Rate name]],0),MATCH(OP_CMAB!O$24,OP_TotalRates_SME_2[[#Headers],[Ausnet]:[United Energy]],0))*
INDEX(Input_Usage[[F-PreviousVDO_Input]:[F-CurrentVDO_Input]],MATCH($L27&amp;" - Shoulder",Input_Usage[[Ref]:[Ref]],0),MATCH($D$21,Inputs!$I$134:$M$134,0))),0)+
(INDEX(OP_TotalRates_SME_2[[Ausnet]:[United Energy]],MATCH("Off peak",OP_TotalRates_SME_2[[Rate name]:[Rate name]],0),MATCH(OP_CMAB!O$24,OP_TotalRates_SME_2[[#Headers],[Ausnet]:[United Energy]],0))*
INDEX(Input_Usage[[F-PreviousVDO_Input]:[F-CurrentVDO_Input]],MATCH($L27&amp;" - Off peak",Input_Usage[[Ref]:[Ref]],0),MATCH($D$21,Inputs!$I$134:$M$134,0))),0),0,1))</f>
        <v>0</v>
      </c>
      <c r="P31" s="93">
        <f>IF($D$21="VDO 2021 - Final",
IF(P27=
ROUNDUP(
(INDEX(OP_TotalRates_SME_2[[Ausnet]:[United Energy]],MATCH("Anytime - supply",OP_TotalRates_SME_2[[Rate name]:[Rate name]],0),MATCH(OP_CMAB!P$24,OP_TotalRates_SME_2[[#Headers],[Ausnet]:[United Energy]],0))*DiY)+
(IFERROR((INDEX(OP_TotalRates_SME_2[[Ausnet]:[United Energy]],MATCH("Block 1",OP_TotalRates_SME_2[[Rate name]:[Rate name]],0),MATCH(OP_CMAB!P$24,OP_TotalRates_SME_2[[#Headers],[Ausnet]:[United Energy]],0))*
INDEX(Input_Usage[[F-PreviousVDO_Input]:[F-CurrentVDO_Input]],MATCH(OP_CMAB!$L27&amp;" - Block 1",Input_Usage[[Ref]:[Ref]],0),MATCH(OP_CMAB!$D$21,Inputs!$I$134:$M$134,0))),0)+
IFERROR((INDEX(OP_TotalRates_SME_2[[Ausnet]:[United Energy]],MATCH("Balance",OP_TotalRates_SME_2[[Rate name]:[Rate name]],0),MATCH(OP_CMAB!P$24,OP_TotalRates_SME_2[[#Headers],[Ausnet]:[United Energy]],0))*
INDEX(Input_Usage[[F-PreviousVDO_Input]:[F-CurrentVDO_Input]],MATCH(OP_CMAB!$L27&amp;" - Balance",Input_Usage[[Ref]:[Ref]],0),MATCH(OP_CMAB!$D$21,Inputs!$I$134:$M$134,0))),0)+
IFERROR((INDEX(OP_TotalRates_SME_2[[Ausnet]:[United Energy]],MATCH("Single rate",OP_TotalRates_SME_2[[Rate name]:[Rate name]],0),MATCH(OP_CMAB!P$24,OP_TotalRates_SME_2[[#Headers],[Ausnet]:[United Energy]],0))*
INDEX(Input_Usage[[F-PreviousVDO_Input]:[F-CurrentVDO_Input]],MATCH(OP_CMAB!$L27&amp;" - Annual",Input_Usage[[Ref]:[Ref]],0),MATCH(OP_CMAB!$D$21,Inputs!$I$134:$M$134,0))),0)),0),0,1),
IF(P27=
ROUNDUP(
(INDEX(OP_TotalRates_SME_2[[Ausnet]:[United Energy]],MATCH("TOU - supply",OP_TotalRates_SME_2[[Rate name]:[Rate name]],0),MATCH(OP_CMAB!P$24,OP_TotalRates_SME_2[[#Headers],[Ausnet]:[United Energy]],0))*DiY)+
(INDEX(OP_TotalRates_SME_2[[Ausnet]:[United Energy]],MATCH("Peak",OP_TotalRates_SME_2[[Rate name]:[Rate name]],0),MATCH(OP_CMAB!P$24,OP_TotalRates_SME_2[[#Headers],[Ausnet]:[United Energy]],0))*
INDEX(Input_Usage[[F-PreviousVDO_Input]:[F-CurrentVDO_Input]],MATCH($L27&amp;" - Peak",Input_Usage[[Ref]:[Ref]],0),MATCH($D$21,Inputs!$I$134:$M$134,0)))+
IFERROR((INDEX(OP_TotalRates_SME_2[[Ausnet]:[United Energy]],MATCH("TOU - Shoulder",OP_TotalRates_SME_2[[Rate name]:[Rate name]],0),MATCH(OP_CMAB!P$24,OP_TotalRates_SME_2[[#Headers],[Ausnet]:[United Energy]],0))*
INDEX(Input_Usage[[F-PreviousVDO_Input]:[F-CurrentVDO_Input]],MATCH($L27&amp;" - Shoulder",Input_Usage[[Ref]:[Ref]],0),MATCH($D$21,Inputs!$I$134:$M$134,0))),0)+
(INDEX(OP_TotalRates_SME_2[[Ausnet]:[United Energy]],MATCH("Off peak",OP_TotalRates_SME_2[[Rate name]:[Rate name]],0),MATCH(OP_CMAB!P$24,OP_TotalRates_SME_2[[#Headers],[Ausnet]:[United Energy]],0))*
INDEX(Input_Usage[[F-PreviousVDO_Input]:[F-CurrentVDO_Input]],MATCH($L27&amp;" - Off peak",Input_Usage[[Ref]:[Ref]],0),MATCH($D$21,Inputs!$I$134:$M$134,0))),0),0,1))</f>
        <v>0</v>
      </c>
      <c r="Q31" s="93">
        <f>IF($D$21="VDO 2021 - Final",
IF(Q27=
ROUNDUP(
(INDEX(OP_TotalRates_SME_2[[Ausnet]:[United Energy]],MATCH("Anytime - supply",OP_TotalRates_SME_2[[Rate name]:[Rate name]],0),MATCH(OP_CMAB!Q$24,OP_TotalRates_SME_2[[#Headers],[Ausnet]:[United Energy]],0))*DiY)+
(IFERROR((INDEX(OP_TotalRates_SME_2[[Ausnet]:[United Energy]],MATCH("Block 1",OP_TotalRates_SME_2[[Rate name]:[Rate name]],0),MATCH(OP_CMAB!Q$24,OP_TotalRates_SME_2[[#Headers],[Ausnet]:[United Energy]],0))*
INDEX(Input_Usage[[F-PreviousVDO_Input]:[F-CurrentVDO_Input]],MATCH(OP_CMAB!$L27&amp;" - Block 1",Input_Usage[[Ref]:[Ref]],0),MATCH(OP_CMAB!$D$21,Inputs!$I$134:$M$134,0))),0)+
IFERROR((INDEX(OP_TotalRates_SME_2[[Ausnet]:[United Energy]],MATCH("Balance",OP_TotalRates_SME_2[[Rate name]:[Rate name]],0),MATCH(OP_CMAB!Q$24,OP_TotalRates_SME_2[[#Headers],[Ausnet]:[United Energy]],0))*
INDEX(Input_Usage[[F-PreviousVDO_Input]:[F-CurrentVDO_Input]],MATCH(OP_CMAB!$L27&amp;" - Balance",Input_Usage[[Ref]:[Ref]],0),MATCH(OP_CMAB!$D$21,Inputs!$I$134:$M$134,0))),0)+
IFERROR((INDEX(OP_TotalRates_SME_2[[Ausnet]:[United Energy]],MATCH("Single rate",OP_TotalRates_SME_2[[Rate name]:[Rate name]],0),MATCH(OP_CMAB!Q$24,OP_TotalRates_SME_2[[#Headers],[Ausnet]:[United Energy]],0))*
INDEX(Input_Usage[[F-PreviousVDO_Input]:[F-CurrentVDO_Input]],MATCH(OP_CMAB!$L27&amp;" - Annual",Input_Usage[[Ref]:[Ref]],0),MATCH(OP_CMAB!$D$21,Inputs!$I$134:$M$134,0))),0)),0),0,1),
IF(Q27=
ROUNDUP(
(INDEX(OP_TotalRates_SME_2[[Ausnet]:[United Energy]],MATCH("TOU - supply",OP_TotalRates_SME_2[[Rate name]:[Rate name]],0),MATCH(OP_CMAB!Q$24,OP_TotalRates_SME_2[[#Headers],[Ausnet]:[United Energy]],0))*DiY)+
(INDEX(OP_TotalRates_SME_2[[Ausnet]:[United Energy]],MATCH("Peak",OP_TotalRates_SME_2[[Rate name]:[Rate name]],0),MATCH(OP_CMAB!Q$24,OP_TotalRates_SME_2[[#Headers],[Ausnet]:[United Energy]],0))*
INDEX(Input_Usage[[F-PreviousVDO_Input]:[F-CurrentVDO_Input]],MATCH($L27&amp;" - Peak",Input_Usage[[Ref]:[Ref]],0),MATCH($D$21,Inputs!$I$134:$M$134,0)))+
IFERROR((INDEX(OP_TotalRates_SME_2[[Ausnet]:[United Energy]],MATCH("TOU - Shoulder",OP_TotalRates_SME_2[[Rate name]:[Rate name]],0),MATCH(OP_CMAB!Q$24,OP_TotalRates_SME_2[[#Headers],[Ausnet]:[United Energy]],0))*
INDEX(Input_Usage[[F-PreviousVDO_Input]:[F-CurrentVDO_Input]],MATCH($L27&amp;" - Shoulder",Input_Usage[[Ref]:[Ref]],0),MATCH($D$21,Inputs!$I$134:$M$134,0))),0)+
(INDEX(OP_TotalRates_SME_2[[Ausnet]:[United Energy]],MATCH("Off peak",OP_TotalRates_SME_2[[Rate name]:[Rate name]],0),MATCH(OP_CMAB!Q$24,OP_TotalRates_SME_2[[#Headers],[Ausnet]:[United Energy]],0))*
INDEX(Input_Usage[[F-PreviousVDO_Input]:[F-CurrentVDO_Input]],MATCH($L27&amp;" - Off peak",Input_Usage[[Ref]:[Ref]],0),MATCH($D$21,Inputs!$I$134:$M$134,0))),0),0,1))</f>
        <v>0</v>
      </c>
    </row>
    <row r="33" spans="1:18" ht="16.5" thickBot="1" x14ac:dyDescent="0.3">
      <c r="A33" s="1" t="s">
        <v>23</v>
      </c>
      <c r="B33" s="9">
        <f ca="1">MAX(B$3:B32)+0.1</f>
        <v>11.299999999999999</v>
      </c>
      <c r="C33" s="28" t="s">
        <v>383</v>
      </c>
      <c r="D33" s="28"/>
      <c r="E33" s="28"/>
      <c r="F33" s="28"/>
      <c r="G33" s="28"/>
      <c r="H33" s="28"/>
      <c r="I33" s="28"/>
      <c r="J33" s="28"/>
      <c r="K33" s="28"/>
      <c r="L33" s="28"/>
      <c r="M33" s="28"/>
      <c r="N33" s="28"/>
      <c r="O33" s="28"/>
      <c r="P33" s="28"/>
      <c r="Q33" s="28"/>
      <c r="R33" s="28"/>
    </row>
    <row r="35" spans="1:18" ht="15.75" x14ac:dyDescent="0.25">
      <c r="C35" s="42" t="s">
        <v>91</v>
      </c>
      <c r="D35" s="42" t="s">
        <v>90</v>
      </c>
      <c r="E35" s="50" t="s">
        <v>268</v>
      </c>
      <c r="F35" s="50" t="s">
        <v>269</v>
      </c>
      <c r="G35" s="50" t="s">
        <v>270</v>
      </c>
      <c r="H35" s="50" t="s">
        <v>271</v>
      </c>
      <c r="I35" s="50" t="s">
        <v>272</v>
      </c>
      <c r="K35" s="42" t="s">
        <v>91</v>
      </c>
      <c r="L35" s="42" t="s">
        <v>90</v>
      </c>
      <c r="M35" s="50" t="s">
        <v>268</v>
      </c>
      <c r="N35" s="50" t="s">
        <v>269</v>
      </c>
      <c r="O35" s="50" t="s">
        <v>270</v>
      </c>
      <c r="P35" s="50" t="s">
        <v>271</v>
      </c>
      <c r="Q35" s="50" t="s">
        <v>272</v>
      </c>
    </row>
    <row r="36" spans="1:18" x14ac:dyDescent="0.25">
      <c r="C36" s="23" t="str" cm="1">
        <f t="array" ref="C36:C38">INDEX($C$25:$D$27,0,1)</f>
        <v>Residential</v>
      </c>
      <c r="D36" s="23" t="str" cm="1">
        <f t="array" ref="D36:D38">INDEX($C$25:$D$27,0,2)</f>
        <v>Residential - small</v>
      </c>
      <c r="E36" s="114">
        <f>IFERROR((E11-E25)/E25,"-")</f>
        <v>3.825136612021858E-2</v>
      </c>
      <c r="F36" s="114">
        <f t="shared" ref="F36:I36" si="0">IFERROR((F11-F25)/F25,"-")</f>
        <v>-2.5345622119815669E-2</v>
      </c>
      <c r="G36" s="114">
        <f t="shared" si="0"/>
        <v>1.9801980198019802E-2</v>
      </c>
      <c r="H36" s="114">
        <f t="shared" si="0"/>
        <v>-1.0787486515641856E-2</v>
      </c>
      <c r="I36" s="380">
        <f t="shared" si="0"/>
        <v>-4.8134777376654635E-3</v>
      </c>
      <c r="K36" s="59" t="str" cm="1">
        <f t="array" ref="K36:K38">INDEX($K$25:$L$27,0,1)</f>
        <v>Small business</v>
      </c>
      <c r="L36" s="59" t="str" cm="1">
        <f t="array" ref="L36:L38">INDEX($K$25:$L$27,0,2)</f>
        <v>Small business - small</v>
      </c>
      <c r="M36" s="380">
        <f t="shared" ref="M36:Q36" si="1">IFERROR((M11-M25)/M25,"-")</f>
        <v>4.1947336191059399E-2</v>
      </c>
      <c r="N36" s="380">
        <f t="shared" si="1"/>
        <v>3.6484245439469321E-3</v>
      </c>
      <c r="O36" s="380">
        <f t="shared" si="1"/>
        <v>-5.2926525529265259E-3</v>
      </c>
      <c r="P36" s="380">
        <f t="shared" si="1"/>
        <v>1.2598425196850393E-3</v>
      </c>
      <c r="Q36" s="380">
        <f t="shared" si="1"/>
        <v>2.6385224274406332E-3</v>
      </c>
    </row>
    <row r="37" spans="1:18" x14ac:dyDescent="0.25">
      <c r="C37" s="23" t="str">
        <v>Residential</v>
      </c>
      <c r="D37" s="23" t="str">
        <v>Residential - medium</v>
      </c>
      <c r="E37" s="114">
        <f t="shared" ref="E37:I37" si="2">IFERROR((E12-E26)/E26,"-")</f>
        <v>3.0583214793741108E-2</v>
      </c>
      <c r="F37" s="114">
        <f t="shared" si="2"/>
        <v>-1.4626635873749037E-2</v>
      </c>
      <c r="G37" s="114">
        <f t="shared" si="2"/>
        <v>1.7045454545454544E-2</v>
      </c>
      <c r="H37" s="114">
        <f t="shared" si="2"/>
        <v>-1.4619883040935672E-3</v>
      </c>
      <c r="I37" s="380">
        <f t="shared" si="2"/>
        <v>-2.3510971786833857E-3</v>
      </c>
      <c r="K37" s="59" t="str">
        <v>Small business</v>
      </c>
      <c r="L37" s="59" t="str">
        <v>Small business - medium</v>
      </c>
      <c r="M37" s="380">
        <f t="shared" ref="M37:Q37" si="3">IFERROR((M12-M26)/M26,"-")</f>
        <v>2.6758409785932722E-2</v>
      </c>
      <c r="N37" s="380">
        <f t="shared" si="3"/>
        <v>4.0477204942479762E-3</v>
      </c>
      <c r="O37" s="380">
        <f t="shared" si="3"/>
        <v>-3.8345105953582238E-3</v>
      </c>
      <c r="P37" s="380">
        <f t="shared" si="3"/>
        <v>2.224469160768453E-3</v>
      </c>
      <c r="Q37" s="380">
        <f t="shared" si="3"/>
        <v>4.1841004184100416E-4</v>
      </c>
    </row>
    <row r="38" spans="1:18" x14ac:dyDescent="0.25">
      <c r="C38" s="23" t="str">
        <v>Residential</v>
      </c>
      <c r="D38" s="23" t="str">
        <v>Residential - large</v>
      </c>
      <c r="E38" s="114">
        <f t="shared" ref="E38:I38" si="4">IFERROR((E13-E27)/E27,"-")</f>
        <v>2.5544388609715241E-2</v>
      </c>
      <c r="F38" s="114">
        <f t="shared" si="4"/>
        <v>-7.4005550416281225E-3</v>
      </c>
      <c r="G38" s="114">
        <f t="shared" si="4"/>
        <v>1.3942307692307693E-2</v>
      </c>
      <c r="H38" s="114">
        <f t="shared" si="4"/>
        <v>6.6696309470875943E-3</v>
      </c>
      <c r="I38" s="380">
        <f t="shared" si="4"/>
        <v>0</v>
      </c>
      <c r="K38" s="59" t="str">
        <v>Small business</v>
      </c>
      <c r="L38" s="59" t="str">
        <v>Small business - large</v>
      </c>
      <c r="M38" s="380">
        <f t="shared" ref="M38:Q38" si="5">IFERROR((M13-M27)/M27,"-")</f>
        <v>1.4387071344107213E-2</v>
      </c>
      <c r="N38" s="380">
        <f t="shared" si="5"/>
        <v>4.3859649122807015E-3</v>
      </c>
      <c r="O38" s="380">
        <f t="shared" si="5"/>
        <v>-2.1482277121374865E-3</v>
      </c>
      <c r="P38" s="380">
        <f t="shared" si="5"/>
        <v>3.0956447480785655E-3</v>
      </c>
      <c r="Q38" s="380">
        <f t="shared" si="5"/>
        <v>-1.3116187561482129E-3</v>
      </c>
    </row>
    <row r="44" spans="1:18" x14ac:dyDescent="0.25">
      <c r="H44" s="87"/>
    </row>
  </sheetData>
  <sheetProtection algorithmName="SHA-512" hashValue="gCm7o1dKvTtLzh3mAG4ID8oFlW1eY8IUC2UBuZxSFbKYSMbGc9reCMfClhZXVJOLnysFJiNpVqpK4Cu68lGk9Q==" saltValue="HOWVLfROrDBX+4SQi3OEXw==" spinCount="100000" sheet="1" objects="1" scenarios="1"/>
  <mergeCells count="1">
    <mergeCell ref="A2:A3"/>
  </mergeCells>
  <pageMargins left="0.7" right="0.7" top="0.75" bottom="0.75" header="0.3" footer="0.3"/>
  <ignoredErrors>
    <ignoredError sqref="E11:Q27" calculatedColumn="1"/>
  </ignoredErrors>
  <tableParts count="4">
    <tablePart r:id="rId1"/>
    <tablePart r:id="rId2"/>
    <tablePart r:id="rId3"/>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r:uid="{B7840FAA-381E-4BFC-8632-0963076DE389}">
          <x14:formula1>
            <xm:f>'Lookup refs'!$G$8:$G$10</xm:f>
          </x14:formula1>
          <xm:sqref>K11:K13 C11:C13 K25:K27 C25:C32</xm:sqref>
        </x14:dataValidation>
        <x14:dataValidation type="list" allowBlank="1" showInputMessage="1" showErrorMessage="1" xr:uid="{63AEA5C8-119D-41ED-8ABB-2707A0C4A19F}">
          <x14:formula1>
            <xm:f>'Lookup refs'!$I$8:$I$13</xm:f>
          </x14:formula1>
          <xm:sqref>D11:D13 L11:L13 L25:L27 D25:D32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EA185-BE6B-4916-A39F-BB308B95FEDF}">
  <sheetPr codeName="Sheet19">
    <tabColor rgb="FF236192"/>
    <outlinePr summaryBelow="0"/>
  </sheetPr>
  <dimension ref="A1:S510"/>
  <sheetViews>
    <sheetView showGridLines="0" topLeftCell="B1" zoomScale="85" zoomScaleNormal="85" workbookViewId="0">
      <pane ySplit="3" topLeftCell="A4" activePane="bottomLeft" state="frozen"/>
      <selection pane="bottomLeft" activeCell="C4" sqref="C4"/>
    </sheetView>
  </sheetViews>
  <sheetFormatPr defaultColWidth="9.42578125" defaultRowHeight="15" outlineLevelRow="2" outlineLevelCol="1" x14ac:dyDescent="0.25"/>
  <cols>
    <col min="1" max="1" width="100.5703125" hidden="1" customWidth="1" outlineLevel="1" collapsed="1"/>
    <col min="2" max="2" width="10.5703125" style="6" customWidth="1" collapsed="1"/>
    <col min="3" max="3" width="50.5703125" customWidth="1"/>
    <col min="4" max="10" width="20.5703125" customWidth="1"/>
    <col min="11" max="11" width="13.5703125" customWidth="1"/>
  </cols>
  <sheetData>
    <row r="1" spans="1:11" ht="15" customHeight="1" x14ac:dyDescent="0.25">
      <c r="A1" s="1" t="s">
        <v>20</v>
      </c>
      <c r="B1" s="21"/>
      <c r="C1" s="22"/>
      <c r="D1" s="123" t="s">
        <v>264</v>
      </c>
      <c r="E1" s="96"/>
      <c r="F1" s="22"/>
      <c r="G1" s="22"/>
      <c r="H1" s="22"/>
      <c r="I1" s="22"/>
      <c r="J1" s="22"/>
      <c r="K1" s="22"/>
    </row>
    <row r="2" spans="1:11" s="4" customFormat="1" ht="50.1" customHeight="1" x14ac:dyDescent="0.25">
      <c r="A2" s="382" t="s">
        <v>21</v>
      </c>
      <c r="B2" s="25"/>
      <c r="C2" s="25" t="str">
        <f>Disclaimer!$B$1</f>
        <v>VDO calculation model</v>
      </c>
      <c r="D2" s="240" t="str">
        <f>$D$5</f>
        <v>VDO 2022-23 - Draft</v>
      </c>
      <c r="E2" s="240" t="str">
        <f>$D$254</f>
        <v>VDO 2022 - Final</v>
      </c>
      <c r="F2" s="25"/>
      <c r="G2" s="25"/>
      <c r="H2" s="25"/>
      <c r="I2" s="25"/>
      <c r="J2" s="25"/>
      <c r="K2" s="25"/>
    </row>
    <row r="3" spans="1:11" s="4" customFormat="1" ht="30" customHeight="1" x14ac:dyDescent="0.25">
      <c r="A3" s="383"/>
      <c r="B3" s="27">
        <f ca="1">_xlfn.SHEET()</f>
        <v>12</v>
      </c>
      <c r="C3" s="26" t="s">
        <v>265</v>
      </c>
      <c r="D3" s="95">
        <f>SUM($G$23:$K$23,$G$48:$K$48,$G$66:$K$66,$G$73:$K$73,$G$80:$K$80,$G$88:$K$88,$G$102:$K$102,$G$111:$K$111,$G$118:$K$118,$G$125:$K$125,$G$133:$K$133,$G$140:$K$140,$G$95:$K$95)</f>
        <v>0</v>
      </c>
      <c r="E3" s="95">
        <f>SUM($G$272:$K$272,$G$297:$K$297,$G$315:$K$315,$G$322:$K$322,$G$329:$K$329,$G$337:$K$337,$G$344:$K$344,$G$351:$K$351,$G$360:$K$360,$G$367:$K$367,$G$374:$K$374,$G$382:$K$382,$G$389:$K$389)</f>
        <v>0</v>
      </c>
      <c r="F3" s="26"/>
      <c r="G3" s="26"/>
      <c r="H3" s="26"/>
      <c r="I3" s="26"/>
      <c r="J3" s="26"/>
      <c r="K3" s="26"/>
    </row>
    <row r="4" spans="1:11" x14ac:dyDescent="0.25">
      <c r="B4"/>
    </row>
    <row r="5" spans="1:11" ht="15.75" x14ac:dyDescent="0.25">
      <c r="B5"/>
      <c r="C5" s="54" t="s">
        <v>101</v>
      </c>
      <c r="D5" s="97" t="s">
        <v>822</v>
      </c>
    </row>
    <row r="6" spans="1:11" x14ac:dyDescent="0.25">
      <c r="B6"/>
    </row>
    <row r="7" spans="1:11" ht="16.5" thickBot="1" x14ac:dyDescent="0.3">
      <c r="A7" s="1" t="s">
        <v>23</v>
      </c>
      <c r="B7" s="9">
        <f ca="1">MAX(B$3:B6)+0.1</f>
        <v>12.1</v>
      </c>
      <c r="C7" s="28" t="s">
        <v>266</v>
      </c>
      <c r="D7" s="28"/>
      <c r="E7" s="28"/>
      <c r="F7" s="28"/>
      <c r="G7" s="28"/>
      <c r="H7" s="28"/>
      <c r="I7" s="28"/>
      <c r="J7" s="28"/>
      <c r="K7" s="28"/>
    </row>
    <row r="8" spans="1:11" x14ac:dyDescent="0.25">
      <c r="B8"/>
      <c r="I8" s="87"/>
    </row>
    <row r="9" spans="1:11" ht="15.75" x14ac:dyDescent="0.25">
      <c r="B9"/>
      <c r="C9" s="43" t="s">
        <v>267</v>
      </c>
      <c r="D9" s="43" t="s">
        <v>102</v>
      </c>
      <c r="E9" s="43" t="s">
        <v>103</v>
      </c>
      <c r="F9" s="43" t="s">
        <v>91</v>
      </c>
      <c r="G9" s="60" t="s">
        <v>268</v>
      </c>
      <c r="H9" s="60" t="s">
        <v>269</v>
      </c>
      <c r="I9" s="60" t="s">
        <v>270</v>
      </c>
      <c r="J9" s="60" t="s">
        <v>271</v>
      </c>
      <c r="K9" s="60" t="s">
        <v>272</v>
      </c>
    </row>
    <row r="10" spans="1:11" x14ac:dyDescent="0.25">
      <c r="B10"/>
      <c r="C10" s="23" t="s">
        <v>106</v>
      </c>
      <c r="D10" s="23" t="s">
        <v>108</v>
      </c>
      <c r="E10" s="23" t="s">
        <v>109</v>
      </c>
      <c r="F10" s="23" t="s">
        <v>110</v>
      </c>
      <c r="G10" s="73">
        <f>SUMIFS(Calc_Retail_1[Ausnet],Calc_Retail_1[[Fixed/Variable]:[Fixed/Variable]],$D10,Calc_Retail_1[[Customer type]:[Customer type]],$F10)</f>
        <v>183.65511994063746</v>
      </c>
      <c r="H10" s="73">
        <f>SUMIFS(Calc_Retail_1[Citipower],Calc_Retail_1[[Fixed/Variable]:[Fixed/Variable]],$D10,Calc_Retail_1[[Customer type]:[Customer type]],$F10)</f>
        <v>183.65511994063746</v>
      </c>
      <c r="I10" s="73">
        <f>SUMIFS(Calc_Retail_1[Jemena],Calc_Retail_1[[Fixed/Variable]:[Fixed/Variable]],$D10,Calc_Retail_1[[Customer type]:[Customer type]],$F10)</f>
        <v>183.65511994063746</v>
      </c>
      <c r="J10" s="73">
        <f>SUMIFS(Calc_Retail_1[Powercor],Calc_Retail_1[[Fixed/Variable]:[Fixed/Variable]],$D10,Calc_Retail_1[[Customer type]:[Customer type]],$F10)</f>
        <v>183.65511994063746</v>
      </c>
      <c r="K10" s="73">
        <f>SUMIFS(Calc_Retail_1[United Energy],Calc_Retail_1[[Fixed/Variable]:[Fixed/Variable]],$D10,Calc_Retail_1[[Customer type]:[Customer type]],$F10)</f>
        <v>183.65511994063746</v>
      </c>
    </row>
    <row r="11" spans="1:11" x14ac:dyDescent="0.25">
      <c r="B11"/>
      <c r="C11" s="23" t="s">
        <v>273</v>
      </c>
      <c r="D11" s="23" t="s">
        <v>108</v>
      </c>
      <c r="E11" s="23" t="s">
        <v>109</v>
      </c>
      <c r="F11" s="23" t="s">
        <v>110</v>
      </c>
      <c r="G11" s="77">
        <f>SUMIFS(Calc_OtherCosts_1[Ausnet],Calc_OtherCosts_1[[Fixed/Variable]:[Fixed/Variable]],$D11,Calc_OtherCosts_1[[Customer type]:[Customer type]],$F11)</f>
        <v>4.1899995214590042</v>
      </c>
      <c r="H11" s="73">
        <f>SUMIFS(Calc_OtherCosts_1[Citipower],Calc_OtherCosts_1[[Fixed/Variable]:[Fixed/Variable]],$D11,Calc_OtherCosts_1[[Customer type]:[Customer type]],$F11)</f>
        <v>4.1899995214590042</v>
      </c>
      <c r="I11" s="73">
        <f>SUMIFS(Calc_OtherCosts_1[Jemena],Calc_OtherCosts_1[[Fixed/Variable]:[Fixed/Variable]],$D11,Calc_OtherCosts_1[[Customer type]:[Customer type]],$F11)</f>
        <v>4.1899995214590042</v>
      </c>
      <c r="J11" s="73">
        <f>SUMIFS(Calc_OtherCosts_1[Powercor],Calc_OtherCosts_1[[Fixed/Variable]:[Fixed/Variable]],$D11,Calc_OtherCosts_1[[Customer type]:[Customer type]],$F11)</f>
        <v>4.1899995214590042</v>
      </c>
      <c r="K11" s="73">
        <f>SUMIFS(Calc_OtherCosts_1[United Energy],Calc_OtherCosts_1[[Fixed/Variable]:[Fixed/Variable]],$D11,Calc_OtherCosts_1[[Customer type]:[Customer type]],$F11)</f>
        <v>4.1899995214590042</v>
      </c>
    </row>
    <row r="12" spans="1:11" x14ac:dyDescent="0.25">
      <c r="B12"/>
      <c r="C12" s="23" t="s">
        <v>274</v>
      </c>
      <c r="D12" s="23" t="s">
        <v>108</v>
      </c>
      <c r="E12" s="23" t="s">
        <v>109</v>
      </c>
      <c r="F12" s="23" t="s">
        <v>110</v>
      </c>
      <c r="G12" s="73">
        <f>SUMIFS(Calc_FiT_1[Ausnet],Calc_FiT_1[[Fixed/Variable]:[Fixed/Variable]],$D12,Calc_FiT_1[[Customer type]:[Customer type]],$F12)</f>
        <v>13.337821545021233</v>
      </c>
      <c r="H12" s="73">
        <f>SUMIFS(Calc_FiT_1[Citipower],Calc_FiT_1[[Fixed/Variable]:[Fixed/Variable]],$D12,Calc_FiT_1[[Customer type]:[Customer type]],$F12)</f>
        <v>13.337821545021233</v>
      </c>
      <c r="I12" s="73">
        <f>SUMIFS(Calc_FiT_1[Jemena],Calc_FiT_1[[Fixed/Variable]:[Fixed/Variable]],$D12,Calc_FiT_1[[Customer type]:[Customer type]],$F12)</f>
        <v>13.337821545021233</v>
      </c>
      <c r="J12" s="73">
        <f>SUMIFS(Calc_FiT_1[Powercor],Calc_FiT_1[[Fixed/Variable]:[Fixed/Variable]],$D12,Calc_FiT_1[[Customer type]:[Customer type]],$F12)</f>
        <v>13.337821545021233</v>
      </c>
      <c r="K12" s="73">
        <f>SUMIFS(Calc_FiT_1[United Energy],Calc_FiT_1[[Fixed/Variable]:[Fixed/Variable]],$D12,Calc_FiT_1[[Customer type]:[Customer type]],$F12)</f>
        <v>13.337821545021233</v>
      </c>
    </row>
    <row r="13" spans="1:11" x14ac:dyDescent="0.25">
      <c r="B13"/>
      <c r="C13" s="23" t="s">
        <v>275</v>
      </c>
      <c r="D13" s="23" t="s">
        <v>108</v>
      </c>
      <c r="E13" s="23" t="s">
        <v>109</v>
      </c>
      <c r="F13" s="23" t="s">
        <v>110</v>
      </c>
      <c r="G13" s="73">
        <f>SUMIFS(Calc_NetworkF_1[Ausnet],Calc_NetworkF_1[[Fixed/Variable]:[Fixed/Variable]],$D13,Calc_NetworkF_1[[Customer type]:[Customer type]],$F13)</f>
        <v>72.901836379042152</v>
      </c>
      <c r="H13" s="73">
        <f>SUMIFS(Calc_NetworkF_1[Citipower],Calc_NetworkF_1[[Fixed/Variable]:[Fixed/Variable]],$D13,Calc_NetworkF_1[[Customer type]:[Customer type]],$F13)</f>
        <v>62.513688088390346</v>
      </c>
      <c r="I13" s="73">
        <f>SUMIFS(Calc_NetworkF_1[Jemena],Calc_NetworkF_1[[Fixed/Variable]:[Fixed/Variable]],$D13,Calc_NetworkF_1[[Customer type]:[Customer type]],$F13)</f>
        <v>55.822653689249755</v>
      </c>
      <c r="J13" s="73">
        <f>SUMIFS(Calc_NetworkF_1[Powercor],Calc_NetworkF_1[[Fixed/Variable]:[Fixed/Variable]],$D13,Calc_NetworkF_1[[Customer type]:[Customer type]],$F13)</f>
        <v>59.390794631454334</v>
      </c>
      <c r="K13" s="73">
        <f>SUMIFS(Calc_NetworkF_1[United Energy],Calc_NetworkF_1[[Fixed/Variable]:[Fixed/Variable]],$D13,Calc_NetworkF_1[[Customer type]:[Customer type]],$F13)</f>
        <v>43.808058038216856</v>
      </c>
    </row>
    <row r="14" spans="1:11" x14ac:dyDescent="0.25">
      <c r="B14"/>
    </row>
    <row r="15" spans="1:11" ht="15.75" collapsed="1" x14ac:dyDescent="0.25">
      <c r="B15"/>
      <c r="C15" s="29" t="s">
        <v>276</v>
      </c>
    </row>
    <row r="16" spans="1:11" ht="15.75" hidden="1" outlineLevel="1" x14ac:dyDescent="0.25">
      <c r="B16"/>
      <c r="C16" s="81" t="s">
        <v>550</v>
      </c>
    </row>
    <row r="17" spans="2:11" hidden="1" outlineLevel="1" x14ac:dyDescent="0.25">
      <c r="B17"/>
      <c r="C17" s="23" t="s">
        <v>286</v>
      </c>
      <c r="D17" s="23" t="s">
        <v>9</v>
      </c>
      <c r="E17" s="23" t="s">
        <v>109</v>
      </c>
      <c r="F17" s="23" t="s">
        <v>92</v>
      </c>
      <c r="G17" s="61">
        <f>SUMIFS(Calc_NetworkF_1[Ausnet],Calc_NetworkF_1[[Cost item]:[Cost item]],$C16,Calc_NetworkF_1[[Customer type]:[Customer type]],$F17)</f>
        <v>111.11</v>
      </c>
      <c r="H17" s="61">
        <f>SUMIFS(Calc_NetworkF_1[Citipower],Calc_NetworkF_1[[Cost item]:[Cost item]],$C16,Calc_NetworkF_1[[Customer type]:[Customer type]],$F17)</f>
        <v>90.009</v>
      </c>
      <c r="I17" s="61">
        <f>SUMIFS(Calc_NetworkF_1[Jemena],Calc_NetworkF_1[[Cost item]:[Cost item]],$C16,Calc_NetworkF_1[[Customer type]:[Customer type]],$F17)</f>
        <v>82.195999999999998</v>
      </c>
      <c r="J17" s="61">
        <f>SUMIFS(Calc_NetworkF_1[Powercor],Calc_NetworkF_1[[Cost item]:[Cost item]],$C16,Calc_NetworkF_1[[Customer type]:[Customer type]],$F17)</f>
        <v>139.97749999999999</v>
      </c>
      <c r="K17" s="61">
        <f>SUMIFS(Calc_NetworkF_1[United Energy],Calc_NetworkF_1[[Cost item]:[Cost item]],$C16,Calc_NetworkF_1[[Customer type]:[Customer type]],$F17)</f>
        <v>80.007999999999996</v>
      </c>
    </row>
    <row r="18" spans="2:11" hidden="1" outlineLevel="1" x14ac:dyDescent="0.25">
      <c r="B18"/>
      <c r="C18" s="23" t="s">
        <v>267</v>
      </c>
      <c r="D18" s="23" t="s">
        <v>9</v>
      </c>
      <c r="E18" s="23" t="s">
        <v>109</v>
      </c>
      <c r="F18" s="23" t="s">
        <v>92</v>
      </c>
      <c r="G18" s="73">
        <f>IF(G17=0,"-",SUMIFS(Calc_Fixed_1[Ausnet],Calc_Fixed_1[Customer type],"All")+SUMIFS(Calc_Fixed_1[Ausnet],Calc_Fixed_1[Customer type],$F19))</f>
        <v>274.08477738615989</v>
      </c>
      <c r="H18" s="73">
        <f>IF(H17=0,"-",SUMIFS(Calc_Fixed_1[Citipower],Calc_Fixed_1[[Customer type]:[Customer type]],"All")+SUMIFS(Calc_Fixed_1[Citipower],Calc_Fixed_1[[Customer type]:[Customer type]],$F19))</f>
        <v>263.69662909550806</v>
      </c>
      <c r="I18" s="73">
        <f>IF(I17=0,"-",SUMIFS(Calc_Fixed_1[Jemena],Calc_Fixed_1[[Customer type]:[Customer type]],"All")+SUMIFS(Calc_Fixed_1[Jemena],Calc_Fixed_1[[Customer type]:[Customer type]],$F19))</f>
        <v>257.00559469636744</v>
      </c>
      <c r="J18" s="73">
        <f>IF(J17=0,"-",SUMIFS(Calc_Fixed_1[Powercor],Calc_Fixed_1[[Customer type]:[Customer type]],"All")+SUMIFS(Calc_Fixed_1[Powercor],Calc_Fixed_1[[Customer type]:[Customer type]],$F19))</f>
        <v>260.57373563857203</v>
      </c>
      <c r="K18" s="73">
        <f>IF(K17=0,"-",SUMIFS(Calc_Fixed_1[United Energy],Calc_Fixed_1[[Customer type]:[Customer type]],"All")+SUMIFS(Calc_Fixed_1[United Energy],Calc_Fixed_1[[Customer type]:[Customer type]],$F19))</f>
        <v>244.99099904533455</v>
      </c>
    </row>
    <row r="19" spans="2:11" hidden="1" outlineLevel="1" x14ac:dyDescent="0.25">
      <c r="B19"/>
      <c r="C19" s="23" t="s">
        <v>203</v>
      </c>
      <c r="D19" s="23" t="s">
        <v>9</v>
      </c>
      <c r="E19" s="23" t="s">
        <v>109</v>
      </c>
      <c r="F19" s="23" t="s">
        <v>92</v>
      </c>
      <c r="G19" s="73" cm="1">
        <f t="array" ref="G19">IF(G17=0,"-",(G17+G18)*Calc_ROM_1[Ausnet])</f>
        <v>23.265764554124058</v>
      </c>
      <c r="H19" s="73" cm="1">
        <f t="array" ref="H19">IF(H17=0,"-",(H17+H18)*Calc_ROM_1[Citipower])</f>
        <v>21.363819997368687</v>
      </c>
      <c r="I19" s="73" cm="1">
        <f t="array" ref="I19">IF(I17=0,"-",(I17+I18)*Calc_ROM_1[Jemena])</f>
        <v>20.487776319660597</v>
      </c>
      <c r="J19" s="73" cm="1">
        <f t="array" ref="J19">IF(J17=0,"-",(J17+J18)*Calc_ROM_1[Powercor])</f>
        <v>24.193294632569753</v>
      </c>
      <c r="K19" s="73" cm="1">
        <f t="array" ref="K19">IF(K17=0,"-",(K17+K18)*Calc_ROM_1[United Energy])</f>
        <v>19.629939542338207</v>
      </c>
    </row>
    <row r="20" spans="2:11" hidden="1" outlineLevel="1" x14ac:dyDescent="0.25">
      <c r="B20"/>
      <c r="C20" s="23" t="s">
        <v>277</v>
      </c>
      <c r="D20" s="23" t="s">
        <v>9</v>
      </c>
      <c r="E20" s="23" t="s">
        <v>109</v>
      </c>
      <c r="F20" s="23" t="s">
        <v>92</v>
      </c>
      <c r="G20" s="73">
        <f>IF(G17=0,"-",(G17+G18+G19)*GST)</f>
        <v>40.846054194028397</v>
      </c>
      <c r="H20" s="73">
        <f>IF(H17=0,"-",(H17+H18+H19)*GST)</f>
        <v>37.506944909287675</v>
      </c>
      <c r="I20" s="73">
        <f>IF(I17=0,"-",(I17+I18+I19)*GST)</f>
        <v>35.968937101602812</v>
      </c>
      <c r="J20" s="73">
        <f>IF(J17=0,"-",(J17+J18+J19)*GST)</f>
        <v>42.47445302711418</v>
      </c>
      <c r="K20" s="73">
        <f>IF(K17=0,"-",(K17+K18+K19)*GST)</f>
        <v>34.462893858767274</v>
      </c>
    </row>
    <row r="21" spans="2:11" hidden="1" outlineLevel="1" x14ac:dyDescent="0.25">
      <c r="B21"/>
      <c r="C21" s="23" t="s">
        <v>278</v>
      </c>
      <c r="D21" s="23" t="s">
        <v>9</v>
      </c>
      <c r="E21" s="23" t="s">
        <v>109</v>
      </c>
      <c r="F21" s="23" t="s">
        <v>92</v>
      </c>
      <c r="G21" s="73">
        <f>IF(G17=0,"-",G17+G18+G19+G20)</f>
        <v>449.30659613431237</v>
      </c>
      <c r="H21" s="73">
        <f t="shared" ref="H21:K21" si="0">IF(H17=0,"-",H17+H18+H19+H20)</f>
        <v>412.57639400216442</v>
      </c>
      <c r="I21" s="73">
        <f t="shared" si="0"/>
        <v>395.6583081176309</v>
      </c>
      <c r="J21" s="73">
        <f t="shared" si="0"/>
        <v>467.21898329825598</v>
      </c>
      <c r="K21" s="73">
        <f t="shared" si="0"/>
        <v>379.09183244643998</v>
      </c>
    </row>
    <row r="22" spans="2:11" hidden="1" outlineLevel="1" x14ac:dyDescent="0.25">
      <c r="B22"/>
      <c r="C22" s="23" t="str">
        <f>C16</f>
        <v>Anytime - supply</v>
      </c>
      <c r="D22" s="23" t="s">
        <v>9</v>
      </c>
      <c r="E22" s="23" t="s">
        <v>109</v>
      </c>
      <c r="F22" s="23" t="s">
        <v>92</v>
      </c>
      <c r="G22" s="74">
        <f>IF(G17=0,"-",G21/DiY)</f>
        <v>1.230976975710445</v>
      </c>
      <c r="H22" s="74">
        <f>IF(H17=0,"-",H21/DiY)</f>
        <v>1.1303462849374368</v>
      </c>
      <c r="I22" s="74">
        <f>IF(I17=0,"-",I21/DiY)</f>
        <v>1.083995364705838</v>
      </c>
      <c r="J22" s="74">
        <f>IF(J17=0,"-",J21/DiY)</f>
        <v>1.2800520090363177</v>
      </c>
      <c r="K22" s="74">
        <f>IF(K17=0,"-",K21/DiY)</f>
        <v>1.0386077601272328</v>
      </c>
    </row>
    <row r="23" spans="2:11" hidden="1" outlineLevel="1" x14ac:dyDescent="0.25">
      <c r="B23"/>
      <c r="G23" s="110" cm="1">
        <f t="array" ref="G23">IF(G17=0,"-",
IF($D$254='Lookup refs'!$D$25,
IF(G22=INDEX(RateCheck_VDO2021F[[Ausnet]:[United Energy]],MATCH(Calc_Rates!$C22&amp;"_"&amp;Calc_Rates!$F22,RateCheck_VDO2021F[Rate],0),MATCH(Calc_Rates!G$9,RateCheck_VDO2021F[[#Headers],[Ausnet]:[United Energy]],0)),0,1),
IF(ROUND(G22,8)=ROUND((((
SUMIFS(Calc_NetworkF_1[Ausnet],Calc_NetworkF_1[Cost item],$C16,Calc_NetworkF_1[Customer type],$F17)+
SUMIFS(Calc_Fixed_1[Ausnet],Calc_Fixed_1[Customer type],Calc_Rates!$F22)+SUMIFS(Calc_Fixed_1[Ausnet],Calc_Fixed_1[Customer type],"All"))*(1+Calc_ROM_1[Ausnet]))*(1+GST))/DiY,8),0,1)))</f>
        <v>0</v>
      </c>
      <c r="H23" s="110" cm="1">
        <f t="array" ref="H23">IF(H17=0,"-",
IF($D$254='Lookup refs'!$D$25,
IF(H22=INDEX(RateCheck_VDO2021F[[Ausnet]:[United Energy]],MATCH(Calc_Rates!$C22&amp;"_"&amp;Calc_Rates!$F22,RateCheck_VDO2021F[Rate],0),MATCH(Calc_Rates!H$9,RateCheck_VDO2021F[[#Headers],[Ausnet]:[United Energy]],0)),0,1),
IF(ROUND(H22,8)=ROUND((((
SUMIFS(Calc_NetworkF_1[Citipower],Calc_NetworkF_1[Cost item],$C16,Calc_NetworkF_1[Customer type],$F17)+
SUMIFS(Calc_Fixed_1[Citipower],Calc_Fixed_1[Customer type],Calc_Rates!$F22)+SUMIFS(Calc_Fixed_1[Citipower],Calc_Fixed_1[Customer type],"All"))*(1+Calc_ROM_1[Citipower]))*(1+GST))/DiY,8),0,1)))</f>
        <v>0</v>
      </c>
      <c r="I23" s="110" cm="1">
        <f t="array" ref="I23">IF(I17=0,"-",
IF($D$254='Lookup refs'!$D$25,
IF(I22=INDEX(RateCheck_VDO2021F[[Ausnet]:[United Energy]],MATCH(Calc_Rates!$C22&amp;"_"&amp;Calc_Rates!$F22,RateCheck_VDO2021F[Rate],0),MATCH(Calc_Rates!I$9,RateCheck_VDO2021F[[#Headers],[Ausnet]:[United Energy]],0)),0,1),
IF(ROUND(I22,8)=ROUND((((
SUMIFS(Calc_NetworkF_1[Jemena],Calc_NetworkF_1[Cost item],$C16,Calc_NetworkF_1[Customer type],$F17)+
SUMIFS(Calc_Fixed_1[Jemena],Calc_Fixed_1[Customer type],Calc_Rates!$F22)+SUMIFS(Calc_Fixed_1[Jemena],Calc_Fixed_1[Customer type],"All"))*(1+Calc_ROM_1[Jemena]))*(1+GST))/DiY,8),0,1)))</f>
        <v>0</v>
      </c>
      <c r="J23" s="110" cm="1">
        <f t="array" ref="J23">IF(J17=0,"-",
IF($D$254='Lookup refs'!$D$25,
IF(J22=INDEX(RateCheck_VDO2021F[[Ausnet]:[United Energy]],MATCH(Calc_Rates!$C22&amp;"_"&amp;Calc_Rates!$F22,RateCheck_VDO2021F[[Rate]:[Rate]],0),MATCH(Calc_Rates!J$9,RateCheck_VDO2021F[[#Headers],[Ausnet]:[United Energy]],0)),0,1),
IF(ROUND(J22,8)=ROUND((((
SUMIFS(Calc_NetworkF_1[Powercor],Calc_NetworkF_1[[Cost item]:[Cost item]],$C16,Calc_NetworkF_1[[Customer type]:[Customer type]],$F17)+
SUMIFS(Calc_Fixed_1[Powercor],Calc_Fixed_1[[Customer type]:[Customer type]],Calc_Rates!$F22)+SUMIFS(Calc_Fixed_1[Powercor],Calc_Fixed_1[[Customer type]:[Customer type]],"All"))*(1+Calc_ROM_1[Powercor]))*(1+GST))/DiY,8),0,1)))</f>
        <v>0</v>
      </c>
      <c r="K23" s="110" cm="1">
        <f t="array" ref="K23">IF(K17=0,"-",
IF($D$254='Lookup refs'!$D$25,
IF(K22=INDEX(RateCheck_VDO2021F[[Ausnet]:[United Energy]],MATCH(Calc_Rates!$C22&amp;"_"&amp;Calc_Rates!$F22,RateCheck_VDO2021F[[Rate]:[Rate]],0),MATCH(Calc_Rates!K$9,RateCheck_VDO2021F[[#Headers],[Ausnet]:[United Energy]],0)),0,1),
IF(ROUND(K22,8)=ROUND((((
SUMIFS(Calc_NetworkF_1[United Energy],Calc_NetworkF_1[[Cost item]:[Cost item]],$C16,Calc_NetworkF_1[[Customer type]:[Customer type]],$F17)+
SUMIFS(Calc_Fixed_1[United Energy],Calc_Fixed_1[[Customer type]:[Customer type]],Calc_Rates!$F22)+SUMIFS(Calc_Fixed_1[United Energy],Calc_Fixed_1[[Customer type]:[Customer type]],"All"))*(1+Calc_ROM_1[United Energy]))*(1+GST))/DiY,8),0,1)))</f>
        <v>0</v>
      </c>
    </row>
    <row r="24" spans="2:11" ht="15.75" hidden="1" outlineLevel="1" x14ac:dyDescent="0.25">
      <c r="B24"/>
      <c r="C24" s="81" t="s">
        <v>551</v>
      </c>
    </row>
    <row r="25" spans="2:11" hidden="1" outlineLevel="1" x14ac:dyDescent="0.25">
      <c r="B25"/>
      <c r="C25" s="23" t="s">
        <v>286</v>
      </c>
      <c r="D25" s="23" t="s">
        <v>9</v>
      </c>
      <c r="E25" s="23" t="s">
        <v>109</v>
      </c>
      <c r="F25" s="23" t="s">
        <v>92</v>
      </c>
      <c r="G25" s="61">
        <f>SUMIFS(Calc_NetworkF_1[Ausnet],Calc_NetworkF_1[[Cost item]:[Cost item]],$C24,Calc_NetworkF_1[[Customer type]:[Customer type]],$F25)</f>
        <v>111.11</v>
      </c>
      <c r="H25" s="61">
        <f>SUMIFS(Calc_NetworkF_1[Citipower],Calc_NetworkF_1[[Cost item]:[Cost item]],$C24,Calc_NetworkF_1[[Customer type]:[Customer type]],$F25)</f>
        <v>90.009</v>
      </c>
      <c r="I25" s="61">
        <f>SUMIFS(Calc_NetworkF_1[Jemena],Calc_NetworkF_1[[Cost item]:[Cost item]],$C24,Calc_NetworkF_1[[Customer type]:[Customer type]],$F25)</f>
        <v>82.195999999999998</v>
      </c>
      <c r="J25" s="61">
        <f>SUMIFS(Calc_NetworkF_1[Powercor],Calc_NetworkF_1[[Cost item]:[Cost item]],$C24,Calc_NetworkF_1[[Customer type]:[Customer type]],$F25)</f>
        <v>139.97749999999999</v>
      </c>
      <c r="K25" s="61">
        <f>SUMIFS(Calc_NetworkF_1[United Energy],Calc_NetworkF_1[[Cost item]:[Cost item]],$C24,Calc_NetworkF_1[[Customer type]:[Customer type]],$F25)</f>
        <v>80.007999999999996</v>
      </c>
    </row>
    <row r="26" spans="2:11" hidden="1" outlineLevel="1" x14ac:dyDescent="0.25">
      <c r="B26"/>
      <c r="C26" s="23" t="s">
        <v>267</v>
      </c>
      <c r="D26" s="23" t="s">
        <v>9</v>
      </c>
      <c r="E26" s="23" t="s">
        <v>109</v>
      </c>
      <c r="F26" s="23" t="s">
        <v>92</v>
      </c>
      <c r="G26" s="73">
        <f>IF(G25=0,"-",SUMIFS(Calc_Fixed_1[Ausnet],Calc_Fixed_1[[Customer type]:[Customer type]],"All")+SUMIFS(Calc_Fixed_1[Ausnet],Calc_Fixed_1[[Customer type]:[Customer type]],$F27))</f>
        <v>274.08477738615989</v>
      </c>
      <c r="H26" s="73">
        <f>IF(H25=0,"-",SUMIFS(Calc_Fixed_1[Citipower],Calc_Fixed_1[[Customer type]:[Customer type]],"All")+SUMIFS(Calc_Fixed_1[Citipower],Calc_Fixed_1[[Customer type]:[Customer type]],$F27))</f>
        <v>263.69662909550806</v>
      </c>
      <c r="I26" s="73">
        <f>IF(I25=0,"-",SUMIFS(Calc_Fixed_1[Jemena],Calc_Fixed_1[[Customer type]:[Customer type]],"All")+SUMIFS(Calc_Fixed_1[Jemena],Calc_Fixed_1[[Customer type]:[Customer type]],$F27))</f>
        <v>257.00559469636744</v>
      </c>
      <c r="J26" s="73">
        <f>IF(J25=0,"-",SUMIFS(Calc_Fixed_1[Powercor],Calc_Fixed_1[[Customer type]:[Customer type]],"All")+SUMIFS(Calc_Fixed_1[Powercor],Calc_Fixed_1[[Customer type]:[Customer type]],$F27))</f>
        <v>260.57373563857203</v>
      </c>
      <c r="K26" s="73">
        <f>IF(K25=0,"-",SUMIFS(Calc_Fixed_1[United Energy],Calc_Fixed_1[[Customer type]:[Customer type]],"All")+SUMIFS(Calc_Fixed_1[United Energy],Calc_Fixed_1[[Customer type]:[Customer type]],$F27))</f>
        <v>244.99099904533455</v>
      </c>
    </row>
    <row r="27" spans="2:11" hidden="1" outlineLevel="1" x14ac:dyDescent="0.25">
      <c r="B27"/>
      <c r="C27" s="23" t="s">
        <v>203</v>
      </c>
      <c r="D27" s="23" t="s">
        <v>9</v>
      </c>
      <c r="E27" s="23" t="s">
        <v>109</v>
      </c>
      <c r="F27" s="23" t="s">
        <v>92</v>
      </c>
      <c r="G27" s="73" cm="1">
        <f t="array" ref="G27">IF(G25=0,"-",(G25+G26)*Calc_ROM_1[Ausnet])</f>
        <v>23.265764554124058</v>
      </c>
      <c r="H27" s="73" cm="1">
        <f t="array" ref="H27">IF(H25=0,"-",(H25+H26)*Calc_ROM_1[Citipower])</f>
        <v>21.363819997368687</v>
      </c>
      <c r="I27" s="73" cm="1">
        <f t="array" ref="I27">IF(I25=0,"-",(I25+I26)*Calc_ROM_1[Jemena])</f>
        <v>20.487776319660597</v>
      </c>
      <c r="J27" s="73" cm="1">
        <f t="array" ref="J27">IF(J25=0,"-",(J25+J26)*Calc_ROM_1[Powercor])</f>
        <v>24.193294632569753</v>
      </c>
      <c r="K27" s="73" cm="1">
        <f t="array" ref="K27">IF(K25=0,"-",(K25+K26)*Calc_ROM_1[United Energy])</f>
        <v>19.629939542338207</v>
      </c>
    </row>
    <row r="28" spans="2:11" hidden="1" outlineLevel="1" x14ac:dyDescent="0.25">
      <c r="B28"/>
      <c r="C28" s="23" t="s">
        <v>277</v>
      </c>
      <c r="D28" s="23" t="s">
        <v>9</v>
      </c>
      <c r="E28" s="23" t="s">
        <v>109</v>
      </c>
      <c r="F28" s="23" t="s">
        <v>92</v>
      </c>
      <c r="G28" s="73">
        <f>IF(G25=0,"-",(G25+G26+G27)*GST)</f>
        <v>40.846054194028397</v>
      </c>
      <c r="H28" s="73">
        <f>IF(H25=0,"-",(H25+H26+H27)*GST)</f>
        <v>37.506944909287675</v>
      </c>
      <c r="I28" s="73">
        <f>IF(I25=0,"-",(I25+I26+I27)*GST)</f>
        <v>35.968937101602812</v>
      </c>
      <c r="J28" s="73">
        <f>IF(J25=0,"-",(J25+J26+J27)*GST)</f>
        <v>42.47445302711418</v>
      </c>
      <c r="K28" s="73">
        <f>IF(K25=0,"-",(K25+K26+K27)*GST)</f>
        <v>34.462893858767274</v>
      </c>
    </row>
    <row r="29" spans="2:11" hidden="1" outlineLevel="1" x14ac:dyDescent="0.25">
      <c r="B29"/>
      <c r="C29" s="23" t="s">
        <v>278</v>
      </c>
      <c r="D29" s="23" t="s">
        <v>9</v>
      </c>
      <c r="E29" s="23" t="s">
        <v>109</v>
      </c>
      <c r="F29" s="23" t="s">
        <v>92</v>
      </c>
      <c r="G29" s="73">
        <f>IF(G25=0,"-",G25+G26+G27+G28)</f>
        <v>449.30659613431237</v>
      </c>
      <c r="H29" s="73">
        <f t="shared" ref="H29" si="1">IF(H25=0,"-",H25+H26+H27+H28)</f>
        <v>412.57639400216442</v>
      </c>
      <c r="I29" s="73">
        <f t="shared" ref="I29" si="2">IF(I25=0,"-",I25+I26+I27+I28)</f>
        <v>395.6583081176309</v>
      </c>
      <c r="J29" s="73">
        <f t="shared" ref="J29" si="3">IF(J25=0,"-",J25+J26+J27+J28)</f>
        <v>467.21898329825598</v>
      </c>
      <c r="K29" s="73">
        <f t="shared" ref="K29" si="4">IF(K25=0,"-",K25+K26+K27+K28)</f>
        <v>379.09183244643998</v>
      </c>
    </row>
    <row r="30" spans="2:11" hidden="1" outlineLevel="1" x14ac:dyDescent="0.25">
      <c r="B30"/>
      <c r="C30" s="23" t="str">
        <f>C24</f>
        <v>TOU - supply</v>
      </c>
      <c r="D30" s="23" t="s">
        <v>9</v>
      </c>
      <c r="E30" s="23" t="s">
        <v>109</v>
      </c>
      <c r="F30" s="23" t="s">
        <v>92</v>
      </c>
      <c r="G30" s="74">
        <f>IF(G25=0,"-",G29/DiY)</f>
        <v>1.230976975710445</v>
      </c>
      <c r="H30" s="74">
        <f>IF(H25=0,"-",H29/DiY)</f>
        <v>1.1303462849374368</v>
      </c>
      <c r="I30" s="74">
        <f>IF(I25=0,"-",I29/DiY)</f>
        <v>1.083995364705838</v>
      </c>
      <c r="J30" s="74">
        <f>IF(J25=0,"-",J29/DiY)</f>
        <v>1.2800520090363177</v>
      </c>
      <c r="K30" s="74">
        <f>IF(K25=0,"-",K29/DiY)</f>
        <v>1.0386077601272328</v>
      </c>
    </row>
    <row r="31" spans="2:11" hidden="1" outlineLevel="1" x14ac:dyDescent="0.25">
      <c r="B31"/>
      <c r="G31" s="110" cm="1">
        <f t="array" ref="G31">IF(G25=0,"-",
IF($D$254='Lookup refs'!$D$25,
IF(G30=INDEX(RateCheck_VDO2021F[[Ausnet]:[United Energy]],MATCH(Calc_Rates!$C30&amp;"_"&amp;Calc_Rates!$F30,RateCheck_VDO2021F[Rate],0),MATCH(Calc_Rates!G$9,RateCheck_VDO2021F[[#Headers],[Ausnet]:[United Energy]],0)),0,1),
IF(ROUND(G30,8)=ROUND((((
SUMIFS(Calc_NetworkF_1[Ausnet],Calc_NetworkF_1[Cost item],$C24,Calc_NetworkF_1[Customer type],$F25)+
SUMIFS(Calc_Fixed_1[Ausnet],Calc_Fixed_1[Customer type],Calc_Rates!$F30)+SUMIFS(Calc_Fixed_1[Ausnet],Calc_Fixed_1[Customer type],"All"))*(1+Calc_ROM_1[Ausnet]))*(1+GST))/DiY,8),0,1)))</f>
        <v>0</v>
      </c>
      <c r="H31" s="110" cm="1">
        <f t="array" ref="H31">IF(H25=0,"-",
IF($D$254='Lookup refs'!$D$25,
IF(H30=INDEX(RateCheck_VDO2021F[[Ausnet]:[United Energy]],MATCH(Calc_Rates!$C30&amp;"_"&amp;Calc_Rates!$F30,RateCheck_VDO2021F[Rate],0),MATCH(Calc_Rates!H$9,RateCheck_VDO2021F[[#Headers],[Ausnet]:[United Energy]],0)),0,1),
IF(ROUND(H30,8)=ROUND((((
SUMIFS(Calc_NetworkF_1[Citipower],Calc_NetworkF_1[Cost item],$C24,Calc_NetworkF_1[Customer type],$F25)+
SUMIFS(Calc_Fixed_1[Citipower],Calc_Fixed_1[Customer type],Calc_Rates!$F30)+SUMIFS(Calc_Fixed_1[Citipower],Calc_Fixed_1[Customer type],"All"))*(1+Calc_ROM_1[Citipower]))*(1+GST))/DiY,8),0,1)))</f>
        <v>0</v>
      </c>
      <c r="I31" s="110" cm="1">
        <f t="array" ref="I31">IF(I25=0,"-",
IF($D$254='Lookup refs'!$D$25,
IF(I30=INDEX(RateCheck_VDO2021F[[Ausnet]:[United Energy]],MATCH(Calc_Rates!$C30&amp;"_"&amp;Calc_Rates!$F30,RateCheck_VDO2021F[[Rate]:[Rate]],0),MATCH(Calc_Rates!I$9,RateCheck_VDO2021F[[#Headers],[Ausnet]:[United Energy]],0)),0,1),
IF(ROUND(I30,8)=ROUND((((
SUMIFS(Calc_NetworkF_1[Jemena],Calc_NetworkF_1[[Cost item]:[Cost item]],$C24,Calc_NetworkF_1[[Customer type]:[Customer type]],$F25)+
SUMIFS(Calc_Fixed_1[Jemena],Calc_Fixed_1[[Customer type]:[Customer type]],Calc_Rates!$F30)+SUMIFS(Calc_Fixed_1[Jemena],Calc_Fixed_1[[Customer type]:[Customer type]],"All"))*(1+Calc_ROM_1[Jemena]))*(1+GST))/DiY,8),0,1)))</f>
        <v>0</v>
      </c>
      <c r="J31" s="110" cm="1">
        <f t="array" ref="J31">IF(J25=0,"-",
IF($D$254='Lookup refs'!$D$25,
IF(J30=INDEX(RateCheck_VDO2021F[[Ausnet]:[United Energy]],MATCH(Calc_Rates!$C30&amp;"_"&amp;Calc_Rates!$F30,RateCheck_VDO2021F[[Rate]:[Rate]],0),MATCH(Calc_Rates!J$9,RateCheck_VDO2021F[[#Headers],[Ausnet]:[United Energy]],0)),0,1),
IF(ROUND(J30,8)=ROUND((((
SUMIFS(Calc_NetworkF_1[Powercor],Calc_NetworkF_1[[Cost item]:[Cost item]],$C24,Calc_NetworkF_1[[Customer type]:[Customer type]],$F25)+
SUMIFS(Calc_Fixed_1[Powercor],Calc_Fixed_1[[Customer type]:[Customer type]],Calc_Rates!$F30)+SUMIFS(Calc_Fixed_1[Powercor],Calc_Fixed_1[[Customer type]:[Customer type]],"All"))*(1+Calc_ROM_1[Powercor]))*(1+GST))/DiY,8),0,1)))</f>
        <v>0</v>
      </c>
      <c r="K31" s="110" cm="1">
        <f t="array" ref="K31">IF(K25=0,"-",
IF($D$254='Lookup refs'!$D$25,
IF(K30=INDEX(RateCheck_VDO2021F[[Ausnet]:[United Energy]],MATCH(Calc_Rates!$C30&amp;"_"&amp;Calc_Rates!$F30,RateCheck_VDO2021F[[Rate]:[Rate]],0),MATCH(Calc_Rates!K$9,RateCheck_VDO2021F[[#Headers],[Ausnet]:[United Energy]],0)),0,1),
IF(ROUND(K30,8)=ROUND((((
SUMIFS(Calc_NetworkF_1[United Energy],Calc_NetworkF_1[[Cost item]:[Cost item]],$C24,Calc_NetworkF_1[[Customer type]:[Customer type]],$F25)+
SUMIFS(Calc_Fixed_1[United Energy],Calc_Fixed_1[[Customer type]:[Customer type]],Calc_Rates!$F30)+SUMIFS(Calc_Fixed_1[United Energy],Calc_Fixed_1[[Customer type]:[Customer type]],"All"))*(1+Calc_ROM_1[United Energy]))*(1+GST))/DiY,8),0,1)))</f>
        <v>0</v>
      </c>
    </row>
    <row r="32" spans="2:11" ht="15.75" collapsed="1" x14ac:dyDescent="0.25">
      <c r="B32"/>
      <c r="C32" s="29" t="s">
        <v>279</v>
      </c>
    </row>
    <row r="33" spans="2:11" ht="15.75" hidden="1" outlineLevel="1" x14ac:dyDescent="0.25">
      <c r="B33"/>
      <c r="C33" s="81" t="s">
        <v>550</v>
      </c>
    </row>
    <row r="34" spans="2:11" hidden="1" outlineLevel="1" x14ac:dyDescent="0.25">
      <c r="B34"/>
      <c r="C34" s="23" t="s">
        <v>286</v>
      </c>
      <c r="D34" s="23" t="s">
        <v>9</v>
      </c>
      <c r="E34" s="23" t="s">
        <v>109</v>
      </c>
      <c r="F34" s="23" t="s">
        <v>93</v>
      </c>
      <c r="G34" s="61">
        <f>SUMIFS(Calc_NetworkF_1[Ausnet],Calc_NetworkF_1[[Cost item]:[Cost item]],$C33,Calc_NetworkF_1[[Customer type]:[Customer type]],$F34)</f>
        <v>111.11</v>
      </c>
      <c r="H34" s="61">
        <f>SUMIFS(Calc_NetworkF_1[Citipower],Calc_NetworkF_1[[Cost item]:[Cost item]],$C33,Calc_NetworkF_1[[Customer type]:[Customer type]],$F34)</f>
        <v>160.01599999999999</v>
      </c>
      <c r="I34" s="61">
        <f>SUMIFS(Calc_NetworkF_1[Jemena],Calc_NetworkF_1[[Cost item]:[Cost item]],$C33,Calc_NetworkF_1[[Customer type]:[Customer type]],$F34)</f>
        <v>134.46600000000001</v>
      </c>
      <c r="J34" s="61">
        <f>SUMIFS(Calc_NetworkF_1[Powercor],Calc_NetworkF_1[[Cost item]:[Cost item]],$C33,Calc_NetworkF_1[[Customer type]:[Customer type]],$F34)</f>
        <v>179.98150000000001</v>
      </c>
      <c r="K34" s="61">
        <f>SUMIFS(Calc_NetworkF_1[United Energy],Calc_NetworkF_1[[Cost item]:[Cost item]],$C33,Calc_NetworkF_1[[Customer type]:[Customer type]],$F34)</f>
        <v>120.01199999999999</v>
      </c>
    </row>
    <row r="35" spans="2:11" hidden="1" outlineLevel="1" x14ac:dyDescent="0.25">
      <c r="B35"/>
      <c r="C35" s="23" t="s">
        <v>267</v>
      </c>
      <c r="D35" s="23" t="s">
        <v>9</v>
      </c>
      <c r="E35" s="23" t="s">
        <v>109</v>
      </c>
      <c r="F35" s="23" t="s">
        <v>93</v>
      </c>
      <c r="G35" s="73">
        <f>IF(G34=0,"-",SUMIFS(Calc_Fixed_1[Ausnet],Calc_Fixed_1[[Customer type]:[Customer type]],"All")+SUMIFS(Calc_Fixed_1[Ausnet],Calc_Fixed_1[[Customer type]:[Customer type]],$F36))</f>
        <v>274.08477738615989</v>
      </c>
      <c r="H35" s="73">
        <f>IF(H34=0,"-",SUMIFS(Calc_Fixed_1[Citipower],Calc_Fixed_1[[Customer type]:[Customer type]],"All")+SUMIFS(Calc_Fixed_1[Citipower],Calc_Fixed_1[[Customer type]:[Customer type]],$F36))</f>
        <v>263.69662909550806</v>
      </c>
      <c r="I35" s="73">
        <f>IF(I34=0,"-",SUMIFS(Calc_Fixed_1[Jemena],Calc_Fixed_1[[Customer type]:[Customer type]],"All")+SUMIFS(Calc_Fixed_1[Jemena],Calc_Fixed_1[[Customer type]:[Customer type]],$F36))</f>
        <v>257.00559469636744</v>
      </c>
      <c r="J35" s="73">
        <f>IF(J34=0,"-",SUMIFS(Calc_Fixed_1[Powercor],Calc_Fixed_1[[Customer type]:[Customer type]],"All")+SUMIFS(Calc_Fixed_1[Powercor],Calc_Fixed_1[[Customer type]:[Customer type]],$F36))</f>
        <v>260.57373563857203</v>
      </c>
      <c r="K35" s="73">
        <f>IF(K34=0,"-",SUMIFS(Calc_Fixed_1[United Energy],Calc_Fixed_1[[Customer type]:[Customer type]],"All")+SUMIFS(Calc_Fixed_1[United Energy],Calc_Fixed_1[[Customer type]:[Customer type]],$F36))</f>
        <v>244.99099904533455</v>
      </c>
    </row>
    <row r="36" spans="2:11" hidden="1" outlineLevel="1" x14ac:dyDescent="0.25">
      <c r="B36"/>
      <c r="C36" s="23" t="s">
        <v>203</v>
      </c>
      <c r="D36" s="23" t="s">
        <v>9</v>
      </c>
      <c r="E36" s="23" t="s">
        <v>109</v>
      </c>
      <c r="F36" s="23" t="s">
        <v>93</v>
      </c>
      <c r="G36" s="73" cm="1">
        <f t="array" ref="G36">IF(G34=0,"-",(G34+G35)*Calc_ROM_1[Ausnet])</f>
        <v>23.265764554124058</v>
      </c>
      <c r="H36" s="73" cm="1">
        <f t="array" ref="H36">IF(H34=0,"-",(H34+H35)*Calc_ROM_1[Citipower])</f>
        <v>25.592242797368687</v>
      </c>
      <c r="I36" s="73" cm="1">
        <f t="array" ref="I36">IF(I34=0,"-",(I34+I35)*Calc_ROM_1[Jemena])</f>
        <v>23.644884319660594</v>
      </c>
      <c r="J36" s="73" cm="1">
        <f t="array" ref="J36">IF(J34=0,"-",(J34+J35)*Calc_ROM_1[Powercor])</f>
        <v>26.609536232569756</v>
      </c>
      <c r="K36" s="73" cm="1">
        <f t="array" ref="K36">IF(K34=0,"-",(K34+K35)*Calc_ROM_1[United Energy])</f>
        <v>22.046181142338206</v>
      </c>
    </row>
    <row r="37" spans="2:11" hidden="1" outlineLevel="1" x14ac:dyDescent="0.25">
      <c r="B37"/>
      <c r="C37" s="23" t="s">
        <v>277</v>
      </c>
      <c r="D37" s="23" t="s">
        <v>9</v>
      </c>
      <c r="E37" s="23" t="s">
        <v>109</v>
      </c>
      <c r="F37" s="23" t="s">
        <v>93</v>
      </c>
      <c r="G37" s="73">
        <f>IF(G34=0,"-",(G34+G35+G36)*GST)</f>
        <v>40.846054194028397</v>
      </c>
      <c r="H37" s="73">
        <f>IF(H34=0,"-",(H34+H35+H36)*GST)</f>
        <v>44.930487189287675</v>
      </c>
      <c r="I37" s="73">
        <f>IF(I34=0,"-",(I34+I35+I36)*GST)</f>
        <v>41.511647901602807</v>
      </c>
      <c r="J37" s="73">
        <f>IF(J34=0,"-",(J34+J35+J36)*GST)</f>
        <v>46.716477187114187</v>
      </c>
      <c r="K37" s="73">
        <f>IF(K34=0,"-",(K34+K35+K36)*GST)</f>
        <v>38.704918018767273</v>
      </c>
    </row>
    <row r="38" spans="2:11" hidden="1" outlineLevel="1" x14ac:dyDescent="0.25">
      <c r="B38"/>
      <c r="C38" s="23" t="s">
        <v>278</v>
      </c>
      <c r="D38" s="23" t="s">
        <v>9</v>
      </c>
      <c r="E38" s="23" t="s">
        <v>109</v>
      </c>
      <c r="F38" s="23" t="s">
        <v>93</v>
      </c>
      <c r="G38" s="73">
        <f>IF(G34=0,"-",G34+G35+G36+G37)</f>
        <v>449.30659613431237</v>
      </c>
      <c r="H38" s="73">
        <f t="shared" ref="H38" si="5">IF(H34=0,"-",H34+H35+H36+H37)</f>
        <v>494.23535908216445</v>
      </c>
      <c r="I38" s="73">
        <f t="shared" ref="I38" si="6">IF(I34=0,"-",I34+I35+I36+I37)</f>
        <v>456.62812691763088</v>
      </c>
      <c r="J38" s="73">
        <f t="shared" ref="J38" si="7">IF(J34=0,"-",J34+J35+J36+J37)</f>
        <v>513.881249058256</v>
      </c>
      <c r="K38" s="73">
        <f t="shared" ref="K38" si="8">IF(K34=0,"-",K34+K35+K36+K37)</f>
        <v>425.75409820644001</v>
      </c>
    </row>
    <row r="39" spans="2:11" hidden="1" outlineLevel="1" x14ac:dyDescent="0.25">
      <c r="B39"/>
      <c r="C39" s="23" t="str">
        <f>C33</f>
        <v>Anytime - supply</v>
      </c>
      <c r="D39" s="23" t="s">
        <v>9</v>
      </c>
      <c r="E39" s="23" t="s">
        <v>109</v>
      </c>
      <c r="F39" s="23" t="s">
        <v>93</v>
      </c>
      <c r="G39" s="74">
        <f>IF(G34=0,"-",G38/DiY)</f>
        <v>1.230976975710445</v>
      </c>
      <c r="H39" s="74">
        <f>IF(H34=0,"-",H38/DiY)</f>
        <v>1.3540694769374368</v>
      </c>
      <c r="I39" s="74">
        <f>IF(I34=0,"-",I38/DiY)</f>
        <v>1.2510359641578928</v>
      </c>
      <c r="J39" s="74">
        <f>IF(J34=0,"-",J38/DiY)</f>
        <v>1.4078938330363178</v>
      </c>
      <c r="K39" s="74">
        <f>IF(K34=0,"-",K38/DiY)</f>
        <v>1.1664495841272329</v>
      </c>
    </row>
    <row r="40" spans="2:11" hidden="1" outlineLevel="1" x14ac:dyDescent="0.25">
      <c r="B40"/>
      <c r="G40" s="110" cm="1">
        <f t="array" ref="G40">IF(G34=0,"-",
IF($D$254='Lookup refs'!$D$25,
IF(G39=INDEX(RateCheck_VDO2021F[[Ausnet]:[United Energy]],MATCH(Calc_Rates!$C39&amp;"_"&amp;Calc_Rates!$F39,RateCheck_VDO2021F[Rate],0),MATCH(Calc_Rates!G$9,RateCheck_VDO2021F[[#Headers],[Ausnet]:[United Energy]],0)),0,1),
IF(ROUND(G39,8)=ROUND((((
SUMIFS(Calc_NetworkF_1[Ausnet],Calc_NetworkF_1[Cost item],$C33,Calc_NetworkF_1[Customer type],$F34)+
SUMIFS(Calc_Fixed_1[Ausnet],Calc_Fixed_1[Customer type],Calc_Rates!$F39)+SUMIFS(Calc_Fixed_1[Ausnet],Calc_Fixed_1[Customer type],"All"))*(1+Calc_ROM_1[Ausnet]))*(1+GST))/DiY,8),0,1)))</f>
        <v>0</v>
      </c>
      <c r="H40" s="110" cm="1">
        <f t="array" ref="H40">IF(H34=0,"-",
IF($D$254='Lookup refs'!$D$25,
IF(H39=INDEX(RateCheck_VDO2021F[[Ausnet]:[United Energy]],MATCH(Calc_Rates!$C39&amp;"_"&amp;Calc_Rates!$F39,RateCheck_VDO2021F[Rate],0),MATCH(Calc_Rates!H$9,RateCheck_VDO2021F[[#Headers],[Ausnet]:[United Energy]],0)),0,1),
IF(ROUND(H39,8)=ROUND((((
SUMIFS(Calc_NetworkF_1[Citipower],Calc_NetworkF_1[Cost item],$C33,Calc_NetworkF_1[Customer type],$F34)+
SUMIFS(Calc_Fixed_1[Citipower],Calc_Fixed_1[Customer type],Calc_Rates!$F39)+SUMIFS(Calc_Fixed_1[Citipower],Calc_Fixed_1[Customer type],"All"))*(1+Calc_ROM_1[Citipower]))*(1+GST))/DiY,8),0,1)))</f>
        <v>0</v>
      </c>
      <c r="I40" s="110" cm="1">
        <f t="array" ref="I40">IF(I34=0,"-",
IF($D$254='Lookup refs'!$D$25,
IF(I39=INDEX(RateCheck_VDO2021F[[Ausnet]:[United Energy]],MATCH(Calc_Rates!$C39&amp;"_"&amp;Calc_Rates!$F39,RateCheck_VDO2021F[[Rate]:[Rate]],0),MATCH(Calc_Rates!I$9,RateCheck_VDO2021F[[#Headers],[Ausnet]:[United Energy]],0)),0,1),
IF(ROUND(I39,8)=ROUND((((
SUMIFS(Calc_NetworkF_1[Jemena],Calc_NetworkF_1[[Cost item]:[Cost item]],$C33,Calc_NetworkF_1[[Customer type]:[Customer type]],$F34)+
SUMIFS(Calc_Fixed_1[Jemena],Calc_Fixed_1[[Customer type]:[Customer type]],Calc_Rates!$F39)+SUMIFS(Calc_Fixed_1[Jemena],Calc_Fixed_1[[Customer type]:[Customer type]],"All"))*(1+Calc_ROM_1[Jemena]))*(1+GST))/DiY,8),0,1)))</f>
        <v>0</v>
      </c>
      <c r="J40" s="110" cm="1">
        <f t="array" ref="J40">IF(J34=0,"-",
IF($D$254='Lookup refs'!$D$25,
IF(J39=INDEX(RateCheck_VDO2021F[[Ausnet]:[United Energy]],MATCH(Calc_Rates!$C39&amp;"_"&amp;Calc_Rates!$F39,RateCheck_VDO2021F[[Rate]:[Rate]],0),MATCH(Calc_Rates!J$9,RateCheck_VDO2021F[[#Headers],[Ausnet]:[United Energy]],0)),0,1),
IF(ROUND(J39,8)=ROUND((((
SUMIFS(Calc_NetworkF_1[Powercor],Calc_NetworkF_1[[Cost item]:[Cost item]],$C33,Calc_NetworkF_1[[Customer type]:[Customer type]],$F34)+
SUMIFS(Calc_Fixed_1[Powercor],Calc_Fixed_1[[Customer type]:[Customer type]],Calc_Rates!$F39)+SUMIFS(Calc_Fixed_1[Powercor],Calc_Fixed_1[[Customer type]:[Customer type]],"All"))*(1+Calc_ROM_1[Powercor]))*(1+GST))/DiY,8),0,1)))</f>
        <v>0</v>
      </c>
      <c r="K40" s="110" cm="1">
        <f t="array" ref="K40">IF(K34=0,"-",
IF($D$254='Lookup refs'!$D$25,
IF(K39=INDEX(RateCheck_VDO2021F[[Ausnet]:[United Energy]],MATCH(Calc_Rates!$C39&amp;"_"&amp;Calc_Rates!$F39,RateCheck_VDO2021F[[Rate]:[Rate]],0),MATCH(Calc_Rates!K$9,RateCheck_VDO2021F[[#Headers],[Ausnet]:[United Energy]],0)),0,1),
IF(ROUND(K39,8)=ROUND((((
SUMIFS(Calc_NetworkF_1[United Energy],Calc_NetworkF_1[[Cost item]:[Cost item]],$C33,Calc_NetworkF_1[[Customer type]:[Customer type]],$F34)+
SUMIFS(Calc_Fixed_1[United Energy],Calc_Fixed_1[[Customer type]:[Customer type]],Calc_Rates!$F39)+SUMIFS(Calc_Fixed_1[United Energy],Calc_Fixed_1[[Customer type]:[Customer type]],"All"))*(1+Calc_ROM_1[United Energy]))*(1+GST))/DiY,8),0,1)))</f>
        <v>0</v>
      </c>
    </row>
    <row r="41" spans="2:11" ht="15.75" hidden="1" outlineLevel="1" x14ac:dyDescent="0.25">
      <c r="B41"/>
      <c r="C41" s="81" t="s">
        <v>551</v>
      </c>
    </row>
    <row r="42" spans="2:11" hidden="1" outlineLevel="1" x14ac:dyDescent="0.25">
      <c r="B42"/>
      <c r="C42" s="23" t="s">
        <v>286</v>
      </c>
      <c r="D42" s="23" t="s">
        <v>9</v>
      </c>
      <c r="E42" s="23" t="s">
        <v>109</v>
      </c>
      <c r="F42" s="23" t="s">
        <v>93</v>
      </c>
      <c r="G42" s="61">
        <f>SUMIFS(Calc_NetworkF_1[Ausnet],Calc_NetworkF_1[[Cost item]:[Cost item]],$C41,Calc_NetworkF_1[[Customer type]:[Customer type]],$F42)</f>
        <v>111.11</v>
      </c>
      <c r="H42" s="61">
        <f>SUMIFS(Calc_NetworkF_1[Citipower],Calc_NetworkF_1[[Cost item]:[Cost item]],$C41,Calc_NetworkF_1[[Customer type]:[Customer type]],$F42)</f>
        <v>160.01599999999999</v>
      </c>
      <c r="I42" s="61">
        <f>SUMIFS(Calc_NetworkF_1[Jemena],Calc_NetworkF_1[[Cost item]:[Cost item]],$C41,Calc_NetworkF_1[[Customer type]:[Customer type]],$F42)</f>
        <v>242.124</v>
      </c>
      <c r="J42" s="61">
        <f>SUMIFS(Calc_NetworkF_1[Powercor],Calc_NetworkF_1[[Cost item]:[Cost item]],$C41,Calc_NetworkF_1[[Customer type]:[Customer type]],$F42)</f>
        <v>179.98150000000001</v>
      </c>
      <c r="K42" s="61">
        <f>SUMIFS(Calc_NetworkF_1[United Energy],Calc_NetworkF_1[[Cost item]:[Cost item]],$C41,Calc_NetworkF_1[[Customer type]:[Customer type]],$F42)</f>
        <v>120.01199999999999</v>
      </c>
    </row>
    <row r="43" spans="2:11" hidden="1" outlineLevel="1" x14ac:dyDescent="0.25">
      <c r="B43"/>
      <c r="C43" s="23" t="s">
        <v>267</v>
      </c>
      <c r="D43" s="23" t="s">
        <v>9</v>
      </c>
      <c r="E43" s="23" t="s">
        <v>109</v>
      </c>
      <c r="F43" s="23" t="s">
        <v>93</v>
      </c>
      <c r="G43" s="73">
        <f>IF(G42=0,"-",SUMIFS(Calc_Fixed_1[Ausnet],Calc_Fixed_1[[Customer type]:[Customer type]],"All")+SUMIFS(Calc_Fixed_1[Ausnet],Calc_Fixed_1[[Customer type]:[Customer type]],$F44))</f>
        <v>274.08477738615989</v>
      </c>
      <c r="H43" s="73">
        <f>IF(H42=0,"-",SUMIFS(Calc_Fixed_1[Citipower],Calc_Fixed_1[[Customer type]:[Customer type]],"All")+SUMIFS(Calc_Fixed_1[Citipower],Calc_Fixed_1[[Customer type]:[Customer type]],$F44))</f>
        <v>263.69662909550806</v>
      </c>
      <c r="I43" s="73">
        <f>IF(I42=0,"-",SUMIFS(Calc_Fixed_1[Jemena],Calc_Fixed_1[[Customer type]:[Customer type]],"All")+SUMIFS(Calc_Fixed_1[Jemena],Calc_Fixed_1[[Customer type]:[Customer type]],$F44))</f>
        <v>257.00559469636744</v>
      </c>
      <c r="J43" s="73">
        <f>IF(J42=0,"-",SUMIFS(Calc_Fixed_1[Powercor],Calc_Fixed_1[[Customer type]:[Customer type]],"All")+SUMIFS(Calc_Fixed_1[Powercor],Calc_Fixed_1[[Customer type]:[Customer type]],$F44))</f>
        <v>260.57373563857203</v>
      </c>
      <c r="K43" s="73">
        <f>IF(K42=0,"-",SUMIFS(Calc_Fixed_1[United Energy],Calc_Fixed_1[[Customer type]:[Customer type]],"All")+SUMIFS(Calc_Fixed_1[United Energy],Calc_Fixed_1[[Customer type]:[Customer type]],$F44))</f>
        <v>244.99099904533455</v>
      </c>
    </row>
    <row r="44" spans="2:11" hidden="1" outlineLevel="1" x14ac:dyDescent="0.25">
      <c r="B44"/>
      <c r="C44" s="23" t="s">
        <v>203</v>
      </c>
      <c r="D44" s="23" t="s">
        <v>9</v>
      </c>
      <c r="E44" s="23" t="s">
        <v>109</v>
      </c>
      <c r="F44" s="23" t="s">
        <v>93</v>
      </c>
      <c r="G44" s="73" cm="1">
        <f t="array" ref="G44">IF(G42=0,"-",(G42+G43)*Calc_ROM_1[Ausnet])</f>
        <v>23.265764554124058</v>
      </c>
      <c r="H44" s="73" cm="1">
        <f t="array" ref="H44">IF(H42=0,"-",(H42+H43)*Calc_ROM_1[Citipower])</f>
        <v>25.592242797368687</v>
      </c>
      <c r="I44" s="73" cm="1">
        <f t="array" ref="I44">IF(I42=0,"-",(I42+I43)*Calc_ROM_1[Jemena])</f>
        <v>30.147427519660596</v>
      </c>
      <c r="J44" s="73" cm="1">
        <f t="array" ref="J44">IF(J42=0,"-",(J42+J43)*Calc_ROM_1[Powercor])</f>
        <v>26.609536232569756</v>
      </c>
      <c r="K44" s="73" cm="1">
        <f t="array" ref="K44">IF(K42=0,"-",(K42+K43)*Calc_ROM_1[United Energy])</f>
        <v>22.046181142338206</v>
      </c>
    </row>
    <row r="45" spans="2:11" hidden="1" outlineLevel="1" x14ac:dyDescent="0.25">
      <c r="B45"/>
      <c r="C45" s="23" t="s">
        <v>277</v>
      </c>
      <c r="D45" s="23" t="s">
        <v>9</v>
      </c>
      <c r="E45" s="23" t="s">
        <v>109</v>
      </c>
      <c r="F45" s="23" t="s">
        <v>93</v>
      </c>
      <c r="G45" s="73">
        <f>IF(G42=0,"-",(G42+G43+G44)*GST)</f>
        <v>40.846054194028397</v>
      </c>
      <c r="H45" s="73">
        <f>IF(H42=0,"-",(H42+H43+H44)*GST)</f>
        <v>44.930487189287675</v>
      </c>
      <c r="I45" s="73">
        <f>IF(I42=0,"-",(I42+I43+I44)*GST)</f>
        <v>52.927702221602807</v>
      </c>
      <c r="J45" s="73">
        <f>IF(J42=0,"-",(J42+J43+J44)*GST)</f>
        <v>46.716477187114187</v>
      </c>
      <c r="K45" s="73">
        <f>IF(K42=0,"-",(K42+K43+K44)*GST)</f>
        <v>38.704918018767273</v>
      </c>
    </row>
    <row r="46" spans="2:11" hidden="1" outlineLevel="1" x14ac:dyDescent="0.25">
      <c r="B46"/>
      <c r="C46" s="23" t="s">
        <v>278</v>
      </c>
      <c r="D46" s="23" t="s">
        <v>9</v>
      </c>
      <c r="E46" s="23" t="s">
        <v>109</v>
      </c>
      <c r="F46" s="23" t="s">
        <v>93</v>
      </c>
      <c r="G46" s="73">
        <f>IF(G42=0,"-",G42+G43+G44+G45)</f>
        <v>449.30659613431237</v>
      </c>
      <c r="H46" s="73">
        <f t="shared" ref="H46" si="9">IF(H42=0,"-",H42+H43+H44+H45)</f>
        <v>494.23535908216445</v>
      </c>
      <c r="I46" s="73">
        <f t="shared" ref="I46" si="10">IF(I42=0,"-",I42+I43+I44+I45)</f>
        <v>582.20472443763083</v>
      </c>
      <c r="J46" s="73">
        <f t="shared" ref="J46" si="11">IF(J42=0,"-",J42+J43+J44+J45)</f>
        <v>513.881249058256</v>
      </c>
      <c r="K46" s="73">
        <f t="shared" ref="K46" si="12">IF(K42=0,"-",K42+K43+K44+K45)</f>
        <v>425.75409820644001</v>
      </c>
    </row>
    <row r="47" spans="2:11" hidden="1" outlineLevel="1" x14ac:dyDescent="0.25">
      <c r="B47"/>
      <c r="C47" s="23" t="str">
        <f>C41</f>
        <v>TOU - supply</v>
      </c>
      <c r="D47" s="23" t="s">
        <v>9</v>
      </c>
      <c r="E47" s="23" t="s">
        <v>109</v>
      </c>
      <c r="F47" s="23" t="s">
        <v>93</v>
      </c>
      <c r="G47" s="74">
        <f>IF(G42=0,"-",G46/DiY)</f>
        <v>1.230976975710445</v>
      </c>
      <c r="H47" s="74">
        <f>IF(H42=0,"-",H46/DiY)</f>
        <v>1.3540694769374368</v>
      </c>
      <c r="I47" s="74">
        <f>IF(I42=0,"-",I46/DiY)</f>
        <v>1.5950814368154269</v>
      </c>
      <c r="J47" s="74">
        <f>IF(J42=0,"-",J46/DiY)</f>
        <v>1.4078938330363178</v>
      </c>
      <c r="K47" s="74">
        <f>IF(K42=0,"-",K46/DiY)</f>
        <v>1.1664495841272329</v>
      </c>
    </row>
    <row r="48" spans="2:11" hidden="1" outlineLevel="1" x14ac:dyDescent="0.25">
      <c r="B48"/>
      <c r="G48" s="110" cm="1">
        <f t="array" ref="G48">IF(G42=0,"-",
IF($D$254='Lookup refs'!$D$25,
IF(G47=INDEX(RateCheck_VDO2021F[[Ausnet]:[United Energy]],MATCH(Calc_Rates!$C47&amp;"_"&amp;Calc_Rates!$F47,RateCheck_VDO2021F[Rate],0),MATCH(Calc_Rates!G$9,RateCheck_VDO2021F[[#Headers],[Ausnet]:[United Energy]],0)),0,1),
IF(ROUND(G47,8)=ROUND((((
SUMIFS(Calc_NetworkF_1[Ausnet],Calc_NetworkF_1[Cost item],$C41,Calc_NetworkF_1[Customer type],$F42)+
SUMIFS(Calc_Fixed_1[Ausnet],Calc_Fixed_1[Customer type],Calc_Rates!$F47)+SUMIFS(Calc_Fixed_1[Ausnet],Calc_Fixed_1[Customer type],"All"))*(1+Calc_ROM_1[Ausnet]))*(1+GST))/DiY,8),0,1)))</f>
        <v>0</v>
      </c>
      <c r="H48" s="110" cm="1">
        <f t="array" ref="H48">IF(H42=0,"-",
IF($D$254='Lookup refs'!$D$25,
IF(H47=INDEX(RateCheck_VDO2021F[[Ausnet]:[United Energy]],MATCH(Calc_Rates!$C47&amp;"_"&amp;Calc_Rates!$F47,RateCheck_VDO2021F[Rate],0),MATCH(Calc_Rates!H$9,RateCheck_VDO2021F[[#Headers],[Ausnet]:[United Energy]],0)),0,1),
IF(ROUND(H47,8)=ROUND((((
SUMIFS(Calc_NetworkF_1[Citipower],Calc_NetworkF_1[Cost item],$C41,Calc_NetworkF_1[Customer type],$F42)+
SUMIFS(Calc_Fixed_1[Citipower],Calc_Fixed_1[Customer type],Calc_Rates!$F47)+SUMIFS(Calc_Fixed_1[Citipower],Calc_Fixed_1[Customer type],"All"))*(1+Calc_ROM_1[Citipower]))*(1+GST))/DiY,8),0,1)))</f>
        <v>0</v>
      </c>
      <c r="I48" s="110" cm="1">
        <f t="array" ref="I48">IF(I42=0,"-",
IF($D$254='Lookup refs'!$D$25,
IF(I47=INDEX(RateCheck_VDO2021F[[Ausnet]:[United Energy]],MATCH(Calc_Rates!$C47&amp;"_"&amp;Calc_Rates!$F47,RateCheck_VDO2021F[[Rate]:[Rate]],0),MATCH(Calc_Rates!I$9,RateCheck_VDO2021F[[#Headers],[Ausnet]:[United Energy]],0)),0,1),
IF(ROUND(I47,8)=ROUND((((
SUMIFS(Calc_NetworkF_1[Jemena],Calc_NetworkF_1[[Cost item]:[Cost item]],$C41,Calc_NetworkF_1[[Customer type]:[Customer type]],$F42)+
SUMIFS(Calc_Fixed_1[Jemena],Calc_Fixed_1[[Customer type]:[Customer type]],Calc_Rates!$F47)+SUMIFS(Calc_Fixed_1[Jemena],Calc_Fixed_1[[Customer type]:[Customer type]],"All"))*(1+Calc_ROM_1[Jemena]))*(1+GST))/DiY,8),0,1)))</f>
        <v>0</v>
      </c>
      <c r="J48" s="110" cm="1">
        <f t="array" ref="J48">IF(J42=0,"-",
IF($D$254='Lookup refs'!$D$25,
IF(J47=INDEX(RateCheck_VDO2021F[[Ausnet]:[United Energy]],MATCH(Calc_Rates!$C47&amp;"_"&amp;Calc_Rates!$F47,RateCheck_VDO2021F[[Rate]:[Rate]],0),MATCH(Calc_Rates!J$9,RateCheck_VDO2021F[[#Headers],[Ausnet]:[United Energy]],0)),0,1),
IF(ROUND(J47,8)=ROUND((((
SUMIFS(Calc_NetworkF_1[Powercor],Calc_NetworkF_1[[Cost item]:[Cost item]],$C41,Calc_NetworkF_1[[Customer type]:[Customer type]],$F42)+
SUMIFS(Calc_Fixed_1[Powercor],Calc_Fixed_1[[Customer type]:[Customer type]],Calc_Rates!$F47)+SUMIFS(Calc_Fixed_1[Powercor],Calc_Fixed_1[[Customer type]:[Customer type]],"All"))*(1+Calc_ROM_1[Powercor]))*(1+GST))/DiY,8),0,1)))</f>
        <v>0</v>
      </c>
      <c r="K48" s="110" cm="1">
        <f t="array" ref="K48">IF(K42=0,"-",
IF($D$254='Lookup refs'!$D$25,
IF(K47=INDEX(RateCheck_VDO2021F[[Ausnet]:[United Energy]],MATCH(Calc_Rates!$C47&amp;"_"&amp;Calc_Rates!$F47,RateCheck_VDO2021F[[Rate]:[Rate]],0),MATCH(Calc_Rates!K$9,RateCheck_VDO2021F[[#Headers],[Ausnet]:[United Energy]],0)),0,1),
IF(ROUND(K47,8)=ROUND((((
SUMIFS(Calc_NetworkF_1[United Energy],Calc_NetworkF_1[[Cost item]:[Cost item]],$C41,Calc_NetworkF_1[[Customer type]:[Customer type]],$F42)+
SUMIFS(Calc_Fixed_1[United Energy],Calc_Fixed_1[[Customer type]:[Customer type]],Calc_Rates!$F47)+SUMIFS(Calc_Fixed_1[United Energy],Calc_Fixed_1[[Customer type]:[Customer type]],"All"))*(1+Calc_ROM_1[United Energy]))*(1+GST))/DiY,8),0,1)))</f>
        <v>0</v>
      </c>
    </row>
    <row r="49" spans="2:14" x14ac:dyDescent="0.25">
      <c r="B49"/>
    </row>
    <row r="50" spans="2:14" ht="15.75" x14ac:dyDescent="0.25">
      <c r="B50"/>
      <c r="C50" s="43" t="s">
        <v>280</v>
      </c>
      <c r="D50" s="43" t="s">
        <v>102</v>
      </c>
      <c r="E50" s="43" t="s">
        <v>103</v>
      </c>
      <c r="F50" s="43" t="s">
        <v>91</v>
      </c>
      <c r="G50" s="60" t="s">
        <v>268</v>
      </c>
      <c r="H50" s="60" t="s">
        <v>269</v>
      </c>
      <c r="I50" s="60" t="s">
        <v>270</v>
      </c>
      <c r="J50" s="60" t="s">
        <v>271</v>
      </c>
      <c r="K50" s="60" t="s">
        <v>272</v>
      </c>
    </row>
    <row r="51" spans="2:14" x14ac:dyDescent="0.25">
      <c r="B51"/>
      <c r="C51" s="23" t="s">
        <v>281</v>
      </c>
      <c r="D51" s="23" t="s">
        <v>130</v>
      </c>
      <c r="E51" s="23" t="s">
        <v>282</v>
      </c>
      <c r="F51" s="23" t="s">
        <v>110</v>
      </c>
      <c r="G51" s="80">
        <f>SUMIFS(Calc_EnviroVEU_1[Ausnet],Calc_EnviroVEU_1[[Fixed/Variable]:[Fixed/Variable]],$D51,Calc_EnviroVEU_1[[Customer type]:[Customer type]],$F51,Calc_EnviroVEU_1[[Cost item]:[Cost item]],"VEU cost")+
SUMIFS(Calc_EnviroLRET_1[Ausnet],Calc_EnviroLRET_1[[Fixed/Variable]:[Fixed/Variable]],$D51,Calc_EnviroLRET_1[[Customer type]:[Customer type]],$F51,Calc_EnviroLRET_1[[Cost item]:[Cost item]],"LRET cost")+
SUMIFS(Calc_EnviroSRES_1[Ausnet],Calc_EnviroSRES_1[[Fixed/Variable]:[Fixed/Variable]],$D51,Calc_EnviroSRES_1[[Customer type]:[Customer type]],$F51,Calc_EnviroSRES_1[[Cost item]:[Cost item]],"SRES cost")</f>
        <v>2.9373578857956113E-2</v>
      </c>
      <c r="H51" s="80">
        <f>SUMIFS(Calc_EnviroVEU_1[Citipower],Calc_EnviroVEU_1[[Fixed/Variable]:[Fixed/Variable]],$D51,Calc_EnviroVEU_1[[Customer type]:[Customer type]],$F51,Calc_EnviroVEU_1[[Cost item]:[Cost item]],"VEU cost")+
SUMIFS(Calc_EnviroLRET_1[Citipower],Calc_EnviroLRET_1[[Fixed/Variable]:[Fixed/Variable]],$D51,Calc_EnviroLRET_1[[Customer type]:[Customer type]],$F51,Calc_EnviroLRET_1[[Cost item]:[Cost item]],"LRET cost")+
SUMIFS(Calc_EnviroSRES_1[Citipower],Calc_EnviroSRES_1[[Fixed/Variable]:[Fixed/Variable]],$D51,Calc_EnviroSRES_1[[Customer type]:[Customer type]],$F51,Calc_EnviroSRES_1[[Cost item]:[Cost item]],"SRES cost")</f>
        <v>2.9373578857956113E-2</v>
      </c>
      <c r="I51" s="80">
        <f>SUMIFS(Calc_EnviroVEU_1[Jemena],Calc_EnviroVEU_1[[Fixed/Variable]:[Fixed/Variable]],$D51,Calc_EnviroVEU_1[[Customer type]:[Customer type]],$F51,Calc_EnviroVEU_1[[Cost item]:[Cost item]],"VEU cost")+
SUMIFS(Calc_EnviroLRET_1[Jemena],Calc_EnviroLRET_1[[Fixed/Variable]:[Fixed/Variable]],$D51,Calc_EnviroLRET_1[[Customer type]:[Customer type]],$F51,Calc_EnviroLRET_1[[Cost item]:[Cost item]],"LRET cost")+
SUMIFS(Calc_EnviroSRES_1[Jemena],Calc_EnviroSRES_1[[Fixed/Variable]:[Fixed/Variable]],$D51,Calc_EnviroSRES_1[[Customer type]:[Customer type]],$F51,Calc_EnviroSRES_1[[Cost item]:[Cost item]],"SRES cost")</f>
        <v>2.9373578857956113E-2</v>
      </c>
      <c r="J51" s="80">
        <f>SUMIFS(Calc_EnviroVEU_1[Powercor],Calc_EnviroVEU_1[[Fixed/Variable]:[Fixed/Variable]],$D51,Calc_EnviroVEU_1[[Customer type]:[Customer type]],$F51,Calc_EnviroVEU_1[[Cost item]:[Cost item]],"VEU cost")+
SUMIFS(Calc_EnviroLRET_1[Powercor],Calc_EnviroLRET_1[[Fixed/Variable]:[Fixed/Variable]],$D51,Calc_EnviroLRET_1[[Customer type]:[Customer type]],$F51,Calc_EnviroLRET_1[[Cost item]:[Cost item]],"LRET cost")+
SUMIFS(Calc_EnviroSRES_1[Powercor],Calc_EnviroSRES_1[[Fixed/Variable]:[Fixed/Variable]],$D51,Calc_EnviroSRES_1[[Customer type]:[Customer type]],$F51,Calc_EnviroSRES_1[[Cost item]:[Cost item]],"SRES cost")</f>
        <v>2.9373578857956113E-2</v>
      </c>
      <c r="K51" s="80">
        <f>SUMIFS(Calc_EnviroVEU_1[United Energy],Calc_EnviroVEU_1[[Fixed/Variable]:[Fixed/Variable]],$D51,Calc_EnviroVEU_1[[Customer type]:[Customer type]],$F51,Calc_EnviroVEU_1[[Cost item]:[Cost item]],"VEU cost")+
SUMIFS(Calc_EnviroLRET_1[United Energy],Calc_EnviroLRET_1[[Fixed/Variable]:[Fixed/Variable]],$D51,Calc_EnviroLRET_1[[Customer type]:[Customer type]],$F51,Calc_EnviroLRET_1[[Cost item]:[Cost item]],"LRET cost")+
SUMIFS(Calc_EnviroSRES_1[United Energy],Calc_EnviroSRES_1[[Fixed/Variable]:[Fixed/Variable]],$D51,Calc_EnviroSRES_1[[Customer type]:[Customer type]],$F51,Calc_EnviroSRES_1[[Cost item]:[Cost item]],"SRES cost")</f>
        <v>2.9373578857956113E-2</v>
      </c>
    </row>
    <row r="52" spans="2:14" x14ac:dyDescent="0.25">
      <c r="B52"/>
      <c r="C52" s="23" t="s">
        <v>273</v>
      </c>
      <c r="D52" s="23" t="s">
        <v>130</v>
      </c>
      <c r="E52" s="23" t="s">
        <v>282</v>
      </c>
      <c r="F52" s="23" t="s">
        <v>110</v>
      </c>
      <c r="G52" s="80">
        <f>SUMIFS(Calc_OtherCosts_1[Ausnet],Calc_OtherCosts_1[Fixed/Variable],$D52,Calc_OtherCosts_1[Customer type],$F52)</f>
        <v>9.079633158843776E-4</v>
      </c>
      <c r="H52" s="80">
        <f>SUMIFS(Calc_OtherCosts_1[Citipower],Calc_OtherCosts_1[[Fixed/Variable]:[Fixed/Variable]],$D52,Calc_OtherCosts_1[[Customer type]:[Customer type]],$F52)</f>
        <v>9.079633158843776E-4</v>
      </c>
      <c r="I52" s="80">
        <f>SUMIFS(Calc_OtherCosts_1[Jemena],Calc_OtherCosts_1[[Fixed/Variable]:[Fixed/Variable]],$D52,Calc_OtherCosts_1[[Customer type]:[Customer type]],$F52)</f>
        <v>9.079633158843776E-4</v>
      </c>
      <c r="J52" s="80">
        <f>SUMIFS(Calc_OtherCosts_1[Powercor],Calc_OtherCosts_1[[Fixed/Variable]:[Fixed/Variable]],$D52,Calc_OtherCosts_1[[Customer type]:[Customer type]],$F52)</f>
        <v>9.079633158843776E-4</v>
      </c>
      <c r="K52" s="80">
        <f>SUMIFS(Calc_OtherCosts_1[United Energy],Calc_OtherCosts_1[[Fixed/Variable]:[Fixed/Variable]],$D52,Calc_OtherCosts_1[[Customer type]:[Customer type]],$F52)</f>
        <v>9.079633158843776E-4</v>
      </c>
      <c r="N52" s="79"/>
    </row>
    <row r="53" spans="2:14" x14ac:dyDescent="0.25">
      <c r="B53"/>
      <c r="C53" s="23" t="s">
        <v>283</v>
      </c>
      <c r="D53" s="23" t="s">
        <v>130</v>
      </c>
      <c r="E53" s="23" t="s">
        <v>282</v>
      </c>
      <c r="F53" s="23" t="s">
        <v>92</v>
      </c>
      <c r="G53" s="77">
        <f>SUMIFS(Calc_WholesaleRES_1[Ausnet],Calc_WholesaleRES_1[[Fixed/Variable]:[Fixed/Variable]],$D53,Calc_WholesaleRES_1[[Customer type]:[Customer type]],$F53,Calc_WholesaleRES_1[[Cost item]:[Cost item]],$C53)</f>
        <v>7.708000000000001E-2</v>
      </c>
      <c r="H53" s="77">
        <f>SUMIFS(Calc_WholesaleRES_1[Citipower],Calc_WholesaleRES_1[[Fixed/Variable]:[Fixed/Variable]],$D53,Calc_WholesaleRES_1[[Customer type]:[Customer type]],$F53,Calc_WholesaleRES_1[[Cost item]:[Cost item]],$C53)</f>
        <v>7.0949999999999999E-2</v>
      </c>
      <c r="I53" s="77">
        <f>SUMIFS(Calc_WholesaleRES_1[Jemena],Calc_WholesaleRES_1[[Fixed/Variable]:[Fixed/Variable]],$D53,Calc_WholesaleRES_1[[Customer type]:[Customer type]],$F53,Calc_WholesaleRES_1[[Cost item]:[Cost item]],$C53)</f>
        <v>7.7840000000000006E-2</v>
      </c>
      <c r="J53" s="77">
        <f>SUMIFS(Calc_WholesaleRES_1[Powercor],Calc_WholesaleRES_1[[Fixed/Variable]:[Fixed/Variable]],$D53,Calc_WholesaleRES_1[[Customer type]:[Customer type]],$F53,Calc_WholesaleRES_1[[Cost item]:[Cost item]],$C53)</f>
        <v>7.5389999999999999E-2</v>
      </c>
      <c r="K53" s="77">
        <f>SUMIFS(Calc_WholesaleRES_1[United Energy],Calc_WholesaleRES_1[[Fixed/Variable]:[Fixed/Variable]],$D53,Calc_WholesaleRES_1[[Customer type]:[Customer type]],$F53,Calc_WholesaleRES_1[[Cost item]:[Cost item]],$C53)</f>
        <v>7.7210000000000015E-2</v>
      </c>
    </row>
    <row r="54" spans="2:14" x14ac:dyDescent="0.25">
      <c r="B54"/>
      <c r="C54" s="23" t="s">
        <v>283</v>
      </c>
      <c r="D54" s="23" t="s">
        <v>130</v>
      </c>
      <c r="E54" s="23" t="s">
        <v>282</v>
      </c>
      <c r="F54" s="23" t="s">
        <v>93</v>
      </c>
      <c r="G54" s="77">
        <f>SUMIFS(Calc_WholesaleSME_1[Ausnet],Calc_WholesaleSME_1[[Fixed/Variable]:[Fixed/Variable]],$D54,Calc_WholesaleSME_1[[Customer type]:[Customer type]],$F54,Calc_WholesaleSME_1[[Cost item]:[Cost item]],$C54)</f>
        <v>6.5190000000000012E-2</v>
      </c>
      <c r="H54" s="77">
        <f>SUMIFS(Calc_WholesaleSME_1[Citipower],Calc_WholesaleSME_1[[Fixed/Variable]:[Fixed/Variable]],$D54,Calc_WholesaleSME_1[[Customer type]:[Customer type]],$F54,Calc_WholesaleSME_1[[Cost item]:[Cost item]],$C54)</f>
        <v>6.6979999999999998E-2</v>
      </c>
      <c r="I54" s="77">
        <f>SUMIFS(Calc_WholesaleSME_1[Jemena],Calc_WholesaleSME_1[[Fixed/Variable]:[Fixed/Variable]],$D54,Calc_WholesaleSME_1[[Customer type]:[Customer type]],$F54,Calc_WholesaleSME_1[[Cost item]:[Cost item]],$C54)</f>
        <v>6.6110000000000002E-2</v>
      </c>
      <c r="J54" s="77">
        <f>SUMIFS(Calc_WholesaleSME_1[Powercor],Calc_WholesaleSME_1[[Fixed/Variable]:[Fixed/Variable]],$D54,Calc_WholesaleSME_1[[Customer type]:[Customer type]],$F54,Calc_WholesaleSME_1[[Cost item]:[Cost item]],$C54)</f>
        <v>6.3990000000000005E-2</v>
      </c>
      <c r="K54" s="77">
        <f>SUMIFS(Calc_WholesaleSME_1[United Energy],Calc_WholesaleSME_1[[Fixed/Variable]:[Fixed/Variable]],$D54,Calc_WholesaleSME_1[[Customer type]:[Customer type]],$F54,Calc_WholesaleSME_1[[Cost item]:[Cost item]],$C54)</f>
        <v>6.7000000000000004E-2</v>
      </c>
    </row>
    <row r="55" spans="2:14" x14ac:dyDescent="0.25">
      <c r="B55"/>
      <c r="C55" s="23" t="s">
        <v>284</v>
      </c>
      <c r="D55" s="23" t="s">
        <v>130</v>
      </c>
      <c r="E55" s="23" t="s">
        <v>282</v>
      </c>
      <c r="F55" s="23" t="s">
        <v>92</v>
      </c>
      <c r="G55" s="80">
        <f>(SUMIFS(G$51:G$54,$F$51:$F$54,"All")+SUMIFS(G$51:G$54,$F$51:$F$54,$F55))*INDEX($G$163:$K$163,1,MATCH(G$50,Calc_Losses_1[[#Headers],[Ausnet]:[United Energy]],0))</f>
        <v>8.530183076319902E-3</v>
      </c>
      <c r="H55" s="80">
        <f>(SUMIFS(H$51:H$54,$F$51:$F$54,"All")+SUMIFS(H$51:H$54,$F$51:$F$54,$F55))*INDEX($G$163:$K$163,1,MATCH(H$50,Calc_Losses_1[[#Headers],[Ausnet]:[United Energy]],0))</f>
        <v>4.8359994888813266E-3</v>
      </c>
      <c r="I55" s="80">
        <f>(SUMIFS(I$51:I$54,$F$51:$F$54,"All")+SUMIFS(I$51:I$54,$F$51:$F$54,$F55))*INDEX($G$163:$K$163,1,MATCH(I$50,Calc_Losses_1[[#Headers],[Ausnet]:[United Energy]],0))</f>
        <v>4.573106044746208E-3</v>
      </c>
      <c r="J55" s="80">
        <f>(SUMIFS(J$51:J$54,$F$51:$F$54,"All")+SUMIFS(J$51:J$54,$F$51:$F$54,$F55))*INDEX($G$163:$K$163,1,MATCH(J$50,Calc_Losses_1[[#Headers],[Ausnet]:[United Energy]],0))</f>
        <v>7.5584327326930888E-3</v>
      </c>
      <c r="K55" s="80">
        <f>(SUMIFS(K$51:K$54,$F$51:$F$54,"All")+SUMIFS(K$51:K$54,$F$51:$F$54,$F55))*INDEX($G$163:$K$163,1,MATCH(K$50,Calc_Losses_1[[#Headers],[Ausnet]:[United Energy]],0))</f>
        <v>5.1527121226556212E-3</v>
      </c>
    </row>
    <row r="56" spans="2:14" x14ac:dyDescent="0.25">
      <c r="B56"/>
      <c r="C56" s="23" t="s">
        <v>284</v>
      </c>
      <c r="D56" s="23" t="s">
        <v>130</v>
      </c>
      <c r="E56" s="23" t="s">
        <v>282</v>
      </c>
      <c r="F56" s="23" t="s">
        <v>93</v>
      </c>
      <c r="G56" s="80">
        <f>(SUMIFS(G$51:G$54,$F$51:$F$54,"All")+SUMIFS(G$51:G$54,$F$51:$F$54,$F56))*INDEX($G$163:$K$163,1,MATCH(G$50,Calc_Losses_1[[#Headers],[Ausnet]:[United Energy]],0))</f>
        <v>7.5854884051757649E-3</v>
      </c>
      <c r="H56" s="80">
        <f>(SUMIFS(H$51:H$54,$F$51:$F$54,"All")+SUMIFS(H$51:H$54,$F$51:$F$54,$F56))*INDEX($G$163:$K$163,1,MATCH(H$50,Calc_Losses_1[[#Headers],[Ausnet]:[United Energy]],0))</f>
        <v>4.64634597221466E-3</v>
      </c>
      <c r="I56" s="80">
        <f>(SUMIFS(I$51:I$54,$F$51:$F$54,"All")+SUMIFS(I$51:I$54,$F$51:$F$54,$F56))*INDEX($G$163:$K$163,1,MATCH(I$50,Calc_Losses_1[[#Headers],[Ausnet]:[United Energy]],0))</f>
        <v>4.0769742579962074E-3</v>
      </c>
      <c r="J56" s="80">
        <f>(SUMIFS(J$51:J$54,$F$51:$F$54,"All")+SUMIFS(J$51:J$54,$F$51:$F$54,$F56))*INDEX($G$163:$K$163,1,MATCH(J$50,Calc_Losses_1[[#Headers],[Ausnet]:[United Energy]],0))</f>
        <v>6.7430179920721081E-3</v>
      </c>
      <c r="K56" s="80">
        <f>(SUMIFS(K$51:K$54,$F$51:$F$54,"All")+SUMIFS(K$51:K$54,$F$51:$F$54,$F56))*INDEX($G$163:$K$163,1,MATCH(K$50,Calc_Losses_1[[#Headers],[Ausnet]:[United Energy]],0))</f>
        <v>4.6632857947010754E-3</v>
      </c>
    </row>
    <row r="57" spans="2:14" x14ac:dyDescent="0.25">
      <c r="B57"/>
    </row>
    <row r="58" spans="2:14" ht="15.75" collapsed="1" x14ac:dyDescent="0.25">
      <c r="B58"/>
      <c r="C58" s="29" t="s">
        <v>285</v>
      </c>
    </row>
    <row r="59" spans="2:14" ht="15.75" hidden="1" outlineLevel="1" x14ac:dyDescent="0.25">
      <c r="B59"/>
      <c r="C59" s="1" t="s">
        <v>615</v>
      </c>
    </row>
    <row r="60" spans="2:14" ht="15.75" hidden="1" outlineLevel="1" x14ac:dyDescent="0.25">
      <c r="B60"/>
      <c r="C60" s="81" t="s">
        <v>221</v>
      </c>
    </row>
    <row r="61" spans="2:14" hidden="1" outlineLevel="1" x14ac:dyDescent="0.25">
      <c r="B61"/>
      <c r="C61" s="23" t="s">
        <v>286</v>
      </c>
      <c r="D61" s="23" t="s">
        <v>9</v>
      </c>
      <c r="E61" s="23" t="s">
        <v>282</v>
      </c>
      <c r="F61" s="23" t="s">
        <v>92</v>
      </c>
      <c r="G61" s="61">
        <f>SUMIFS(Calc_NetworkV_1[Ausnet],Calc_NetworkV_1[Cost item],$C60,Calc_NetworkV_1[Customer type],$F61)</f>
        <v>0.11450300000000001</v>
      </c>
      <c r="H61" s="61">
        <f>SUMIFS(Calc_NetworkV_1[Citipower],Calc_NetworkV_1[[Cost item]:[Cost item]],$C60,Calc_NetworkV_1[[Customer type]:[Customer type]],$F61)</f>
        <v>0</v>
      </c>
      <c r="I61" s="61">
        <f>SUMIFS(Calc_NetworkV_1[Jemena],Calc_NetworkV_1[[Cost item]:[Cost item]],$C60,Calc_NetworkV_1[[Customer type]:[Customer type]],$F61)</f>
        <v>0</v>
      </c>
      <c r="J61" s="61">
        <f>SUMIFS(Calc_NetworkV_1[Powercor],Calc_NetworkV_1[[Cost item]:[Cost item]],$C60,Calc_NetworkV_1[[Customer type]:[Customer type]],$F61)</f>
        <v>0</v>
      </c>
      <c r="K61" s="61">
        <f>SUMIFS(Calc_NetworkV_1[United Energy],Calc_NetworkV_1[[Cost item]:[Cost item]],$C60,Calc_NetworkV_1[[Customer type]:[Customer type]],$F61)</f>
        <v>0</v>
      </c>
    </row>
    <row r="62" spans="2:14" hidden="1" outlineLevel="1" x14ac:dyDescent="0.25">
      <c r="B62"/>
      <c r="C62" s="23" t="s">
        <v>280</v>
      </c>
      <c r="D62" s="23" t="s">
        <v>9</v>
      </c>
      <c r="E62" s="23" t="s">
        <v>282</v>
      </c>
      <c r="F62" s="23" t="s">
        <v>92</v>
      </c>
      <c r="G62" s="61">
        <f>SUMIFS(Calc_Variable_1[Ausnet],Calc_Variable_1[Customer type],"All")+SUMIFS(Calc_Variable_1[Ausnet],Calc_Variable_1[Customer type],$F62)</f>
        <v>0.11589172525016041</v>
      </c>
      <c r="H62" s="61">
        <f>SUMIFS(Calc_Variable_1[Citipower],Calc_Variable_1[[Customer type]:[Customer type]],"All")+SUMIFS(Calc_Variable_1[Citipower],Calc_Variable_1[[Customer type]:[Customer type]],$F62)</f>
        <v>0.10606754166272182</v>
      </c>
      <c r="I62" s="61">
        <f>SUMIFS(Calc_Variable_1[Jemena],Calc_Variable_1[[Customer type]:[Customer type]],"All")+SUMIFS(Calc_Variable_1[Jemena],Calc_Variable_1[[Customer type]:[Customer type]],$F62)</f>
        <v>0.11269464821858671</v>
      </c>
      <c r="J62" s="61">
        <f>SUMIFS(Calc_Variable_1[Powercor],Calc_Variable_1[[Customer type]:[Customer type]],"All")+SUMIFS(Calc_Variable_1[Powercor],Calc_Variable_1[[Customer type]:[Customer type]],$F62)</f>
        <v>0.11322997490653358</v>
      </c>
      <c r="K62" s="61">
        <f>SUMIFS(Calc_Variable_1[United Energy],Calc_Variable_1[[Customer type]:[Customer type]],"All")+SUMIFS(Calc_Variable_1[United Energy],Calc_Variable_1[[Customer type]:[Customer type]],$F62)</f>
        <v>0.11264425429649613</v>
      </c>
    </row>
    <row r="63" spans="2:14" hidden="1" outlineLevel="1" x14ac:dyDescent="0.25">
      <c r="B63"/>
      <c r="C63" s="23" t="s">
        <v>203</v>
      </c>
      <c r="D63" s="23" t="s">
        <v>9</v>
      </c>
      <c r="E63" s="23" t="s">
        <v>282</v>
      </c>
      <c r="F63" s="23" t="s">
        <v>92</v>
      </c>
      <c r="G63" s="73" cm="1">
        <f t="array" ref="G63">IF(G61=0,"-",
(G61+G62)*Calc_ROM_1[Ausnet])</f>
        <v>1.3915841405109689E-2</v>
      </c>
      <c r="H63" s="73" t="str" cm="1">
        <f t="array" ref="H63">IF(H61=0,"-",
(H61+H62)*Calc_ROM_1[Citipower])</f>
        <v>-</v>
      </c>
      <c r="I63" s="73" t="str" cm="1">
        <f t="array" ref="I63">IF(I61=0,"-",
(I61+I62)*Calc_ROM_1[Jemena])</f>
        <v>-</v>
      </c>
      <c r="J63" s="73" t="str" cm="1">
        <f t="array" ref="J63">IF(J61=0,"-",
(J61+J62)*Calc_ROM_1[Powercor])</f>
        <v>-</v>
      </c>
      <c r="K63" s="73" t="str" cm="1">
        <f t="array" ref="K63">IF(K61=0,"-",
(K61+K62)*Calc_ROM_1[United Energy])</f>
        <v>-</v>
      </c>
    </row>
    <row r="64" spans="2:14" hidden="1" outlineLevel="1" x14ac:dyDescent="0.25">
      <c r="B64"/>
      <c r="C64" s="23" t="s">
        <v>277</v>
      </c>
      <c r="D64" s="23" t="s">
        <v>9</v>
      </c>
      <c r="E64" s="23" t="s">
        <v>282</v>
      </c>
      <c r="F64" s="23" t="s">
        <v>92</v>
      </c>
      <c r="G64" s="73">
        <f>IF(G61=0,"-",
(G61+G62+G63)*GST)</f>
        <v>2.4431056665527012E-2</v>
      </c>
      <c r="H64" s="73" t="str">
        <f>IF(H61=0,"-",
(SUMIFS(#REF!,#REF!,$F61)+H61+H63)*GST)</f>
        <v>-</v>
      </c>
      <c r="I64" s="73" t="str">
        <f>IF(I61=0,"-",
(SUMIFS(#REF!,#REF!,$F61)+I61+I63)*GST)</f>
        <v>-</v>
      </c>
      <c r="J64" s="73" t="str">
        <f>IF(J61=0,"-",
(SUMIFS(#REF!,#REF!,$F61)+J61+J63)*GST)</f>
        <v>-</v>
      </c>
      <c r="K64" s="73" t="str">
        <f>IF(K61=0,"-",
(SUMIFS(#REF!,#REF!,$F61)+K61+K63)*GST)</f>
        <v>-</v>
      </c>
    </row>
    <row r="65" spans="2:11" hidden="1" outlineLevel="1" x14ac:dyDescent="0.25">
      <c r="B65"/>
      <c r="C65" s="23" t="str">
        <f>C60&amp;" charge"</f>
        <v>Block 1 charge</v>
      </c>
      <c r="D65" s="23" t="s">
        <v>9</v>
      </c>
      <c r="E65" s="23" t="s">
        <v>282</v>
      </c>
      <c r="F65" s="23" t="s">
        <v>92</v>
      </c>
      <c r="G65" s="74">
        <f>IF(G61=0,"-",
SUM(G61:G64))</f>
        <v>0.2687416233207971</v>
      </c>
      <c r="H65" s="74" t="str">
        <f t="shared" ref="H65:K65" si="13">IF(H61=0,"-",
SUM(H61:H64))</f>
        <v>-</v>
      </c>
      <c r="I65" s="74" t="str">
        <f t="shared" si="13"/>
        <v>-</v>
      </c>
      <c r="J65" s="74" t="str">
        <f t="shared" si="13"/>
        <v>-</v>
      </c>
      <c r="K65" s="74" t="str">
        <f t="shared" si="13"/>
        <v>-</v>
      </c>
    </row>
    <row r="66" spans="2:11" hidden="1" outlineLevel="1" x14ac:dyDescent="0.25">
      <c r="B66"/>
      <c r="G66" s="110" cm="1">
        <f t="array" ref="G66">IF($D$5='Lookup refs'!$D$25,
IF(G65=INDEX(RateCheck_VDO2021F[[Ausnet]:[United Energy]],MATCH(IF(OR(Calc_Rates!$C65="Single rate charge",Calc_Rates!$C65="Block 1 charge",Calc_Rates!$C65="Balance charge"),"Anytime - ","TOU - ")&amp;Calc_Rates!$C65&amp;"_"&amp;Calc_Rates!$F65,RateCheck_VDO2021F[Rate],0),MATCH(Calc_Rates!G$9,RateCheck_VDO2021F[[#Headers],[Ausnet]:[United Energy]],0)),0,1),
IF(G65="-","-",
IF(ROUND(G65,8)=ROUND((((
SUMIFS(Calc_Variable_1[Ausnet],Calc_Variable_1[Customer type],Calc_Rates!$F65)+
SUMIFS(Calc_Variable_1[Ausnet],Calc_Variable_1[Customer type],"All")+G61)*(1+Calc_ROM_1[Ausnet]))*(1+GST)),8),0,1)))</f>
        <v>0</v>
      </c>
      <c r="H66" s="110" t="str" cm="1">
        <f t="array" ref="H66">IF($D$5='Lookup refs'!$D$25,
IF(H65=INDEX(RateCheck_VDO2021F[[Ausnet]:[United Energy]],MATCH(IF(OR(Calc_Rates!$C65="Single rate charge",Calc_Rates!$C65="Block 1 charge",Calc_Rates!$C65="Balance charge"),"Anytime - ","TOU - ")&amp;Calc_Rates!$C65&amp;"_"&amp;Calc_Rates!$F65,RateCheck_VDO2021F[Rate],0),MATCH(Calc_Rates!H$9,RateCheck_VDO2021F[[#Headers],[Ausnet]:[United Energy]],0)),0,1),
IF(H65="-","-",
IF(ROUND(H65,8)=ROUND((((
SUMIFS(Calc_Variable_1[Citipower],Calc_Variable_1[Customer type],Calc_Rates!$F65)+
SUMIFS(Calc_Variable_1[Citipower],Calc_Variable_1[Customer type],"All")+H61)*(1+Calc_ROM_1[Citipower]))*(1+GST)),8),0,1)))</f>
        <v>-</v>
      </c>
      <c r="I66" s="110" t="str" cm="1">
        <f t="array" ref="I66">IF($D$5='Lookup refs'!$D$25,
IF(I65=INDEX(RateCheck_VDO2021F[[Ausnet]:[United Energy]],MATCH(IF(OR(Calc_Rates!$C65="Single rate charge",Calc_Rates!$C65="Block 1 charge",Calc_Rates!$C65="Balance charge"),"Anytime - ","TOU - ")&amp;Calc_Rates!$C65&amp;"_"&amp;Calc_Rates!$F65,RateCheck_VDO2021F[Rate],0),MATCH(Calc_Rates!I$9,RateCheck_VDO2021F[[#Headers],[Ausnet]:[United Energy]],0)),0,1),
IF(I65="-","-",
IF(ROUND(I65,8)=ROUND((((
SUMIFS(Calc_Variable_1[Jemena],Calc_Variable_1[Customer type],Calc_Rates!$F65)+
SUMIFS(Calc_Variable_1[Jemena],Calc_Variable_1[Customer type],"All")+I61)*(1+Calc_ROM_1[Jemena]))*(1+GST)),8),0,1)))</f>
        <v>-</v>
      </c>
      <c r="J66" s="110" t="str" cm="1">
        <f t="array" ref="J66">IF($D$5='Lookup refs'!$D$25,
IF(J65=INDEX(RateCheck_VDO2021F[[Ausnet]:[United Energy]],MATCH(IF(OR(Calc_Rates!$C65="Single rate charge",Calc_Rates!$C65="Block 1 charge",Calc_Rates!$C65="Balance charge"),"Anytime - ","TOU - ")&amp;Calc_Rates!$C65&amp;"_"&amp;Calc_Rates!$F65,RateCheck_VDO2021F[Rate],0),MATCH(Calc_Rates!J$9,RateCheck_VDO2021F[[#Headers],[Ausnet]:[United Energy]],0)),0,1),
IF(J65="-","-",
IF(ROUND(J65,8)=ROUND((((
SUMIFS(Calc_Variable_1[Powercor],Calc_Variable_1[Customer type],Calc_Rates!$F65)+
SUMIFS(Calc_Variable_1[Powercor],Calc_Variable_1[Customer type],"All")+J61)*(1+Calc_ROM_1[Powercor]))*(1+GST)),8),0,1)))</f>
        <v>-</v>
      </c>
      <c r="K66" s="110" t="str" cm="1">
        <f t="array" ref="K66">IF($D$5='Lookup refs'!$D$25,
IF(K65=INDEX(RateCheck_VDO2021F[[Ausnet]:[United Energy]],MATCH(IF(OR(Calc_Rates!$C65="Single rate charge",Calc_Rates!$C65="Block 1 charge",Calc_Rates!$C65="Balance charge"),"Anytime - ","TOU - ")&amp;Calc_Rates!$C65&amp;"_"&amp;Calc_Rates!$F65,RateCheck_VDO2021F[Rate],0),MATCH(Calc_Rates!K$9,RateCheck_VDO2021F[[#Headers],[Ausnet]:[United Energy]],0)),0,1),
IF(K65="-","-",
IF(ROUND(K65,8)=ROUND((((
SUMIFS(Calc_Variable_1[United Energy],Calc_Variable_1[[Customer type]:[Customer type]],Calc_Rates!$F65)+
SUMIFS(Calc_Variable_1[United Energy],Calc_Variable_1[[Customer type]:[Customer type]],"All")+K61)*(1+Calc_ROM_1[United Energy]))*(1+GST)),8),0,1)))</f>
        <v>-</v>
      </c>
    </row>
    <row r="67" spans="2:11" ht="15.75" hidden="1" outlineLevel="1" x14ac:dyDescent="0.25">
      <c r="B67"/>
      <c r="C67" s="81" t="s">
        <v>228</v>
      </c>
    </row>
    <row r="68" spans="2:11" hidden="1" outlineLevel="1" x14ac:dyDescent="0.25">
      <c r="B68"/>
      <c r="C68" s="23" t="s">
        <v>286</v>
      </c>
      <c r="D68" s="23" t="s">
        <v>9</v>
      </c>
      <c r="E68" s="23" t="s">
        <v>282</v>
      </c>
      <c r="F68" s="23" t="s">
        <v>92</v>
      </c>
      <c r="G68" s="61">
        <f>SUMIFS(Calc_NetworkV_1[Ausnet],Calc_NetworkV_1[[Cost item]:[Cost item]],$C67,Calc_NetworkV_1[[Customer type]:[Customer type]],$F68)</f>
        <v>0.128382</v>
      </c>
      <c r="H68" s="61">
        <f>SUMIFS(Calc_NetworkV_1[Citipower],Calc_NetworkV_1[[Cost item]:[Cost item]],$C67,Calc_NetworkV_1[[Customer type]:[Customer type]],$F68)</f>
        <v>0</v>
      </c>
      <c r="I68" s="61">
        <f>SUMIFS(Calc_NetworkV_1[Jemena],Calc_NetworkV_1[[Cost item]:[Cost item]],$C67,Calc_NetworkV_1[[Customer type]:[Customer type]],$F68)</f>
        <v>0</v>
      </c>
      <c r="J68" s="61">
        <f>SUMIFS(Calc_NetworkV_1[Powercor],Calc_NetworkV_1[[Cost item]:[Cost item]],$C67,Calc_NetworkV_1[[Customer type]:[Customer type]],$F68)</f>
        <v>0</v>
      </c>
      <c r="K68" s="61">
        <f>SUMIFS(Calc_NetworkV_1[United Energy],Calc_NetworkV_1[[Cost item]:[Cost item]],$C67,Calc_NetworkV_1[[Customer type]:[Customer type]],$F68)</f>
        <v>0</v>
      </c>
    </row>
    <row r="69" spans="2:11" hidden="1" outlineLevel="1" x14ac:dyDescent="0.25">
      <c r="B69"/>
      <c r="C69" s="23" t="s">
        <v>280</v>
      </c>
      <c r="D69" s="23" t="s">
        <v>9</v>
      </c>
      <c r="E69" s="23" t="s">
        <v>282</v>
      </c>
      <c r="F69" s="23" t="s">
        <v>92</v>
      </c>
      <c r="G69" s="61">
        <f>SUMIFS(Calc_Variable_1[Ausnet],Calc_Variable_1[[Customer type]:[Customer type]],"All")+SUMIFS(Calc_Variable_1[Ausnet],Calc_Variable_1[[Customer type]:[Customer type]],$F69)</f>
        <v>0.11589172525016041</v>
      </c>
      <c r="H69" s="61">
        <f>SUMIFS(Calc_Variable_1[Citipower],Calc_Variable_1[[Customer type]:[Customer type]],"All")+SUMIFS(Calc_Variable_1[Citipower],Calc_Variable_1[[Customer type]:[Customer type]],$F69)</f>
        <v>0.10606754166272182</v>
      </c>
      <c r="I69" s="61">
        <f>SUMIFS(Calc_Variable_1[Jemena],Calc_Variable_1[[Customer type]:[Customer type]],"All")+SUMIFS(Calc_Variable_1[Jemena],Calc_Variable_1[[Customer type]:[Customer type]],$F69)</f>
        <v>0.11269464821858671</v>
      </c>
      <c r="J69" s="61">
        <f>SUMIFS(Calc_Variable_1[Powercor],Calc_Variable_1[[Customer type]:[Customer type]],"All")+SUMIFS(Calc_Variable_1[Powercor],Calc_Variable_1[[Customer type]:[Customer type]],$F69)</f>
        <v>0.11322997490653358</v>
      </c>
      <c r="K69" s="61">
        <f>SUMIFS(Calc_Variable_1[United Energy],Calc_Variable_1[[Customer type]:[Customer type]],"All")+SUMIFS(Calc_Variable_1[United Energy],Calc_Variable_1[[Customer type]:[Customer type]],$F69)</f>
        <v>0.11264425429649613</v>
      </c>
    </row>
    <row r="70" spans="2:11" hidden="1" outlineLevel="1" x14ac:dyDescent="0.25">
      <c r="B70"/>
      <c r="C70" s="23" t="s">
        <v>203</v>
      </c>
      <c r="D70" s="23" t="s">
        <v>9</v>
      </c>
      <c r="E70" s="23" t="s">
        <v>282</v>
      </c>
      <c r="F70" s="23" t="s">
        <v>92</v>
      </c>
      <c r="G70" s="73" cm="1">
        <f t="array" ref="G70">IF(G68=0,"-",
(G68+G69)*Calc_ROM_1[Ausnet])</f>
        <v>1.4754133005109688E-2</v>
      </c>
      <c r="H70" s="73" t="str" cm="1">
        <f t="array" ref="H70">IF(H68=0,"-",
(H68+H69)*Calc_ROM_1[Citipower])</f>
        <v>-</v>
      </c>
      <c r="I70" s="73" t="str" cm="1">
        <f t="array" ref="I70">IF(I68=0,"-",
(I68+I69)*Calc_ROM_1[Jemena])</f>
        <v>-</v>
      </c>
      <c r="J70" s="73" t="str" cm="1">
        <f t="array" ref="J70">IF(J68=0,"-",
(J68+J69)*Calc_ROM_1[Powercor])</f>
        <v>-</v>
      </c>
      <c r="K70" s="73" t="str" cm="1">
        <f t="array" ref="K70">IF(K68=0,"-",
(K68+K69)*Calc_ROM_1[United Energy])</f>
        <v>-</v>
      </c>
    </row>
    <row r="71" spans="2:11" hidden="1" outlineLevel="1" x14ac:dyDescent="0.25">
      <c r="B71"/>
      <c r="C71" s="23" t="s">
        <v>277</v>
      </c>
      <c r="D71" s="23" t="s">
        <v>9</v>
      </c>
      <c r="E71" s="23" t="s">
        <v>282</v>
      </c>
      <c r="F71" s="23" t="s">
        <v>92</v>
      </c>
      <c r="G71" s="73">
        <f>IF(G68=0,"-",
(G68+G69+G70)*GST)</f>
        <v>2.5902785825527009E-2</v>
      </c>
      <c r="H71" s="73" t="str">
        <f>IF(H68=0,"-",
(SUMIFS(#REF!,#REF!,$F68)+H68+H70)*GST)</f>
        <v>-</v>
      </c>
      <c r="I71" s="73" t="str">
        <f>IF(I68=0,"-",
(SUMIFS(#REF!,#REF!,$F68)+I68+I70)*GST)</f>
        <v>-</v>
      </c>
      <c r="J71" s="73" t="str">
        <f>IF(J68=0,"-",
(SUMIFS(#REF!,#REF!,$F68)+J68+J70)*GST)</f>
        <v>-</v>
      </c>
      <c r="K71" s="73" t="str">
        <f>IF(K68=0,"-",
(SUMIFS(#REF!,#REF!,$F68)+K68+K70)*GST)</f>
        <v>-</v>
      </c>
    </row>
    <row r="72" spans="2:11" hidden="1" outlineLevel="1" x14ac:dyDescent="0.25">
      <c r="B72"/>
      <c r="C72" s="23" t="str">
        <f>C67&amp;" charge"</f>
        <v>Balance charge</v>
      </c>
      <c r="D72" s="23" t="s">
        <v>9</v>
      </c>
      <c r="E72" s="23" t="s">
        <v>282</v>
      </c>
      <c r="F72" s="23" t="s">
        <v>92</v>
      </c>
      <c r="G72" s="74">
        <f>IF(G68=0,"-",
SUM(G68:G71))</f>
        <v>0.2849306440807971</v>
      </c>
      <c r="H72" s="74" t="str">
        <f t="shared" ref="H72" si="14">IF(H68=0,"-",
SUM(H68:H71))</f>
        <v>-</v>
      </c>
      <c r="I72" s="74" t="str">
        <f t="shared" ref="I72" si="15">IF(I68=0,"-",
SUM(I68:I71))</f>
        <v>-</v>
      </c>
      <c r="J72" s="74" t="str">
        <f t="shared" ref="J72" si="16">IF(J68=0,"-",
SUM(J68:J71))</f>
        <v>-</v>
      </c>
      <c r="K72" s="74" t="str">
        <f t="shared" ref="K72" si="17">IF(K68=0,"-",
SUM(K68:K71))</f>
        <v>-</v>
      </c>
    </row>
    <row r="73" spans="2:11" hidden="1" outlineLevel="1" x14ac:dyDescent="0.25">
      <c r="B73"/>
      <c r="G73" s="110" cm="1">
        <f t="array" ref="G73">IF($D$5='Lookup refs'!$D$25,
IF(G72=INDEX(RateCheck_VDO2021F[[Ausnet]:[United Energy]],MATCH(IF(OR(Calc_Rates!$C72="Single rate charge",Calc_Rates!$C72="Block 1 charge",Calc_Rates!$C72="Balance charge"),"Anytime - ","TOU - ")&amp;Calc_Rates!$C72&amp;"_"&amp;Calc_Rates!$F72,RateCheck_VDO2021F[Rate],0),MATCH(Calc_Rates!G$9,RateCheck_VDO2021F[[#Headers],[Ausnet]:[United Energy]],0)),0,1),
IF(G72="-","-",
IF(ROUND(G72,8)=ROUND((((
SUMIFS(Calc_Variable_1[Ausnet],Calc_Variable_1[Customer type],Calc_Rates!$F72)+
SUMIFS(Calc_Variable_1[Ausnet],Calc_Variable_1[Customer type],"All")+G68)*(1+Calc_ROM_1[Ausnet]))*(1+GST)),8),0,1)))</f>
        <v>0</v>
      </c>
      <c r="H73" s="110" t="str" cm="1">
        <f t="array" ref="H73">IF($D$5='Lookup refs'!$D$25,
IF(H72=INDEX(RateCheck_VDO2021F[[Ausnet]:[United Energy]],MATCH(IF(OR(Calc_Rates!$C72="Single rate charge",Calc_Rates!$C72="Block 1 charge",Calc_Rates!$C72="Balance charge"),"Anytime - ","TOU - ")&amp;Calc_Rates!$C72&amp;"_"&amp;Calc_Rates!$F72,RateCheck_VDO2021F[Rate],0),MATCH(Calc_Rates!H$9,RateCheck_VDO2021F[[#Headers],[Ausnet]:[United Energy]],0)),0,1),
IF(H72="-","-",
IF(ROUND(H72,8)=ROUND((((
SUMIFS(Calc_Variable_1[Citipower],Calc_Variable_1[Customer type],Calc_Rates!$F72)+
SUMIFS(Calc_Variable_1[Citipower],Calc_Variable_1[Customer type],"All")+H68)*(1+Calc_ROM_1[Citipower]))*(1+GST)),8),0,1)))</f>
        <v>-</v>
      </c>
      <c r="I73" s="110" t="str" cm="1">
        <f t="array" ref="I73">IF($D$5='Lookup refs'!$D$25,
IF(I72=INDEX(RateCheck_VDO2021F[[Ausnet]:[United Energy]],MATCH(IF(OR(Calc_Rates!$C72="Single rate charge",Calc_Rates!$C72="Block 1 charge",Calc_Rates!$C72="Balance charge"),"Anytime - ","TOU - ")&amp;Calc_Rates!$C72&amp;"_"&amp;Calc_Rates!$F72,RateCheck_VDO2021F[Rate],0),MATCH(Calc_Rates!I$9,RateCheck_VDO2021F[[#Headers],[Ausnet]:[United Energy]],0)),0,1),
IF(I72="-","-",
IF(ROUND(I72,8)=ROUND((((
SUMIFS(Calc_Variable_1[Jemena],Calc_Variable_1[Customer type],Calc_Rates!$F72)+
SUMIFS(Calc_Variable_1[Jemena],Calc_Variable_1[Customer type],"All")+I68)*(1+Calc_ROM_1[Jemena]))*(1+GST)),8),0,1)))</f>
        <v>-</v>
      </c>
      <c r="J73" s="110" t="str" cm="1">
        <f t="array" ref="J73">IF($D$5='Lookup refs'!$D$25,
IF(J72=INDEX(RateCheck_VDO2021F[[Ausnet]:[United Energy]],MATCH(IF(OR(Calc_Rates!$C72="Single rate charge",Calc_Rates!$C72="Block 1 charge",Calc_Rates!$C72="Balance charge"),"Anytime - ","TOU - ")&amp;Calc_Rates!$C72&amp;"_"&amp;Calc_Rates!$F72,RateCheck_VDO2021F[Rate],0),MATCH(Calc_Rates!J$9,RateCheck_VDO2021F[[#Headers],[Ausnet]:[United Energy]],0)),0,1),
IF(J72="-","-",
IF(ROUND(J72,8)=ROUND((((
SUMIFS(Calc_Variable_1[Powercor],Calc_Variable_1[[Customer type]:[Customer type]],Calc_Rates!$F72)+
SUMIFS(Calc_Variable_1[Powercor],Calc_Variable_1[[Customer type]:[Customer type]],"All")+J68)*(1+Calc_ROM_1[Powercor]))*(1+GST)),8),0,1)))</f>
        <v>-</v>
      </c>
      <c r="K73" s="110" t="str" cm="1">
        <f t="array" ref="K73">IF($D$5='Lookup refs'!$D$25,
IF(K72=INDEX(RateCheck_VDO2021F[[Ausnet]:[United Energy]],MATCH(IF(OR(Calc_Rates!$C72="Single rate charge",Calc_Rates!$C72="Block 1 charge",Calc_Rates!$C72="Balance charge"),"Anytime - ","TOU - ")&amp;Calc_Rates!$C72&amp;"_"&amp;Calc_Rates!$F72,RateCheck_VDO2021F[[Rate]:[Rate]],0),MATCH(Calc_Rates!K$9,RateCheck_VDO2021F[[#Headers],[Ausnet]:[United Energy]],0)),0,1),
IF(K72="-","-",
IF(ROUND(K72,8)=ROUND((((
SUMIFS(Calc_Variable_1[United Energy],Calc_Variable_1[[Customer type]:[Customer type]],Calc_Rates!$F72)+
SUMIFS(Calc_Variable_1[United Energy],Calc_Variable_1[[Customer type]:[Customer type]],"All")+K68)*(1+Calc_ROM_1[United Energy]))*(1+GST)),8),0,1)))</f>
        <v>-</v>
      </c>
    </row>
    <row r="74" spans="2:11" ht="15.75" hidden="1" outlineLevel="1" x14ac:dyDescent="0.25">
      <c r="B74"/>
      <c r="C74" s="81" t="s">
        <v>549</v>
      </c>
    </row>
    <row r="75" spans="2:11" hidden="1" outlineLevel="1" x14ac:dyDescent="0.25">
      <c r="B75"/>
      <c r="C75" s="23" t="s">
        <v>286</v>
      </c>
      <c r="D75" s="23" t="s">
        <v>9</v>
      </c>
      <c r="E75" s="23" t="s">
        <v>282</v>
      </c>
      <c r="F75" s="23" t="s">
        <v>92</v>
      </c>
      <c r="G75" s="61">
        <f>SUMIFS(Calc_NetworkV_1[Ausnet],Calc_NetworkV_1[[Cost item]:[Cost item]],$C74,Calc_NetworkV_1[[Customer type]:[Customer type]],$F75)</f>
        <v>0</v>
      </c>
      <c r="H75" s="61">
        <f>SUMIFS(Calc_NetworkV_1[Citipower],Calc_NetworkV_1[[Cost item]:[Cost item]],$C74,Calc_NetworkV_1[[Customer type]:[Customer type]],$F75)</f>
        <v>8.0500000000000002E-2</v>
      </c>
      <c r="I75" s="61">
        <f>SUMIFS(Calc_NetworkV_1[Jemena],Calc_NetworkV_1[[Cost item]:[Cost item]],$C74,Calc_NetworkV_1[[Customer type]:[Customer type]],$F75)</f>
        <v>8.6699999999999999E-2</v>
      </c>
      <c r="J75" s="61">
        <f>SUMIFS(Calc_NetworkV_1[Powercor],Calc_NetworkV_1[[Cost item]:[Cost item]],$C74,Calc_NetworkV_1[[Customer type]:[Customer type]],$F75)</f>
        <v>8.1500000000000003E-2</v>
      </c>
      <c r="K75" s="61">
        <f>SUMIFS(Calc_NetworkV_1[United Energy],Calc_NetworkV_1[[Cost item]:[Cost item]],$C74,Calc_NetworkV_1[[Customer type]:[Customer type]],$F75)</f>
        <v>7.9899999999999999E-2</v>
      </c>
    </row>
    <row r="76" spans="2:11" hidden="1" outlineLevel="1" x14ac:dyDescent="0.25">
      <c r="B76"/>
      <c r="C76" s="23" t="s">
        <v>280</v>
      </c>
      <c r="D76" s="23" t="s">
        <v>9</v>
      </c>
      <c r="E76" s="23" t="s">
        <v>282</v>
      </c>
      <c r="F76" s="23" t="s">
        <v>92</v>
      </c>
      <c r="G76" s="61">
        <f>SUMIFS(Calc_Variable_1[Ausnet],Calc_Variable_1[[Customer type]:[Customer type]],"All")+SUMIFS(Calc_Variable_1[Ausnet],Calc_Variable_1[[Customer type]:[Customer type]],$F76)</f>
        <v>0.11589172525016041</v>
      </c>
      <c r="H76" s="61">
        <f>SUMIFS(Calc_Variable_1[Citipower],Calc_Variable_1[[Customer type]:[Customer type]],"All")+SUMIFS(Calc_Variable_1[Citipower],Calc_Variable_1[[Customer type]:[Customer type]],$F76)</f>
        <v>0.10606754166272182</v>
      </c>
      <c r="I76" s="61">
        <f>SUMIFS(Calc_Variable_1[Jemena],Calc_Variable_1[[Customer type]:[Customer type]],"All")+SUMIFS(Calc_Variable_1[Jemena],Calc_Variable_1[[Customer type]:[Customer type]],$F76)</f>
        <v>0.11269464821858671</v>
      </c>
      <c r="J76" s="61">
        <f>SUMIFS(Calc_Variable_1[Powercor],Calc_Variable_1[[Customer type]:[Customer type]],"All")+SUMIFS(Calc_Variable_1[Powercor],Calc_Variable_1[[Customer type]:[Customer type]],$F76)</f>
        <v>0.11322997490653358</v>
      </c>
      <c r="K76" s="61">
        <f>SUMIFS(Calc_Variable_1[United Energy],Calc_Variable_1[[Customer type]:[Customer type]],"All")+SUMIFS(Calc_Variable_1[United Energy],Calc_Variable_1[[Customer type]:[Customer type]],$F76)</f>
        <v>0.11264425429649613</v>
      </c>
    </row>
    <row r="77" spans="2:11" hidden="1" outlineLevel="1" x14ac:dyDescent="0.25">
      <c r="B77"/>
      <c r="C77" s="23" t="s">
        <v>203</v>
      </c>
      <c r="D77" s="23" t="s">
        <v>9</v>
      </c>
      <c r="E77" s="23" t="s">
        <v>282</v>
      </c>
      <c r="F77" s="23" t="s">
        <v>92</v>
      </c>
      <c r="G77" s="73" t="str" cm="1">
        <f t="array" ref="G77">IF(G75=0,"-",
(G75+G76)*Calc_ROM_1[Ausnet])</f>
        <v>-</v>
      </c>
      <c r="H77" s="73" cm="1">
        <f t="array" ref="H77">IF(H75=0,"-",
(H75+H76)*Calc_ROM_1[Ausnet])</f>
        <v>1.1268679516428399E-2</v>
      </c>
      <c r="I77" s="73" cm="1">
        <f t="array" ref="I77">IF(I75=0,"-",
(I75+I76)*Calc_ROM_1[Ausnet])</f>
        <v>1.2043436752402638E-2</v>
      </c>
      <c r="J77" s="73" cm="1">
        <f t="array" ref="J77">IF(J75=0,"-",
(J75+J76)*Calc_ROM_1[Ausnet])</f>
        <v>1.1761690484354629E-2</v>
      </c>
      <c r="K77" s="73" cm="1">
        <f t="array" ref="K77">IF(K75=0,"-",
(K75+K76)*Calc_ROM_1[Ausnet])</f>
        <v>1.1629672959508367E-2</v>
      </c>
    </row>
    <row r="78" spans="2:11" hidden="1" outlineLevel="1" x14ac:dyDescent="0.25">
      <c r="B78"/>
      <c r="C78" s="23" t="s">
        <v>277</v>
      </c>
      <c r="D78" s="23" t="s">
        <v>9</v>
      </c>
      <c r="E78" s="23" t="s">
        <v>282</v>
      </c>
      <c r="F78" s="23" t="s">
        <v>92</v>
      </c>
      <c r="G78" s="73" t="str">
        <f>IF(G75=0,"-",
(G75+G76+G77)*GST)</f>
        <v>-</v>
      </c>
      <c r="H78" s="73">
        <f>IF(H75=0,"-",
(H75+H76+H77)*GST)</f>
        <v>1.9783622117915026E-2</v>
      </c>
      <c r="I78" s="73">
        <f>IF(I75=0,"-",
(I75+I76+I77)*GST)</f>
        <v>2.1143808497098935E-2</v>
      </c>
      <c r="J78" s="73">
        <f>IF(J75=0,"-",
(J75+J76+J77)*GST)</f>
        <v>2.0649166539088826E-2</v>
      </c>
      <c r="K78" s="73">
        <f>IF(K75=0,"-",
(K75+K76+K77)*GST)</f>
        <v>2.0417392725600451E-2</v>
      </c>
    </row>
    <row r="79" spans="2:11" hidden="1" outlineLevel="1" x14ac:dyDescent="0.25">
      <c r="B79"/>
      <c r="C79" s="23" t="str">
        <f>C74&amp;" charge"</f>
        <v>Single rate charge</v>
      </c>
      <c r="D79" s="23" t="s">
        <v>9</v>
      </c>
      <c r="E79" s="23" t="s">
        <v>282</v>
      </c>
      <c r="F79" s="23" t="s">
        <v>92</v>
      </c>
      <c r="G79" s="74" t="str">
        <f>IF(G75=0,"-",
SUM(G75:G78))</f>
        <v>-</v>
      </c>
      <c r="H79" s="74">
        <f>IF(H75=0,"-",
SUM(H75:H78))</f>
        <v>0.21761984329706524</v>
      </c>
      <c r="I79" s="74">
        <f t="shared" ref="I79:K79" si="18">IF(I75=0,"-",
SUM(I75:I78))</f>
        <v>0.23258189346808827</v>
      </c>
      <c r="J79" s="74">
        <f t="shared" si="18"/>
        <v>0.22714083192997706</v>
      </c>
      <c r="K79" s="74">
        <f t="shared" si="18"/>
        <v>0.22459131998160495</v>
      </c>
    </row>
    <row r="80" spans="2:11" hidden="1" outlineLevel="1" x14ac:dyDescent="0.25">
      <c r="B80"/>
      <c r="G80" s="110" t="str" cm="1">
        <f t="array" ref="G80">IF($D$5='Lookup refs'!$D$25,
IF(G79=INDEX(RateCheck_VDO2021F[[Ausnet]:[United Energy]],MATCH(IF(OR(Calc_Rates!$C79="Single rate charge",Calc_Rates!$C79="Block 1 charge",Calc_Rates!$C79="Balance charge"),"Anytime - ","TOU - ")&amp;Calc_Rates!$C79&amp;"_"&amp;Calc_Rates!$F79,RateCheck_VDO2021F[Rate],0),MATCH(Calc_Rates!G$9,RateCheck_VDO2021F[[#Headers],[Ausnet]:[United Energy]],0)),0,1),
IF(G79="-","-",
IF(ROUND(G79,8)=ROUND((((
SUMIFS(Calc_Variable_1[Ausnet],Calc_Variable_1[Customer type],Calc_Rates!$F79)+
SUMIFS(Calc_Variable_1[Ausnet],Calc_Variable_1[Customer type],"All")+G75)*(1+Calc_ROM_1[Ausnet]))*(1+GST)),8),0,1)))</f>
        <v>-</v>
      </c>
      <c r="H80" s="110" cm="1">
        <f t="array" ref="H80">IF($D$5='Lookup refs'!$D$25,
IF(H79=INDEX(RateCheck_VDO2021F[[Ausnet]:[United Energy]],MATCH(IF(OR(Calc_Rates!$C79="Single rate charge",Calc_Rates!$C79="Block 1 charge",Calc_Rates!$C79="Balance charge"),"Anytime - ","TOU - ")&amp;Calc_Rates!$C79&amp;"_"&amp;Calc_Rates!$F79,RateCheck_VDO2021F[Rate],0),MATCH(Calc_Rates!H$9,RateCheck_VDO2021F[[#Headers],[Ausnet]:[United Energy]],0)),0,1),
IF(H79="-","-",
IF(ROUND(H79,8)=ROUND((((
SUMIFS(Calc_Variable_1[Citipower],Calc_Variable_1[Customer type],Calc_Rates!$F79)+
SUMIFS(Calc_Variable_1[Citipower],Calc_Variable_1[Customer type],"All")+H75)*(1+Calc_ROM_1[Citipower]))*(1+GST)),8),0,1)))</f>
        <v>0</v>
      </c>
      <c r="I80" s="110" cm="1">
        <f t="array" ref="I80">IF($D$5='Lookup refs'!$D$25,
IF(I79=INDEX(RateCheck_VDO2021F[[Ausnet]:[United Energy]],MATCH(IF(OR(Calc_Rates!$C79="Single rate charge",Calc_Rates!$C79="Block 1 charge",Calc_Rates!$C79="Balance charge"),"Anytime - ","TOU - ")&amp;Calc_Rates!$C79&amp;"_"&amp;Calc_Rates!$F79,RateCheck_VDO2021F[Rate],0),MATCH(Calc_Rates!I$9,RateCheck_VDO2021F[[#Headers],[Ausnet]:[United Energy]],0)),0,1),
IF(I79="-","-",
IF(ROUND(I79,8)=ROUND((((
SUMIFS(Calc_Variable_1[Jemena],Calc_Variable_1[Customer type],Calc_Rates!$F79)+
SUMIFS(Calc_Variable_1[Jemena],Calc_Variable_1[Customer type],"All")+I75)*(1+Calc_ROM_1[Jemena]))*(1+GST)),8),0,1)))</f>
        <v>0</v>
      </c>
      <c r="J80" s="110" cm="1">
        <f t="array" ref="J80">IF($D$5='Lookup refs'!$D$25,
IF(J79=INDEX(RateCheck_VDO2021F[[Ausnet]:[United Energy]],MATCH(IF(OR(Calc_Rates!$C79="Single rate charge",Calc_Rates!$C79="Block 1 charge",Calc_Rates!$C79="Balance charge"),"Anytime - ","TOU - ")&amp;Calc_Rates!$C79&amp;"_"&amp;Calc_Rates!$F79,RateCheck_VDO2021F[Rate],0),MATCH(Calc_Rates!J$9,RateCheck_VDO2021F[[#Headers],[Ausnet]:[United Energy]],0)),0,1),
IF(J79="-","-",
IF(ROUND(J79,8)=ROUND((((
SUMIFS(Calc_Variable_1[Powercor],Calc_Variable_1[[Customer type]:[Customer type]],Calc_Rates!$F79)+
SUMIFS(Calc_Variable_1[Powercor],Calc_Variable_1[[Customer type]:[Customer type]],"All")+J75)*(1+Calc_ROM_1[Powercor]))*(1+GST)),8),0,1)))</f>
        <v>0</v>
      </c>
      <c r="K80" s="110" cm="1">
        <f t="array" ref="K80">IF($D$5='Lookup refs'!$D$25,
IF(K79=INDEX(RateCheck_VDO2021F[[Ausnet]:[United Energy]],MATCH(IF(OR(Calc_Rates!$C79="Single rate charge",Calc_Rates!$C79="Block 1 charge",Calc_Rates!$C79="Balance charge"),"Anytime - ","TOU - ")&amp;Calc_Rates!$C79&amp;"_"&amp;Calc_Rates!$F79,RateCheck_VDO2021F[[Rate]:[Rate]],0),MATCH(Calc_Rates!K$9,RateCheck_VDO2021F[[#Headers],[Ausnet]:[United Energy]],0)),0,1),
IF(K79="-","-",
IF(ROUND(K79,8)=ROUND((((
SUMIFS(Calc_Variable_1[United Energy],Calc_Variable_1[[Customer type]:[Customer type]],Calc_Rates!$F79)+
SUMIFS(Calc_Variable_1[United Energy],Calc_Variable_1[[Customer type]:[Customer type]],"All")+K75)*(1+Calc_ROM_1[United Energy]))*(1+GST)),8),0,1)))</f>
        <v>0</v>
      </c>
    </row>
    <row r="81" spans="2:11" ht="15.75" hidden="1" outlineLevel="1" x14ac:dyDescent="0.25">
      <c r="B81"/>
      <c r="C81" s="185" t="s">
        <v>616</v>
      </c>
    </row>
    <row r="82" spans="2:11" ht="15.75" hidden="1" outlineLevel="1" x14ac:dyDescent="0.25">
      <c r="B82"/>
      <c r="C82" s="81" t="s">
        <v>230</v>
      </c>
    </row>
    <row r="83" spans="2:11" hidden="1" outlineLevel="1" x14ac:dyDescent="0.25">
      <c r="B83"/>
      <c r="C83" s="23" t="s">
        <v>286</v>
      </c>
      <c r="D83" s="23" t="s">
        <v>9</v>
      </c>
      <c r="E83" s="23" t="s">
        <v>282</v>
      </c>
      <c r="F83" s="23" t="s">
        <v>92</v>
      </c>
      <c r="G83" s="61">
        <f>SUMIFS(Calc_NetworkV_1[Ausnet],Calc_NetworkV_1[[Cost item]:[Cost item]],$C82,Calc_NetworkV_1[[Customer type]:[Customer type]],$F83)</f>
        <v>0.20853200000000002</v>
      </c>
      <c r="H83" s="61">
        <f>SUMIFS(Calc_NetworkV_1[Citipower],Calc_NetworkV_1[[Cost item]:[Cost item]],$C82,Calc_NetworkV_1[[Customer type]:[Customer type]],$F83)</f>
        <v>0.15939999999999999</v>
      </c>
      <c r="I83" s="61">
        <f>SUMIFS(Calc_NetworkV_1[Jemena],Calc_NetworkV_1[[Cost item]:[Cost item]],$C82,Calc_NetworkV_1[[Customer type]:[Customer type]],$F83)</f>
        <v>0.13492000000000001</v>
      </c>
      <c r="J83" s="61">
        <f>SUMIFS(Calc_NetworkV_1[Powercor],Calc_NetworkV_1[[Cost item]:[Cost item]],$C82,Calc_NetworkV_1[[Customer type]:[Customer type]],$F83)</f>
        <v>0.15869999999999998</v>
      </c>
      <c r="K83" s="61">
        <f>SUMIFS(Calc_NetworkV_1[United Energy],Calc_NetworkV_1[[Cost item]:[Cost item]],$C82,Calc_NetworkV_1[[Customer type]:[Customer type]],$F83)</f>
        <v>0.15789999999999998</v>
      </c>
    </row>
    <row r="84" spans="2:11" hidden="1" outlineLevel="1" x14ac:dyDescent="0.25">
      <c r="B84"/>
      <c r="C84" s="23" t="s">
        <v>280</v>
      </c>
      <c r="D84" s="23" t="s">
        <v>9</v>
      </c>
      <c r="E84" s="23" t="s">
        <v>282</v>
      </c>
      <c r="F84" s="23" t="s">
        <v>92</v>
      </c>
      <c r="G84" s="61">
        <f>SUMIFS(Calc_Variable_1[Ausnet],Calc_Variable_1[[Customer type]:[Customer type]],"All")+SUMIFS(Calc_Variable_1[Ausnet],Calc_Variable_1[[Customer type]:[Customer type]],$F84)</f>
        <v>0.11589172525016041</v>
      </c>
      <c r="H84" s="61">
        <f>SUMIFS(Calc_Variable_1[Citipower],Calc_Variable_1[[Customer type]:[Customer type]],"All")+SUMIFS(Calc_Variable_1[Citipower],Calc_Variable_1[[Customer type]:[Customer type]],$F84)</f>
        <v>0.10606754166272182</v>
      </c>
      <c r="I84" s="61">
        <f>SUMIFS(Calc_Variable_1[Jemena],Calc_Variable_1[[Customer type]:[Customer type]],"All")+SUMIFS(Calc_Variable_1[Jemena],Calc_Variable_1[[Customer type]:[Customer type]],$F84)</f>
        <v>0.11269464821858671</v>
      </c>
      <c r="J84" s="61">
        <f>SUMIFS(Calc_Variable_1[Powercor],Calc_Variable_1[[Customer type]:[Customer type]],"All")+SUMIFS(Calc_Variable_1[Powercor],Calc_Variable_1[[Customer type]:[Customer type]],$F84)</f>
        <v>0.11322997490653358</v>
      </c>
      <c r="K84" s="61">
        <f>SUMIFS(Calc_Variable_1[United Energy],Calc_Variable_1[[Customer type]:[Customer type]],"All")+SUMIFS(Calc_Variable_1[United Energy],Calc_Variable_1[[Customer type]:[Customer type]],$F84)</f>
        <v>0.11264425429649613</v>
      </c>
    </row>
    <row r="85" spans="2:11" hidden="1" outlineLevel="1" x14ac:dyDescent="0.25">
      <c r="B85"/>
      <c r="C85" s="23" t="s">
        <v>203</v>
      </c>
      <c r="D85" s="23" t="s">
        <v>9</v>
      </c>
      <c r="E85" s="23" t="s">
        <v>282</v>
      </c>
      <c r="F85" s="23" t="s">
        <v>92</v>
      </c>
      <c r="G85" s="73" cm="1">
        <f t="array" ref="G85">IF(G83=0,"-",
(G83+G84)*Calc_ROM_1[Ausnet])</f>
        <v>1.9595193005109691E-2</v>
      </c>
      <c r="H85" s="73" cm="1">
        <f t="array" ref="H85">IF(H83=0,"-",
(H83+H84)*Calc_ROM_1[Ausnet])</f>
        <v>1.6034239516428399E-2</v>
      </c>
      <c r="I85" s="73" cm="1">
        <f t="array" ref="I85">IF(I83=0,"-",
(I83+I84)*Calc_ROM_1[Ausnet])</f>
        <v>1.4955924752402639E-2</v>
      </c>
      <c r="J85" s="73" cm="1">
        <f t="array" ref="J85">IF(J83=0,"-",
(J83+J84)*Calc_ROM_1[Ausnet])</f>
        <v>1.6424570484354629E-2</v>
      </c>
      <c r="K85" s="73" cm="1">
        <f t="array" ref="K85">IF(K83=0,"-",
(K83+K84)*Calc_ROM_1[Ausnet])</f>
        <v>1.6340872959508364E-2</v>
      </c>
    </row>
    <row r="86" spans="2:11" hidden="1" outlineLevel="1" x14ac:dyDescent="0.25">
      <c r="B86"/>
      <c r="C86" s="23" t="s">
        <v>277</v>
      </c>
      <c r="D86" s="23" t="s">
        <v>9</v>
      </c>
      <c r="E86" s="23" t="s">
        <v>282</v>
      </c>
      <c r="F86" s="23" t="s">
        <v>92</v>
      </c>
      <c r="G86" s="73">
        <f>IF(G83=0,"-",
(G83+G84+G85)*GST)</f>
        <v>3.4401891825527019E-2</v>
      </c>
      <c r="H86" s="73">
        <f>IF(H83=0,"-",
(H83+H84+H85)*GST)</f>
        <v>2.8150178117915023E-2</v>
      </c>
      <c r="I86" s="73">
        <f>IF(I83=0,"-",
(I83+I84+I85)*GST)</f>
        <v>2.6257057297098936E-2</v>
      </c>
      <c r="J86" s="73">
        <f>IF(J83=0,"-",
(J83+J84+J85)*GST)</f>
        <v>2.8835454539088826E-2</v>
      </c>
      <c r="K86" s="73">
        <f>IF(K83=0,"-",
(K83+K84+K85)*GST)</f>
        <v>2.8688512725600447E-2</v>
      </c>
    </row>
    <row r="87" spans="2:11" hidden="1" outlineLevel="1" x14ac:dyDescent="0.25">
      <c r="B87"/>
      <c r="C87" s="23" t="str">
        <f>C82&amp;" charge"</f>
        <v>Peak charge</v>
      </c>
      <c r="D87" s="23" t="s">
        <v>9</v>
      </c>
      <c r="E87" s="23" t="s">
        <v>282</v>
      </c>
      <c r="F87" s="23" t="s">
        <v>92</v>
      </c>
      <c r="G87" s="74">
        <f>IF(G83=0,"-",
SUM(G83:G86))</f>
        <v>0.37842081008079714</v>
      </c>
      <c r="H87" s="74">
        <f>IF(H83=0,"-",
SUM(H83:H86))</f>
        <v>0.30965195929706524</v>
      </c>
      <c r="I87" s="74">
        <f t="shared" ref="I87" si="19">IF(I83=0,"-",
SUM(I83:I86))</f>
        <v>0.28882763026808828</v>
      </c>
      <c r="J87" s="74">
        <f t="shared" ref="J87" si="20">IF(J83=0,"-",
SUM(J83:J86))</f>
        <v>0.31718999992997704</v>
      </c>
      <c r="K87" s="74">
        <f t="shared" ref="K87" si="21">IF(K83=0,"-",
SUM(K83:K86))</f>
        <v>0.31557363998160493</v>
      </c>
    </row>
    <row r="88" spans="2:11" hidden="1" outlineLevel="1" x14ac:dyDescent="0.25">
      <c r="B88"/>
      <c r="G88" s="110" cm="1">
        <f t="array" ref="G88">IF($D$5='Lookup refs'!$D$25,
IF(G87=INDEX(RateCheck_VDO2021F[[Ausnet]:[United Energy]],MATCH(IF(OR(Calc_Rates!$C87="Single rate charge",Calc_Rates!$C87="Block 1 charge",Calc_Rates!$C87="Balance charge"),"Anytime - ","TOU - ")&amp;Calc_Rates!$C87&amp;"_"&amp;Calc_Rates!$F87,RateCheck_VDO2021F[Rate],0),MATCH(Calc_Rates!G$9,RateCheck_VDO2021F[[#Headers],[Ausnet]:[United Energy]],0)),0,1),
IF(G87="-","-",
IF(ROUND(G87,8)=ROUND((((
SUMIFS(Calc_Variable_1[Ausnet],Calc_Variable_1[Customer type],Calc_Rates!$F87)+
SUMIFS(Calc_Variable_1[Ausnet],Calc_Variable_1[Customer type],"All")+G83)*(1+Calc_ROM_1[Ausnet]))*(1+GST)),8),0,1)))</f>
        <v>0</v>
      </c>
      <c r="H88" s="110" cm="1">
        <f t="array" ref="H88">IF($D$5='Lookup refs'!$D$25,
IF(H87=INDEX(RateCheck_VDO2021F[[Ausnet]:[United Energy]],MATCH(IF(OR(Calc_Rates!$C87="Single rate charge",Calc_Rates!$C87="Block 1 charge",Calc_Rates!$C87="Balance charge"),"Anytime - ","TOU - ")&amp;Calc_Rates!$C87&amp;"_"&amp;Calc_Rates!$F87,RateCheck_VDO2021F[Rate],0),MATCH(Calc_Rates!H$9,RateCheck_VDO2021F[[#Headers],[Ausnet]:[United Energy]],0)),0,1),
IF(H87="-","-",
IF(ROUND(H87,8)=ROUND((((
SUMIFS(Calc_Variable_1[Citipower],Calc_Variable_1[Customer type],Calc_Rates!$F87)+
SUMIFS(Calc_Variable_1[Citipower],Calc_Variable_1[Customer type],"All")+H83)*(1+Calc_ROM_1[Citipower]))*(1+GST)),8),0,1)))</f>
        <v>0</v>
      </c>
      <c r="I88" s="110" cm="1">
        <f t="array" ref="I88">IF($D$5='Lookup refs'!$D$25,
IF(I87=INDEX(RateCheck_VDO2021F[[Ausnet]:[United Energy]],MATCH(IF(OR(Calc_Rates!$C87="Single rate charge",Calc_Rates!$C87="Block 1 charge",Calc_Rates!$C87="Balance charge"),"Anytime - ","TOU - ")&amp;Calc_Rates!$C87&amp;"_"&amp;Calc_Rates!$F87,RateCheck_VDO2021F[Rate],0),MATCH(Calc_Rates!I$9,RateCheck_VDO2021F[[#Headers],[Ausnet]:[United Energy]],0)),0,1),
IF(I87="-","-",
IF(ROUND(I87,8)=ROUND((((
SUMIFS(Calc_Variable_1[Jemena],Calc_Variable_1[Customer type],Calc_Rates!$F87)+
SUMIFS(Calc_Variable_1[Jemena],Calc_Variable_1[Customer type],"All")+I83)*(1+Calc_ROM_1[Jemena]))*(1+GST)),8),0,1)))</f>
        <v>0</v>
      </c>
      <c r="J88" s="110" cm="1">
        <f t="array" ref="J88">IF($D$5='Lookup refs'!$D$25,
IF(J87=INDEX(RateCheck_VDO2021F[[Ausnet]:[United Energy]],MATCH(IF(OR(Calc_Rates!$C87="Single rate charge",Calc_Rates!$C87="Block 1 charge",Calc_Rates!$C87="Balance charge"),"Anytime - ","TOU - ")&amp;Calc_Rates!$C87&amp;"_"&amp;Calc_Rates!$F87,RateCheck_VDO2021F[Rate],0),MATCH(Calc_Rates!J$9,RateCheck_VDO2021F[[#Headers],[Ausnet]:[United Energy]],0)),0,1),
IF(J87="-","-",
IF(ROUND(J87,8)=ROUND((((
SUMIFS(Calc_Variable_1[Powercor],Calc_Variable_1[[Customer type]:[Customer type]],Calc_Rates!$F87)+
SUMIFS(Calc_Variable_1[Powercor],Calc_Variable_1[[Customer type]:[Customer type]],"All")+J83)*(1+Calc_ROM_1[Powercor]))*(1+GST)),8),0,1)))</f>
        <v>0</v>
      </c>
      <c r="K88" s="110" cm="1">
        <f t="array" ref="K88">IF($D$5='Lookup refs'!$D$25,
IF(K87=INDEX(RateCheck_VDO2021F[[Ausnet]:[United Energy]],MATCH(IF(OR(Calc_Rates!$C87="Single rate charge",Calc_Rates!$C87="Block 1 charge",Calc_Rates!$C87="Balance charge"),"Anytime - ","TOU - ")&amp;Calc_Rates!$C87&amp;"_"&amp;Calc_Rates!$F87,RateCheck_VDO2021F[[Rate]:[Rate]],0),MATCH(Calc_Rates!K$9,RateCheck_VDO2021F[[#Headers],[Ausnet]:[United Energy]],0)),0,1),
IF(K87="-","-",
IF(ROUND(K87,8)=ROUND((((
SUMIFS(Calc_Variable_1[United Energy],Calc_Variable_1[[Customer type]:[Customer type]],Calc_Rates!$F87)+
SUMIFS(Calc_Variable_1[United Energy],Calc_Variable_1[[Customer type]:[Customer type]],"All")+K83)*(1+Calc_ROM_1[United Energy]))*(1+GST)),8),0,1)))</f>
        <v>0</v>
      </c>
    </row>
    <row r="89" spans="2:11" ht="15.75" hidden="1" outlineLevel="1" x14ac:dyDescent="0.25">
      <c r="B89"/>
      <c r="C89" s="81" t="s">
        <v>609</v>
      </c>
    </row>
    <row r="90" spans="2:11" hidden="1" outlineLevel="1" x14ac:dyDescent="0.25">
      <c r="B90"/>
      <c r="C90" s="23" t="s">
        <v>286</v>
      </c>
      <c r="D90" s="23" t="s">
        <v>9</v>
      </c>
      <c r="E90" s="23" t="s">
        <v>282</v>
      </c>
      <c r="F90" s="23" t="s">
        <v>92</v>
      </c>
      <c r="G90" s="61">
        <f>SUMIFS(Calc_NetworkV_1[Ausnet],Calc_NetworkV_1[[Cost item]:[Cost item]],$C89,Calc_NetworkV_1[[Customer type]:[Customer type]],$F90)</f>
        <v>4.3418999999999999E-2</v>
      </c>
      <c r="H90" s="61">
        <f>SUMIFS(Calc_NetworkV_1[Citipower],Calc_NetworkV_1[[Cost item]:[Cost item]],$C89,Calc_NetworkV_1[[Customer type]:[Customer type]],$F90)</f>
        <v>3.9800000000000002E-2</v>
      </c>
      <c r="I90" s="61">
        <f>SUMIFS(Calc_NetworkV_1[Jemena],Calc_NetworkV_1[[Cost item]:[Cost item]],$C89,Calc_NetworkV_1[[Customer type]:[Customer type]],$F90)</f>
        <v>3.8900000000000004E-2</v>
      </c>
      <c r="J90" s="61">
        <f>SUMIFS(Calc_NetworkV_1[Powercor],Calc_NetworkV_1[[Cost item]:[Cost item]],$C89,Calc_NetworkV_1[[Customer type]:[Customer type]],$F90)</f>
        <v>3.9599999999999996E-2</v>
      </c>
      <c r="K90" s="61">
        <f>SUMIFS(Calc_NetworkV_1[United Energy],Calc_NetworkV_1[[Cost item]:[Cost item]],$C89,Calc_NetworkV_1[[Customer type]:[Customer type]],$F90)</f>
        <v>3.95E-2</v>
      </c>
    </row>
    <row r="91" spans="2:11" hidden="1" outlineLevel="1" x14ac:dyDescent="0.25">
      <c r="B91"/>
      <c r="C91" s="23" t="s">
        <v>280</v>
      </c>
      <c r="D91" s="23" t="s">
        <v>9</v>
      </c>
      <c r="E91" s="23" t="s">
        <v>282</v>
      </c>
      <c r="F91" s="23" t="s">
        <v>92</v>
      </c>
      <c r="G91" s="61">
        <f>SUMIFS(Calc_Variable_1[Ausnet],Calc_Variable_1[[Customer type]:[Customer type]],"All")+SUMIFS(Calc_Variable_1[Ausnet],Calc_Variable_1[[Customer type]:[Customer type]],$F91)</f>
        <v>0.11589172525016041</v>
      </c>
      <c r="H91" s="61">
        <f>SUMIFS(Calc_Variable_1[Citipower],Calc_Variable_1[[Customer type]:[Customer type]],"All")+SUMIFS(Calc_Variable_1[Citipower],Calc_Variable_1[[Customer type]:[Customer type]],$F91)</f>
        <v>0.10606754166272182</v>
      </c>
      <c r="I91" s="61">
        <f>SUMIFS(Calc_Variable_1[Jemena],Calc_Variable_1[[Customer type]:[Customer type]],"All")+SUMIFS(Calc_Variable_1[Jemena],Calc_Variable_1[[Customer type]:[Customer type]],$F91)</f>
        <v>0.11269464821858671</v>
      </c>
      <c r="J91" s="61">
        <f>SUMIFS(Calc_Variable_1[Powercor],Calc_Variable_1[[Customer type]:[Customer type]],"All")+SUMIFS(Calc_Variable_1[Powercor],Calc_Variable_1[[Customer type]:[Customer type]],$F91)</f>
        <v>0.11322997490653358</v>
      </c>
      <c r="K91" s="61">
        <f>SUMIFS(Calc_Variable_1[United Energy],Calc_Variable_1[[Customer type]:[Customer type]],"All")+SUMIFS(Calc_Variable_1[United Energy],Calc_Variable_1[[Customer type]:[Customer type]],$F91)</f>
        <v>0.11264425429649613</v>
      </c>
    </row>
    <row r="92" spans="2:11" hidden="1" outlineLevel="1" x14ac:dyDescent="0.25">
      <c r="B92"/>
      <c r="C92" s="23" t="s">
        <v>203</v>
      </c>
      <c r="D92" s="23" t="s">
        <v>9</v>
      </c>
      <c r="E92" s="23" t="s">
        <v>282</v>
      </c>
      <c r="F92" s="23" t="s">
        <v>92</v>
      </c>
      <c r="G92" s="73" cm="1">
        <f t="array" ref="G92">IF(G90=0,"-",
(G90+G91)*Calc_ROM_1[Ausnet])</f>
        <v>9.6223678051096887E-3</v>
      </c>
      <c r="H92" s="73" cm="1">
        <f t="array" ref="H92">IF(H90=0,"-",
(H90+H91)*Calc_ROM_1[Ausnet])</f>
        <v>8.8103995164283983E-3</v>
      </c>
      <c r="I92" s="73" cm="1">
        <f t="array" ref="I92">IF(I90=0,"-",
(I90+I91)*Calc_ROM_1[Ausnet])</f>
        <v>9.1563167524026379E-3</v>
      </c>
      <c r="J92" s="73" cm="1">
        <f t="array" ref="J92">IF(J90=0,"-",
(J90+J91)*Calc_ROM_1[Ausnet])</f>
        <v>9.2309304843546276E-3</v>
      </c>
      <c r="K92" s="73" cm="1">
        <f t="array" ref="K92">IF(K90=0,"-",
(K90+K91)*Calc_ROM_1[Ausnet])</f>
        <v>9.1895129595083672E-3</v>
      </c>
    </row>
    <row r="93" spans="2:11" hidden="1" outlineLevel="1" x14ac:dyDescent="0.25">
      <c r="B93"/>
      <c r="C93" s="23" t="s">
        <v>277</v>
      </c>
      <c r="D93" s="23" t="s">
        <v>9</v>
      </c>
      <c r="E93" s="23" t="s">
        <v>282</v>
      </c>
      <c r="F93" s="23" t="s">
        <v>92</v>
      </c>
      <c r="G93" s="73">
        <f>IF(G90=0,"-",
(G90+G91+G92)*GST)</f>
        <v>1.6893309305527012E-2</v>
      </c>
      <c r="H93" s="73">
        <f>IF(H90=0,"-",
(H90+H91+H92)*GST)</f>
        <v>1.5467794117915021E-2</v>
      </c>
      <c r="I93" s="73">
        <f>IF(I90=0,"-",
(I90+I91+I92)*GST)</f>
        <v>1.6075096497098935E-2</v>
      </c>
      <c r="J93" s="73">
        <f>IF(J90=0,"-",
(J90+J91+J92)*GST)</f>
        <v>1.6206090539088822E-2</v>
      </c>
      <c r="K93" s="73">
        <f>IF(K90=0,"-",
(K90+K91+K92)*GST)</f>
        <v>1.6133376725600453E-2</v>
      </c>
    </row>
    <row r="94" spans="2:11" hidden="1" outlineLevel="1" x14ac:dyDescent="0.25">
      <c r="B94"/>
      <c r="C94" s="23" t="str">
        <f>C89&amp;" charge"</f>
        <v>Off peak charge</v>
      </c>
      <c r="D94" s="23" t="s">
        <v>9</v>
      </c>
      <c r="E94" s="23" t="s">
        <v>282</v>
      </c>
      <c r="F94" s="23" t="s">
        <v>92</v>
      </c>
      <c r="G94" s="74">
        <f>IF(G90=0,"-",
SUM(G90:G93))</f>
        <v>0.18582640236079712</v>
      </c>
      <c r="H94" s="74">
        <f>IF(H90=0,"-",
SUM(H90:H93))</f>
        <v>0.17014573529706523</v>
      </c>
      <c r="I94" s="74">
        <f t="shared" ref="I94" si="22">IF(I90=0,"-",
SUM(I90:I93))</f>
        <v>0.17682606146808827</v>
      </c>
      <c r="J94" s="74">
        <f t="shared" ref="J94" si="23">IF(J90=0,"-",
SUM(J90:J93))</f>
        <v>0.17826699592997702</v>
      </c>
      <c r="K94" s="74">
        <f t="shared" ref="K94" si="24">IF(K90=0,"-",
SUM(K90:K93))</f>
        <v>0.17746714398160496</v>
      </c>
    </row>
    <row r="95" spans="2:11" hidden="1" outlineLevel="1" x14ac:dyDescent="0.25">
      <c r="B95"/>
      <c r="G95" s="110" cm="1">
        <f t="array" ref="G95">IF($D$5='Lookup refs'!$D$25,
IF(G94=INDEX(RateCheck_VDO2021F[[Ausnet]:[United Energy]],MATCH(IF(OR(Calc_Rates!$C94="Single rate charge",Calc_Rates!$C94="Block 1 charge",Calc_Rates!$C94="Balance charge"),"Anytime - ","TOU - ")&amp;Calc_Rates!$C94&amp;"_"&amp;Calc_Rates!$F94,RateCheck_VDO2021F[Rate],0),MATCH(Calc_Rates!G$9,RateCheck_VDO2021F[[#Headers],[Ausnet]:[United Energy]],0)),0,1),
IF(G94="-","-",
IF(ROUND(G94,8)=ROUND((((
SUMIFS(Calc_Variable_1[Ausnet],Calc_Variable_1[Customer type],Calc_Rates!$F94)+
SUMIFS(Calc_Variable_1[Ausnet],Calc_Variable_1[Customer type],"All")+G90)*(1+Calc_ROM_1[Ausnet]))*(1+GST)),8),0,1)))</f>
        <v>0</v>
      </c>
      <c r="H95" s="110" cm="1">
        <f t="array" ref="H95">IF($D$5='Lookup refs'!$D$25,
IF(H94=INDEX(RateCheck_VDO2021F[[Ausnet]:[United Energy]],MATCH(IF(OR(Calc_Rates!$C94="Single rate charge",Calc_Rates!$C94="Block 1 charge",Calc_Rates!$C94="Balance charge"),"Anytime - ","TOU - ")&amp;Calc_Rates!$C94&amp;"_"&amp;Calc_Rates!$F94,RateCheck_VDO2021F[Rate],0),MATCH(Calc_Rates!H$9,RateCheck_VDO2021F[[#Headers],[Ausnet]:[United Energy]],0)),0,1),
IF(H94="-","-",
IF(ROUND(H94,8)=ROUND((((
SUMIFS(Calc_Variable_1[Citipower],Calc_Variable_1[Customer type],Calc_Rates!$F94)+
SUMIFS(Calc_Variable_1[Citipower],Calc_Variable_1[Customer type],"All")+H90)*(1+Calc_ROM_1[Citipower]))*(1+GST)),8),0,1)))</f>
        <v>0</v>
      </c>
      <c r="I95" s="110" cm="1">
        <f t="array" ref="I95">IF($D$5='Lookup refs'!$D$25,
IF(I94=INDEX(RateCheck_VDO2021F[[Ausnet]:[United Energy]],MATCH(IF(OR(Calc_Rates!$C94="Single rate charge",Calc_Rates!$C94="Block 1 charge",Calc_Rates!$C94="Balance charge"),"Anytime - ","TOU - ")&amp;Calc_Rates!$C94&amp;"_"&amp;Calc_Rates!$F94,RateCheck_VDO2021F[Rate],0),MATCH(Calc_Rates!I$9,RateCheck_VDO2021F[[#Headers],[Ausnet]:[United Energy]],0)),0,1),
IF(I94="-","-",
IF(ROUND(I94,8)=ROUND((((
SUMIFS(Calc_Variable_1[Jemena],Calc_Variable_1[Customer type],Calc_Rates!$F94)+
SUMIFS(Calc_Variable_1[Jemena],Calc_Variable_1[Customer type],"All")+I90)*(1+Calc_ROM_1[Jemena]))*(1+GST)),8),0,1)))</f>
        <v>0</v>
      </c>
      <c r="J95" s="110" cm="1">
        <f t="array" ref="J95">IF($D$5='Lookup refs'!$D$25,
IF(J94=INDEX(RateCheck_VDO2021F[[Ausnet]:[United Energy]],MATCH(IF(OR(Calc_Rates!$C94="Single rate charge",Calc_Rates!$C94="Block 1 charge",Calc_Rates!$C94="Balance charge"),"Anytime - ","TOU - ")&amp;Calc_Rates!$C94&amp;"_"&amp;Calc_Rates!$F94,RateCheck_VDO2021F[Rate],0),MATCH(Calc_Rates!J$9,RateCheck_VDO2021F[[#Headers],[Ausnet]:[United Energy]],0)),0,1),
IF(J94="-","-",
IF(ROUND(J94,8)=ROUND((((
SUMIFS(Calc_Variable_1[Powercor],Calc_Variable_1[[Customer type]:[Customer type]],Calc_Rates!$F94)+
SUMIFS(Calc_Variable_1[Powercor],Calc_Variable_1[[Customer type]:[Customer type]],"All")+J90)*(1+Calc_ROM_1[Powercor]))*(1+GST)),8),0,1)))</f>
        <v>0</v>
      </c>
      <c r="K95" s="110" cm="1">
        <f t="array" ref="K95">IF($D$5='Lookup refs'!$D$25,
IF(K94=INDEX(RateCheck_VDO2021F[[Ausnet]:[United Energy]],MATCH(IF(OR(Calc_Rates!$C94="Single rate charge",Calc_Rates!$C94="Block 1 charge",Calc_Rates!$C94="Balance charge"),"Anytime - ","TOU - ")&amp;Calc_Rates!$C94&amp;"_"&amp;Calc_Rates!$F94,RateCheck_VDO2021F[[Rate]:[Rate]],0),MATCH(Calc_Rates!K$9,RateCheck_VDO2021F[[#Headers],[Ausnet]:[United Energy]],0)),0,1),
IF(K94="-","-",
IF(ROUND(K94,8)=ROUND((((
SUMIFS(Calc_Variable_1[United Energy],Calc_Variable_1[[Customer type]:[Customer type]],Calc_Rates!$F94)+
SUMIFS(Calc_Variable_1[United Energy],Calc_Variable_1[[Customer type]:[Customer type]],"All")+K90)*(1+Calc_ROM_1[United Energy]))*(1+GST)),8),0,1)))</f>
        <v>0</v>
      </c>
    </row>
    <row r="96" spans="2:11" ht="15.75" hidden="1" outlineLevel="1" x14ac:dyDescent="0.25">
      <c r="B96"/>
      <c r="C96" s="81" t="s">
        <v>287</v>
      </c>
    </row>
    <row r="97" spans="2:11" hidden="1" outlineLevel="1" x14ac:dyDescent="0.25">
      <c r="B97"/>
      <c r="C97" s="23" t="s">
        <v>286</v>
      </c>
      <c r="D97" s="23" t="s">
        <v>9</v>
      </c>
      <c r="E97" s="23" t="s">
        <v>282</v>
      </c>
      <c r="F97" s="23" t="s">
        <v>92</v>
      </c>
      <c r="G97" s="61">
        <f>SUMIFS(Calc_NetworkV_1[Ausnet],Calc_NetworkV_1[[Cost item]:[Cost item]],$C96,Calc_NetworkV_1[[Customer type]:[Customer type]],$F97)</f>
        <v>4.2622999999999994E-2</v>
      </c>
      <c r="H97" s="61">
        <f>SUMIFS(Calc_NetworkV_1[Citipower],Calc_NetworkV_1[[Cost item]:[Cost item]],$C96,Calc_NetworkV_1[[Customer type]:[Customer type]],$F97)</f>
        <v>2.4700000000000003E-2</v>
      </c>
      <c r="I97" s="61">
        <f>SUMIFS(Calc_NetworkV_1[Jemena],Calc_NetworkV_1[[Cost item]:[Cost item]],$C96,Calc_NetworkV_1[[Customer type]:[Customer type]],$F97)</f>
        <v>3.5990000000000001E-2</v>
      </c>
      <c r="J97" s="61">
        <f>SUMIFS(Calc_NetworkV_1[Powercor],Calc_NetworkV_1[[Cost item]:[Cost item]],$C96,Calc_NetworkV_1[[Customer type]:[Customer type]],$F97)</f>
        <v>2.3900000000000001E-2</v>
      </c>
      <c r="K97" s="61">
        <f>SUMIFS(Calc_NetworkV_1[United Energy],Calc_NetworkV_1[[Cost item]:[Cost item]],$C96,Calc_NetworkV_1[[Customer type]:[Customer type]],$F97)</f>
        <v>2.1700000000000001E-2</v>
      </c>
    </row>
    <row r="98" spans="2:11" hidden="1" outlineLevel="1" x14ac:dyDescent="0.25">
      <c r="B98"/>
      <c r="C98" s="23" t="s">
        <v>280</v>
      </c>
      <c r="D98" s="23" t="s">
        <v>9</v>
      </c>
      <c r="E98" s="23" t="s">
        <v>282</v>
      </c>
      <c r="F98" s="23" t="s">
        <v>92</v>
      </c>
      <c r="G98" s="61">
        <f>SUMIFS(Calc_Variable_1[Ausnet],Calc_Variable_1[[Customer type]:[Customer type]],"All")+SUMIFS(Calc_Variable_1[Ausnet],Calc_Variable_1[[Customer type]:[Customer type]],$F98)</f>
        <v>0.11589172525016041</v>
      </c>
      <c r="H98" s="61">
        <f>SUMIFS(Calc_Variable_1[Citipower],Calc_Variable_1[[Customer type]:[Customer type]],"All")+SUMIFS(Calc_Variable_1[Citipower],Calc_Variable_1[[Customer type]:[Customer type]],$F98)</f>
        <v>0.10606754166272182</v>
      </c>
      <c r="I98" s="61">
        <f>SUMIFS(Calc_Variable_1[Jemena],Calc_Variable_1[[Customer type]:[Customer type]],"All")+SUMIFS(Calc_Variable_1[Jemena],Calc_Variable_1[[Customer type]:[Customer type]],$F98)</f>
        <v>0.11269464821858671</v>
      </c>
      <c r="J98" s="61">
        <f>SUMIFS(Calc_Variable_1[Powercor],Calc_Variable_1[[Customer type]:[Customer type]],"All")+SUMIFS(Calc_Variable_1[Powercor],Calc_Variable_1[[Customer type]:[Customer type]],$F98)</f>
        <v>0.11322997490653358</v>
      </c>
      <c r="K98" s="61">
        <f>SUMIFS(Calc_Variable_1[United Energy],Calc_Variable_1[[Customer type]:[Customer type]],"All")+SUMIFS(Calc_Variable_1[United Energy],Calc_Variable_1[[Customer type]:[Customer type]],$F98)</f>
        <v>0.11264425429649613</v>
      </c>
    </row>
    <row r="99" spans="2:11" hidden="1" outlineLevel="1" x14ac:dyDescent="0.25">
      <c r="B99"/>
      <c r="C99" s="23" t="s">
        <v>203</v>
      </c>
      <c r="D99" s="23" t="s">
        <v>9</v>
      </c>
      <c r="E99" s="23" t="s">
        <v>282</v>
      </c>
      <c r="F99" s="23" t="s">
        <v>92</v>
      </c>
      <c r="G99" s="73" cm="1">
        <f t="array" ref="G99">IF(G97=0,"-",
(G97+G98)*Calc_ROM_1[Ausnet])</f>
        <v>9.5742894051096903E-3</v>
      </c>
      <c r="H99" s="73" cm="1">
        <f t="array" ref="H99">IF(H97=0,"-",
(H97+H98)*Calc_ROM_1[Ausnet])</f>
        <v>7.8983595164283989E-3</v>
      </c>
      <c r="I99" s="73" cm="1">
        <f t="array" ref="I99">IF(I97=0,"-",
(I97+I98)*Calc_ROM_1[Ausnet])</f>
        <v>8.9805527524026377E-3</v>
      </c>
      <c r="J99" s="73" cm="1">
        <f t="array" ref="J99">IF(J97=0,"-",
(J97+J98)*Calc_ROM_1[Ausnet])</f>
        <v>8.2826504843546284E-3</v>
      </c>
      <c r="K99" s="73" cm="1">
        <f t="array" ref="K99">IF(K97=0,"-",
(K97+K98)*Calc_ROM_1[Ausnet])</f>
        <v>8.1143929595083666E-3</v>
      </c>
    </row>
    <row r="100" spans="2:11" hidden="1" outlineLevel="1" x14ac:dyDescent="0.25">
      <c r="B100"/>
      <c r="C100" s="23" t="s">
        <v>277</v>
      </c>
      <c r="D100" s="23" t="s">
        <v>9</v>
      </c>
      <c r="E100" s="23" t="s">
        <v>282</v>
      </c>
      <c r="F100" s="23" t="s">
        <v>92</v>
      </c>
      <c r="G100" s="73">
        <f>IF(G97=0,"-",
(G97+G98+G99)*GST)</f>
        <v>1.680890146552701E-2</v>
      </c>
      <c r="H100" s="73">
        <f>IF(H97=0,"-",
(H97+H98+H99)*GST)</f>
        <v>1.3866590117915023E-2</v>
      </c>
      <c r="I100" s="73">
        <f>IF(I97=0,"-",
(I97+I98+I99)*GST)</f>
        <v>1.5766520097098936E-2</v>
      </c>
      <c r="J100" s="73">
        <f>IF(J97=0,"-",
(J97+J98+J99)*GST)</f>
        <v>1.4541262539088823E-2</v>
      </c>
      <c r="K100" s="73">
        <f>IF(K97=0,"-",
(K97+K98+K99)*GST)</f>
        <v>1.424586472560045E-2</v>
      </c>
    </row>
    <row r="101" spans="2:11" hidden="1" outlineLevel="1" x14ac:dyDescent="0.25">
      <c r="B101"/>
      <c r="C101" s="23" t="str">
        <f>C96&amp;" charge"</f>
        <v>Controlled load charge</v>
      </c>
      <c r="D101" s="23" t="s">
        <v>9</v>
      </c>
      <c r="E101" s="23" t="s">
        <v>282</v>
      </c>
      <c r="F101" s="23" t="s">
        <v>92</v>
      </c>
      <c r="G101" s="74">
        <f>IF(G97=0,"-",
SUM(G97:G100))</f>
        <v>0.18489791612079712</v>
      </c>
      <c r="H101" s="74">
        <f>IF(H97=0,"-",
SUM(H97:H100))</f>
        <v>0.15253249129706525</v>
      </c>
      <c r="I101" s="74">
        <f t="shared" ref="I101" si="25">IF(I97=0,"-",
SUM(I97:I100))</f>
        <v>0.1734317210680883</v>
      </c>
      <c r="J101" s="74">
        <f t="shared" ref="J101" si="26">IF(J97=0,"-",
SUM(J97:J100))</f>
        <v>0.15995388792997706</v>
      </c>
      <c r="K101" s="74">
        <f t="shared" ref="K101" si="27">IF(K97=0,"-",
SUM(K97:K100))</f>
        <v>0.15670451198160493</v>
      </c>
    </row>
    <row r="102" spans="2:11" hidden="1" outlineLevel="1" x14ac:dyDescent="0.25">
      <c r="B102"/>
      <c r="G102" s="110" cm="1">
        <f t="array" ref="G102">IF($D$5='Lookup refs'!$D$25,
IF(G101=INDEX(RateCheck_VDO2021F[[Ausnet]:[United Energy]],MATCH(IF(OR(Calc_Rates!$C101="Single rate charge",Calc_Rates!$C101="Block 1 charge",Calc_Rates!$C101="Balance charge"),"Anytime - ","TOU - ")&amp;Calc_Rates!$C101&amp;"_"&amp;Calc_Rates!$F101,RateCheck_VDO2021F[Rate],0),MATCH(Calc_Rates!G$9,RateCheck_VDO2021F[[#Headers],[Ausnet]:[United Energy]],0)),0,1),
IF(G101="-","-",
IF(ROUND(G101,8)=ROUND((((
SUMIFS(Calc_Variable_1[Ausnet],Calc_Variable_1[Customer type],Calc_Rates!$F101)+
SUMIFS(Calc_Variable_1[Ausnet],Calc_Variable_1[Customer type],"All")+G97)*(1+Calc_ROM_1[Ausnet]))*(1+GST)),8),0,1)))</f>
        <v>0</v>
      </c>
      <c r="H102" s="110" cm="1">
        <f t="array" ref="H102">IF($D$5='Lookup refs'!$D$25,
IF(H101=INDEX(RateCheck_VDO2021F[[Ausnet]:[United Energy]],MATCH(IF(OR(Calc_Rates!$C101="Single rate charge",Calc_Rates!$C101="Block 1 charge",Calc_Rates!$C101="Balance charge"),"Anytime - ","TOU - ")&amp;Calc_Rates!$C101&amp;"_"&amp;Calc_Rates!$F101,RateCheck_VDO2021F[Rate],0),MATCH(Calc_Rates!H$9,RateCheck_VDO2021F[[#Headers],[Ausnet]:[United Energy]],0)),0,1),
IF(H101="-","-",
IF(ROUND(H101,8)=ROUND((((
SUMIFS(Calc_Variable_1[Citipower],Calc_Variable_1[Customer type],Calc_Rates!$F101)+
SUMIFS(Calc_Variable_1[Citipower],Calc_Variable_1[Customer type],"All")+H97)*(1+Calc_ROM_1[Citipower]))*(1+GST)),8),0,1)))</f>
        <v>0</v>
      </c>
      <c r="I102" s="110" cm="1">
        <f t="array" ref="I102">IF($D$5='Lookup refs'!$D$25,
IF(I101=INDEX(RateCheck_VDO2021F[[Ausnet]:[United Energy]],MATCH(IF(OR(Calc_Rates!$C101="Single rate charge",Calc_Rates!$C101="Block 1 charge",Calc_Rates!$C101="Balance charge"),"Anytime - ","TOU - ")&amp;Calc_Rates!$C101&amp;"_"&amp;Calc_Rates!$F101,RateCheck_VDO2021F[Rate],0),MATCH(Calc_Rates!I$9,RateCheck_VDO2021F[[#Headers],[Ausnet]:[United Energy]],0)),0,1),
IF(I101="-","-",
IF(ROUND(I101,8)=ROUND((((
SUMIFS(Calc_Variable_1[Jemena],Calc_Variable_1[Customer type],Calc_Rates!$F101)+
SUMIFS(Calc_Variable_1[Jemena],Calc_Variable_1[Customer type],"All")+I97)*(1+Calc_ROM_1[Jemena]))*(1+GST)),8),0,1)))</f>
        <v>0</v>
      </c>
      <c r="J102" s="110" cm="1">
        <f t="array" ref="J102">IF($D$5='Lookup refs'!$D$25,
IF(J101=INDEX(RateCheck_VDO2021F[[Ausnet]:[United Energy]],MATCH(IF(OR(Calc_Rates!$C101="Single rate charge",Calc_Rates!$C101="Block 1 charge",Calc_Rates!$C101="Balance charge"),"Anytime - ","TOU - ")&amp;Calc_Rates!$C101&amp;"_"&amp;Calc_Rates!$F101,RateCheck_VDO2021F[Rate],0),MATCH(Calc_Rates!J$9,RateCheck_VDO2021F[[#Headers],[Ausnet]:[United Energy]],0)),0,1),
IF(J101="-","-",
IF(ROUND(J101,8)=ROUND((((
SUMIFS(Calc_Variable_1[Powercor],Calc_Variable_1[[Customer type]:[Customer type]],Calc_Rates!$F101)+
SUMIFS(Calc_Variable_1[Powercor],Calc_Variable_1[[Customer type]:[Customer type]],"All")+J97)*(1+Calc_ROM_1[Powercor]))*(1+GST)),8),0,1)))</f>
        <v>0</v>
      </c>
      <c r="K102" s="110" cm="1">
        <f t="array" ref="K102">IF($D$5='Lookup refs'!$D$25,
IF(K101=INDEX(RateCheck_VDO2021F[[Ausnet]:[United Energy]],MATCH(IF(OR(Calc_Rates!$C101="Single rate charge",Calc_Rates!$C101="Block 1 charge",Calc_Rates!$C101="Balance charge"),"Anytime - ","TOU - ")&amp;Calc_Rates!$C101&amp;"_"&amp;Calc_Rates!$F101,RateCheck_VDO2021F[[Rate]:[Rate]],0),MATCH(Calc_Rates!K$9,RateCheck_VDO2021F[[#Headers],[Ausnet]:[United Energy]],0)),0,1),
IF(K101="-","-",
IF(ROUND(K101,8)=ROUND((((
SUMIFS(Calc_Variable_1[United Energy],Calc_Variable_1[[Customer type]:[Customer type]],Calc_Rates!$F101)+
SUMIFS(Calc_Variable_1[United Energy],Calc_Variable_1[[Customer type]:[Customer type]],"All")+K97)*(1+Calc_ROM_1[United Energy]))*(1+GST)),8),0,1)))</f>
        <v>0</v>
      </c>
    </row>
    <row r="103" spans="2:11" ht="15.75" collapsed="1" x14ac:dyDescent="0.25">
      <c r="B103"/>
      <c r="C103" s="29" t="s">
        <v>288</v>
      </c>
    </row>
    <row r="104" spans="2:11" ht="15.75" hidden="1" outlineLevel="1" x14ac:dyDescent="0.25">
      <c r="B104"/>
      <c r="C104" s="1" t="s">
        <v>615</v>
      </c>
    </row>
    <row r="105" spans="2:11" ht="15.75" hidden="1" outlineLevel="1" x14ac:dyDescent="0.25">
      <c r="B105"/>
      <c r="C105" s="81" t="s">
        <v>221</v>
      </c>
    </row>
    <row r="106" spans="2:11" hidden="1" outlineLevel="1" x14ac:dyDescent="0.25">
      <c r="B106"/>
      <c r="C106" s="23" t="s">
        <v>286</v>
      </c>
      <c r="D106" s="23" t="s">
        <v>9</v>
      </c>
      <c r="E106" s="23" t="s">
        <v>282</v>
      </c>
      <c r="F106" s="23" t="s">
        <v>93</v>
      </c>
      <c r="G106" s="61">
        <f>SUMIFS(Calc_NetworkV_1[Ausnet],Calc_NetworkV_1[[Cost item]:[Cost item]],$C105,Calc_NetworkV_1[[Customer type]:[Customer type]],$F106)</f>
        <v>0.155386</v>
      </c>
      <c r="H106" s="61">
        <f>SUMIFS(Calc_NetworkV_1[Citipower],Calc_NetworkV_1[[Cost item]:[Cost item]],$C105,Calc_NetworkV_1[[Customer type]:[Customer type]],$F106)</f>
        <v>0</v>
      </c>
      <c r="I106" s="61">
        <f>SUMIFS(Calc_NetworkV_1[Jemena],Calc_NetworkV_1[[Cost item]:[Cost item]],$C105,Calc_NetworkV_1[[Customer type]:[Customer type]],$F106)</f>
        <v>0</v>
      </c>
      <c r="J106" s="61">
        <f>SUMIFS(Calc_NetworkV_1[Powercor],Calc_NetworkV_1[[Cost item]:[Cost item]],$C105,Calc_NetworkV_1[[Customer type]:[Customer type]],$F106)</f>
        <v>0</v>
      </c>
      <c r="K106" s="61">
        <f>SUMIFS(Calc_NetworkV_1[United Energy],Calc_NetworkV_1[[Cost item]:[Cost item]],$C105,Calc_NetworkV_1[[Customer type]:[Customer type]],$F106)</f>
        <v>0</v>
      </c>
    </row>
    <row r="107" spans="2:11" hidden="1" outlineLevel="1" x14ac:dyDescent="0.25">
      <c r="B107"/>
      <c r="C107" s="23" t="s">
        <v>280</v>
      </c>
      <c r="D107" s="23" t="s">
        <v>9</v>
      </c>
      <c r="E107" s="23" t="s">
        <v>282</v>
      </c>
      <c r="F107" s="23" t="s">
        <v>93</v>
      </c>
      <c r="G107" s="61">
        <f>SUMIFS(Calc_Variable_1[Ausnet],Calc_Variable_1[[Customer type]:[Customer type]],"All")+SUMIFS(Calc_Variable_1[Ausnet],Calc_Variable_1[[Customer type]:[Customer type]],$F107)</f>
        <v>0.10305703057901627</v>
      </c>
      <c r="H107" s="61">
        <f>SUMIFS(Calc_Variable_1[Citipower],Calc_Variable_1[[Customer type]:[Customer type]],"All")+SUMIFS(Calc_Variable_1[Citipower],Calc_Variable_1[[Customer type]:[Customer type]],$F107)</f>
        <v>0.10190788814605516</v>
      </c>
      <c r="I107" s="61">
        <f>SUMIFS(Calc_Variable_1[Jemena],Calc_Variable_1[[Customer type]:[Customer type]],"All")+SUMIFS(Calc_Variable_1[Jemena],Calc_Variable_1[[Customer type]:[Customer type]],$F107)</f>
        <v>0.1004685164318367</v>
      </c>
      <c r="J107" s="61">
        <f>SUMIFS(Calc_Variable_1[Powercor],Calc_Variable_1[[Customer type]:[Customer type]],"All")+SUMIFS(Calc_Variable_1[Powercor],Calc_Variable_1[[Customer type]:[Customer type]],$F107)</f>
        <v>0.10101456016591261</v>
      </c>
      <c r="K107" s="61">
        <f>SUMIFS(Calc_Variable_1[United Energy],Calc_Variable_1[[Customer type]:[Customer type]],"All")+SUMIFS(Calc_Variable_1[United Energy],Calc_Variable_1[[Customer type]:[Customer type]],$F107)</f>
        <v>0.10194482796854157</v>
      </c>
    </row>
    <row r="108" spans="2:11" hidden="1" outlineLevel="1" x14ac:dyDescent="0.25">
      <c r="B108"/>
      <c r="C108" s="23" t="s">
        <v>203</v>
      </c>
      <c r="D108" s="23" t="s">
        <v>9</v>
      </c>
      <c r="E108" s="23" t="s">
        <v>282</v>
      </c>
      <c r="F108" s="23" t="s">
        <v>93</v>
      </c>
      <c r="G108" s="73" cm="1">
        <f t="array" ref="G108">IF(G106=0,"-",
(G106+G107)*Calc_ROM_1[Ausnet])</f>
        <v>1.5609959046972585E-2</v>
      </c>
      <c r="H108" s="73" t="str" cm="1">
        <f t="array" ref="H108">IF(H106=0,"-",
(H106+H107)*Calc_ROM_1[Ausnet])</f>
        <v>-</v>
      </c>
      <c r="I108" s="73" t="str" cm="1">
        <f t="array" ref="I108">IF(I106=0,"-",
(I106+I107)*Calc_ROM_1[Ausnet])</f>
        <v>-</v>
      </c>
      <c r="J108" s="73" t="str" cm="1">
        <f t="array" ref="J108">IF(J106=0,"-",
(J106+J107)*Calc_ROM_1[Ausnet])</f>
        <v>-</v>
      </c>
      <c r="K108" s="73" t="str" cm="1">
        <f t="array" ref="K108">IF(K106=0,"-",
(K106+K107)*Calc_ROM_1[Ausnet])</f>
        <v>-</v>
      </c>
    </row>
    <row r="109" spans="2:11" hidden="1" outlineLevel="1" x14ac:dyDescent="0.25">
      <c r="B109"/>
      <c r="C109" s="23" t="s">
        <v>277</v>
      </c>
      <c r="D109" s="23" t="s">
        <v>9</v>
      </c>
      <c r="E109" s="23" t="s">
        <v>282</v>
      </c>
      <c r="F109" s="23" t="s">
        <v>93</v>
      </c>
      <c r="G109" s="73">
        <f>IF(G106=0,"-",
(G106+G107+G108)*GST)</f>
        <v>2.7405298962598891E-2</v>
      </c>
      <c r="H109" s="73" t="str">
        <f>IF(H106=0,"-",
(H106+H107+H108)*GST)</f>
        <v>-</v>
      </c>
      <c r="I109" s="73" t="str">
        <f>IF(I106=0,"-",
(I106+I107+I108)*GST)</f>
        <v>-</v>
      </c>
      <c r="J109" s="73" t="str">
        <f>IF(J106=0,"-",
(J106+J107+J108)*GST)</f>
        <v>-</v>
      </c>
      <c r="K109" s="73" t="str">
        <f>IF(K106=0,"-",
(K106+K107+K108)*GST)</f>
        <v>-</v>
      </c>
    </row>
    <row r="110" spans="2:11" hidden="1" outlineLevel="1" x14ac:dyDescent="0.25">
      <c r="B110"/>
      <c r="C110" s="23" t="str">
        <f>C105&amp;" charge"</f>
        <v>Block 1 charge</v>
      </c>
      <c r="D110" s="23" t="s">
        <v>9</v>
      </c>
      <c r="E110" s="23" t="s">
        <v>282</v>
      </c>
      <c r="F110" s="23" t="s">
        <v>93</v>
      </c>
      <c r="G110" s="74">
        <f>IF(G106=0,"-",
SUM(G106:G109))</f>
        <v>0.30145828858858781</v>
      </c>
      <c r="H110" s="74" t="str">
        <f>IF(H106=0,"-",
SUM(H106:H109))</f>
        <v>-</v>
      </c>
      <c r="I110" s="74" t="str">
        <f t="shared" ref="I110" si="28">IF(I106=0,"-",
SUM(I106:I109))</f>
        <v>-</v>
      </c>
      <c r="J110" s="74" t="str">
        <f t="shared" ref="J110" si="29">IF(J106=0,"-",
SUM(J106:J109))</f>
        <v>-</v>
      </c>
      <c r="K110" s="74" t="str">
        <f t="shared" ref="K110" si="30">IF(K106=0,"-",
SUM(K106:K109))</f>
        <v>-</v>
      </c>
    </row>
    <row r="111" spans="2:11" hidden="1" outlineLevel="1" x14ac:dyDescent="0.25">
      <c r="B111"/>
      <c r="G111" s="110" cm="1">
        <f t="array" ref="G111">IF($D$5='Lookup refs'!$D$25,
IF(G110=INDEX(RateCheck_VDO2021F[[Ausnet]:[United Energy]],MATCH(IF(OR(Calc_Rates!$C110="Single rate charge",Calc_Rates!$C110="Block 1 charge",Calc_Rates!$C110="Balance charge"),"Anytime - ","TOU - ")&amp;Calc_Rates!$C110&amp;"_"&amp;Calc_Rates!$F110,RateCheck_VDO2021F[Rate],0),MATCH(Calc_Rates!G$9,RateCheck_VDO2021F[[#Headers],[Ausnet]:[United Energy]],0)),0,1),
IF(G110="-","-",
IF(ROUND(G110,8)=ROUND((((
SUMIFS(Calc_Variable_1[Ausnet],Calc_Variable_1[Customer type],Calc_Rates!$F110)+
SUMIFS(Calc_Variable_1[Ausnet],Calc_Variable_1[Customer type],"All")+G106)*(1+Calc_ROM_1[Ausnet]))*(1+GST)),8),0,1)))</f>
        <v>0</v>
      </c>
      <c r="H111" s="110" t="str" cm="1">
        <f t="array" ref="H111">IF($D$5='Lookup refs'!$D$25,
IF(H110=INDEX(RateCheck_VDO2021F[[Ausnet]:[United Energy]],MATCH(IF(OR(Calc_Rates!$C110="Single rate charge",Calc_Rates!$C110="Block 1 charge",Calc_Rates!$C110="Balance charge"),"Anytime - ","TOU - ")&amp;Calc_Rates!$C110&amp;"_"&amp;Calc_Rates!$F110,RateCheck_VDO2021F[Rate],0),MATCH(Calc_Rates!H$9,RateCheck_VDO2021F[[#Headers],[Ausnet]:[United Energy]],0)),0,1),
IF(H110="-","-",
IF(ROUND(H110,8)=ROUND((((
SUMIFS(Calc_Variable_1[Citipower],Calc_Variable_1[Customer type],Calc_Rates!$F110)+
SUMIFS(Calc_Variable_1[Citipower],Calc_Variable_1[Customer type],"All")+H106)*(1+Calc_ROM_1[Citipower]))*(1+GST)),8),0,1)))</f>
        <v>-</v>
      </c>
      <c r="I111" s="110" t="str" cm="1">
        <f t="array" ref="I111">IF($D$5='Lookup refs'!$D$25,
IF(I110=INDEX(RateCheck_VDO2021F[[Ausnet]:[United Energy]],MATCH(IF(OR(Calc_Rates!$C110="Single rate charge",Calc_Rates!$C110="Block 1 charge",Calc_Rates!$C110="Balance charge"),"Anytime - ","TOU - ")&amp;Calc_Rates!$C110&amp;"_"&amp;Calc_Rates!$F110,RateCheck_VDO2021F[Rate],0),MATCH(Calc_Rates!I$9,RateCheck_VDO2021F[[#Headers],[Ausnet]:[United Energy]],0)),0,1),
IF(I110="-","-",
IF(ROUND(I110,8)=ROUND((((
SUMIFS(Calc_Variable_1[Jemena],Calc_Variable_1[Customer type],Calc_Rates!$F110)+
SUMIFS(Calc_Variable_1[Jemena],Calc_Variable_1[Customer type],"All")+I106)*(1+Calc_ROM_1[Jemena]))*(1+GST)),8),0,1)))</f>
        <v>-</v>
      </c>
      <c r="J111" s="110" t="str" cm="1">
        <f t="array" ref="J111">IF($D$5='Lookup refs'!$D$25,
IF(J110=INDEX(RateCheck_VDO2021F[[Ausnet]:[United Energy]],MATCH(IF(OR(Calc_Rates!$C110="Single rate charge",Calc_Rates!$C110="Block 1 charge",Calc_Rates!$C110="Balance charge"),"Anytime - ","TOU - ")&amp;Calc_Rates!$C110&amp;"_"&amp;Calc_Rates!$F110,RateCheck_VDO2021F[Rate],0),MATCH(Calc_Rates!J$9,RateCheck_VDO2021F[[#Headers],[Ausnet]:[United Energy]],0)),0,1),
IF(J110="-","-",
IF(ROUND(J110,8)=ROUND((((
SUMIFS(Calc_Variable_1[Powercor],Calc_Variable_1[[Customer type]:[Customer type]],Calc_Rates!$F110)+
SUMIFS(Calc_Variable_1[Powercor],Calc_Variable_1[[Customer type]:[Customer type]],"All")+J106)*(1+Calc_ROM_1[Powercor]))*(1+GST)),8),0,1)))</f>
        <v>-</v>
      </c>
      <c r="K111" s="110" t="str" cm="1">
        <f t="array" ref="K111">IF($D$5='Lookup refs'!$D$25,
IF(K110=INDEX(RateCheck_VDO2021F[[Ausnet]:[United Energy]],MATCH(IF(OR(Calc_Rates!$C110="Single rate charge",Calc_Rates!$C110="Block 1 charge",Calc_Rates!$C110="Balance charge"),"Anytime - ","TOU - ")&amp;Calc_Rates!$C110&amp;"_"&amp;Calc_Rates!$F110,RateCheck_VDO2021F[[Rate]:[Rate]],0),MATCH(Calc_Rates!K$9,RateCheck_VDO2021F[[#Headers],[Ausnet]:[United Energy]],0)),0,1),
IF(K110="-","-",
IF(ROUND(K110,8)=ROUND((((
SUMIFS(Calc_Variable_1[United Energy],Calc_Variable_1[[Customer type]:[Customer type]],Calc_Rates!$F110)+
SUMIFS(Calc_Variable_1[United Energy],Calc_Variable_1[[Customer type]:[Customer type]],"All")+K106)*(1+Calc_ROM_1[United Energy]))*(1+GST)),8),0,1)))</f>
        <v>-</v>
      </c>
    </row>
    <row r="112" spans="2:11" ht="15.75" hidden="1" outlineLevel="1" x14ac:dyDescent="0.25">
      <c r="B112"/>
      <c r="C112" s="81" t="s">
        <v>228</v>
      </c>
    </row>
    <row r="113" spans="2:11" hidden="1" outlineLevel="1" x14ac:dyDescent="0.25">
      <c r="B113"/>
      <c r="C113" s="23" t="s">
        <v>286</v>
      </c>
      <c r="D113" s="23" t="s">
        <v>9</v>
      </c>
      <c r="E113" s="23" t="s">
        <v>282</v>
      </c>
      <c r="F113" s="23" t="s">
        <v>93</v>
      </c>
      <c r="G113" s="61">
        <f>SUMIFS(Calc_NetworkV_1[Ausnet],Calc_NetworkV_1[[Cost item]:[Cost item]],$C112,Calc_NetworkV_1[[Customer type]:[Customer type]],$F113)</f>
        <v>0.182667</v>
      </c>
      <c r="H113" s="61">
        <f>SUMIFS(Calc_NetworkV_1[Citipower],Calc_NetworkV_1[[Cost item]:[Cost item]],$C112,Calc_NetworkV_1[[Customer type]:[Customer type]],$F113)</f>
        <v>0</v>
      </c>
      <c r="I113" s="61">
        <f>SUMIFS(Calc_NetworkV_1[Jemena],Calc_NetworkV_1[[Cost item]:[Cost item]],$C112,Calc_NetworkV_1[[Customer type]:[Customer type]],$F113)</f>
        <v>0</v>
      </c>
      <c r="J113" s="61">
        <f>SUMIFS(Calc_NetworkV_1[Powercor],Calc_NetworkV_1[[Cost item]:[Cost item]],$C112,Calc_NetworkV_1[[Customer type]:[Customer type]],$F113)</f>
        <v>0</v>
      </c>
      <c r="K113" s="61">
        <f>SUMIFS(Calc_NetworkV_1[United Energy],Calc_NetworkV_1[[Cost item]:[Cost item]],$C112,Calc_NetworkV_1[[Customer type]:[Customer type]],$F113)</f>
        <v>0</v>
      </c>
    </row>
    <row r="114" spans="2:11" hidden="1" outlineLevel="1" x14ac:dyDescent="0.25">
      <c r="B114"/>
      <c r="C114" s="23" t="s">
        <v>280</v>
      </c>
      <c r="D114" s="23" t="s">
        <v>9</v>
      </c>
      <c r="E114" s="23" t="s">
        <v>282</v>
      </c>
      <c r="F114" s="23" t="s">
        <v>93</v>
      </c>
      <c r="G114" s="61">
        <f>SUMIFS(Calc_Variable_1[Ausnet],Calc_Variable_1[[Customer type]:[Customer type]],"All")+SUMIFS(Calc_Variable_1[Ausnet],Calc_Variable_1[[Customer type]:[Customer type]],$F114)</f>
        <v>0.10305703057901627</v>
      </c>
      <c r="H114" s="61">
        <f>SUMIFS(Calc_Variable_1[Citipower],Calc_Variable_1[[Customer type]:[Customer type]],"All")+SUMIFS(Calc_Variable_1[Citipower],Calc_Variable_1[[Customer type]:[Customer type]],$F114)</f>
        <v>0.10190788814605516</v>
      </c>
      <c r="I114" s="61">
        <f>SUMIFS(Calc_Variable_1[Jemena],Calc_Variable_1[[Customer type]:[Customer type]],"All")+SUMIFS(Calc_Variable_1[Jemena],Calc_Variable_1[[Customer type]:[Customer type]],$F114)</f>
        <v>0.1004685164318367</v>
      </c>
      <c r="J114" s="61">
        <f>SUMIFS(Calc_Variable_1[Powercor],Calc_Variable_1[[Customer type]:[Customer type]],"All")+SUMIFS(Calc_Variable_1[Powercor],Calc_Variable_1[[Customer type]:[Customer type]],$F114)</f>
        <v>0.10101456016591261</v>
      </c>
      <c r="K114" s="61">
        <f>SUMIFS(Calc_Variable_1[United Energy],Calc_Variable_1[[Customer type]:[Customer type]],"All")+SUMIFS(Calc_Variable_1[United Energy],Calc_Variable_1[[Customer type]:[Customer type]],$F114)</f>
        <v>0.10194482796854157</v>
      </c>
    </row>
    <row r="115" spans="2:11" hidden="1" outlineLevel="1" x14ac:dyDescent="0.25">
      <c r="B115"/>
      <c r="C115" s="23" t="s">
        <v>203</v>
      </c>
      <c r="D115" s="23" t="s">
        <v>9</v>
      </c>
      <c r="E115" s="23" t="s">
        <v>282</v>
      </c>
      <c r="F115" s="23" t="s">
        <v>93</v>
      </c>
      <c r="G115" s="73" cm="1">
        <f t="array" ref="G115">IF(G113=0,"-",
(G113+G114)*Calc_ROM_1[Ausnet])</f>
        <v>1.7257731446972586E-2</v>
      </c>
      <c r="H115" s="73" t="str" cm="1">
        <f t="array" ref="H115">IF(H113=0,"-",
(H113+H114)*Calc_ROM_1[Ausnet])</f>
        <v>-</v>
      </c>
      <c r="I115" s="73" t="str" cm="1">
        <f t="array" ref="I115">IF(I113=0,"-",
(I113+I114)*Calc_ROM_1[Ausnet])</f>
        <v>-</v>
      </c>
      <c r="J115" s="73" t="str" cm="1">
        <f t="array" ref="J115">IF(J113=0,"-",
(J113+J114)*Calc_ROM_1[Ausnet])</f>
        <v>-</v>
      </c>
      <c r="K115" s="73" t="str" cm="1">
        <f t="array" ref="K115">IF(K113=0,"-",
(K113+K114)*Calc_ROM_1[Ausnet])</f>
        <v>-</v>
      </c>
    </row>
    <row r="116" spans="2:11" hidden="1" outlineLevel="1" x14ac:dyDescent="0.25">
      <c r="B116"/>
      <c r="C116" s="23" t="s">
        <v>277</v>
      </c>
      <c r="D116" s="23" t="s">
        <v>9</v>
      </c>
      <c r="E116" s="23" t="s">
        <v>282</v>
      </c>
      <c r="F116" s="23" t="s">
        <v>93</v>
      </c>
      <c r="G116" s="73">
        <f>IF(G113=0,"-",
(G113+G114+G115)*GST)</f>
        <v>3.0298176202598889E-2</v>
      </c>
      <c r="H116" s="73" t="str">
        <f>IF(H113=0,"-",
(H113+H114+H115)*GST)</f>
        <v>-</v>
      </c>
      <c r="I116" s="73" t="str">
        <f>IF(I113=0,"-",
(I113+I114+I115)*GST)</f>
        <v>-</v>
      </c>
      <c r="J116" s="73" t="str">
        <f>IF(J113=0,"-",
(J113+J114+J115)*GST)</f>
        <v>-</v>
      </c>
      <c r="K116" s="73" t="str">
        <f>IF(K113=0,"-",
(K113+K114+K115)*GST)</f>
        <v>-</v>
      </c>
    </row>
    <row r="117" spans="2:11" hidden="1" outlineLevel="1" x14ac:dyDescent="0.25">
      <c r="B117"/>
      <c r="C117" s="23" t="str">
        <f>C112&amp;" charge"</f>
        <v>Balance charge</v>
      </c>
      <c r="D117" s="23" t="s">
        <v>9</v>
      </c>
      <c r="E117" s="23" t="s">
        <v>282</v>
      </c>
      <c r="F117" s="23" t="s">
        <v>93</v>
      </c>
      <c r="G117" s="74">
        <f>IF(G113=0,"-",
SUM(G113:G116))</f>
        <v>0.33327993822858776</v>
      </c>
      <c r="H117" s="74" t="str">
        <f>IF(H113=0,"-",
SUM(H113:H116))</f>
        <v>-</v>
      </c>
      <c r="I117" s="74" t="str">
        <f t="shared" ref="I117" si="31">IF(I113=0,"-",
SUM(I113:I116))</f>
        <v>-</v>
      </c>
      <c r="J117" s="74" t="str">
        <f t="shared" ref="J117" si="32">IF(J113=0,"-",
SUM(J113:J116))</f>
        <v>-</v>
      </c>
      <c r="K117" s="74" t="str">
        <f t="shared" ref="K117" si="33">IF(K113=0,"-",
SUM(K113:K116))</f>
        <v>-</v>
      </c>
    </row>
    <row r="118" spans="2:11" hidden="1" outlineLevel="1" x14ac:dyDescent="0.25">
      <c r="B118"/>
      <c r="G118" s="110" cm="1">
        <f t="array" ref="G118">IF($D$5='Lookup refs'!$D$25,
IF(G117=INDEX(RateCheck_VDO2021F[[Ausnet]:[United Energy]],MATCH(IF(OR(Calc_Rates!$C117="Single rate charge",Calc_Rates!$C117="Block 1 charge",Calc_Rates!$C117="Balance charge"),"Anytime - ","TOU - ")&amp;Calc_Rates!$C117&amp;"_"&amp;Calc_Rates!$F117,RateCheck_VDO2021F[Rate],0),MATCH(Calc_Rates!G$9,RateCheck_VDO2021F[[#Headers],[Ausnet]:[United Energy]],0)),0,1),
IF(G117="-","-",
IF(ROUND(G117,8)=ROUND((((
SUMIFS(Calc_Variable_1[Ausnet],Calc_Variable_1[Customer type],Calc_Rates!$F117)+
SUMIFS(Calc_Variable_1[Ausnet],Calc_Variable_1[Customer type],"All")+G113)*(1+Calc_ROM_1[Ausnet]))*(1+GST)),8),0,1)))</f>
        <v>0</v>
      </c>
      <c r="H118" s="110" t="str" cm="1">
        <f t="array" ref="H118">IF($D$5='Lookup refs'!$D$25,
IF(H117=INDEX(RateCheck_VDO2021F[[Ausnet]:[United Energy]],MATCH(IF(OR(Calc_Rates!$C117="Single rate charge",Calc_Rates!$C117="Block 1 charge",Calc_Rates!$C117="Balance charge"),"Anytime - ","TOU - ")&amp;Calc_Rates!$C117&amp;"_"&amp;Calc_Rates!$F117,RateCheck_VDO2021F[Rate],0),MATCH(Calc_Rates!H$9,RateCheck_VDO2021F[[#Headers],[Ausnet]:[United Energy]],0)),0,1),
IF(H117="-","-",
IF(ROUND(H117,8)=ROUND((((
SUMIFS(Calc_Variable_1[Citipower],Calc_Variable_1[Customer type],Calc_Rates!$F117)+
SUMIFS(Calc_Variable_1[Citipower],Calc_Variable_1[Customer type],"All")+H113)*(1+Calc_ROM_1[Citipower]))*(1+GST)),8),0,1)))</f>
        <v>-</v>
      </c>
      <c r="I118" s="110" t="str" cm="1">
        <f t="array" ref="I118">IF($D$5='Lookup refs'!$D$25,
IF(I117=INDEX(RateCheck_VDO2021F[[Ausnet]:[United Energy]],MATCH(IF(OR(Calc_Rates!$C117="Single rate charge",Calc_Rates!$C117="Block 1 charge",Calc_Rates!$C117="Balance charge"),"Anytime - ","TOU - ")&amp;Calc_Rates!$C117&amp;"_"&amp;Calc_Rates!$F117,RateCheck_VDO2021F[Rate],0),MATCH(Calc_Rates!I$9,RateCheck_VDO2021F[[#Headers],[Ausnet]:[United Energy]],0)),0,1),
IF(I117="-","-",
IF(ROUND(I117,8)=ROUND((((
SUMIFS(Calc_Variable_1[Jemena],Calc_Variable_1[Customer type],Calc_Rates!$F117)+
SUMIFS(Calc_Variable_1[Jemena],Calc_Variable_1[Customer type],"All")+I113)*(1+Calc_ROM_1[Jemena]))*(1+GST)),8),0,1)))</f>
        <v>-</v>
      </c>
      <c r="J118" s="110" t="str" cm="1">
        <f t="array" ref="J118">IF($D$5='Lookup refs'!$D$25,
IF(J117=INDEX(RateCheck_VDO2021F[[Ausnet]:[United Energy]],MATCH(IF(OR(Calc_Rates!$C117="Single rate charge",Calc_Rates!$C117="Block 1 charge",Calc_Rates!$C117="Balance charge"),"Anytime - ","TOU - ")&amp;Calc_Rates!$C117&amp;"_"&amp;Calc_Rates!$F117,RateCheck_VDO2021F[Rate],0),MATCH(Calc_Rates!J$9,RateCheck_VDO2021F[[#Headers],[Ausnet]:[United Energy]],0)),0,1),
IF(J117="-","-",
IF(ROUND(J117,8)=ROUND((((
SUMIFS(Calc_Variable_1[Powercor],Calc_Variable_1[[Customer type]:[Customer type]],Calc_Rates!$F117)+
SUMIFS(Calc_Variable_1[Powercor],Calc_Variable_1[[Customer type]:[Customer type]],"All")+J113)*(1+Calc_ROM_1[Powercor]))*(1+GST)),8),0,1)))</f>
        <v>-</v>
      </c>
      <c r="K118" s="110" t="str" cm="1">
        <f t="array" ref="K118">IF($D$5='Lookup refs'!$D$25,
IF(K117=INDEX(RateCheck_VDO2021F[[Ausnet]:[United Energy]],MATCH(IF(OR(Calc_Rates!$C117="Single rate charge",Calc_Rates!$C117="Block 1 charge",Calc_Rates!$C117="Balance charge"),"Anytime - ","TOU - ")&amp;Calc_Rates!$C117&amp;"_"&amp;Calc_Rates!$F117,RateCheck_VDO2021F[[Rate]:[Rate]],0),MATCH(Calc_Rates!K$9,RateCheck_VDO2021F[[#Headers],[Ausnet]:[United Energy]],0)),0,1),
IF(K117="-","-",
IF(ROUND(K117,8)=ROUND((((
SUMIFS(Calc_Variable_1[United Energy],Calc_Variable_1[[Customer type]:[Customer type]],Calc_Rates!$F117)+
SUMIFS(Calc_Variable_1[United Energy],Calc_Variable_1[[Customer type]:[Customer type]],"All")+K113)*(1+Calc_ROM_1[United Energy]))*(1+GST)),8),0,1)))</f>
        <v>-</v>
      </c>
    </row>
    <row r="119" spans="2:11" ht="15.75" hidden="1" outlineLevel="1" x14ac:dyDescent="0.25">
      <c r="B119"/>
      <c r="C119" s="81" t="s">
        <v>549</v>
      </c>
    </row>
    <row r="120" spans="2:11" hidden="1" outlineLevel="1" x14ac:dyDescent="0.25">
      <c r="B120"/>
      <c r="C120" s="23" t="s">
        <v>286</v>
      </c>
      <c r="D120" s="23" t="s">
        <v>9</v>
      </c>
      <c r="E120" s="23" t="s">
        <v>282</v>
      </c>
      <c r="F120" s="23" t="s">
        <v>93</v>
      </c>
      <c r="G120" s="61">
        <f>SUMIFS(Calc_NetworkV_1[Ausnet],Calc_NetworkV_1[[Cost item]:[Cost item]],$C119,Calc_NetworkV_1[[Customer type]:[Customer type]],$F120)</f>
        <v>0</v>
      </c>
      <c r="H120" s="61">
        <f>SUMIFS(Calc_NetworkV_1[Citipower],Calc_NetworkV_1[[Cost item]:[Cost item]],$C119,Calc_NetworkV_1[[Customer type]:[Customer type]],$F120)</f>
        <v>8.2100000000000006E-2</v>
      </c>
      <c r="I120" s="61">
        <f>SUMIFS(Calc_NetworkV_1[Jemena],Calc_NetworkV_1[[Cost item]:[Cost item]],$C119,Calc_NetworkV_1[[Customer type]:[Customer type]],$F120)</f>
        <v>0.10973000000000001</v>
      </c>
      <c r="J120" s="61">
        <f>SUMIFS(Calc_NetworkV_1[Powercor],Calc_NetworkV_1[[Cost item]:[Cost item]],$C119,Calc_NetworkV_1[[Customer type]:[Customer type]],$F120)</f>
        <v>9.2899999999999996E-2</v>
      </c>
      <c r="K120" s="61">
        <f>SUMIFS(Calc_NetworkV_1[United Energy],Calc_NetworkV_1[[Cost item]:[Cost item]],$C119,Calc_NetworkV_1[[Customer type]:[Customer type]],$F120)</f>
        <v>8.7899999999999992E-2</v>
      </c>
    </row>
    <row r="121" spans="2:11" hidden="1" outlineLevel="1" x14ac:dyDescent="0.25">
      <c r="B121"/>
      <c r="C121" s="23" t="s">
        <v>280</v>
      </c>
      <c r="D121" s="23" t="s">
        <v>9</v>
      </c>
      <c r="E121" s="23" t="s">
        <v>282</v>
      </c>
      <c r="F121" s="23" t="s">
        <v>93</v>
      </c>
      <c r="G121" s="61">
        <f>SUMIFS(Calc_Variable_1[Ausnet],Calc_Variable_1[[Customer type]:[Customer type]],"All")+SUMIFS(Calc_Variable_1[Ausnet],Calc_Variable_1[[Customer type]:[Customer type]],$F121)</f>
        <v>0.10305703057901627</v>
      </c>
      <c r="H121" s="61">
        <f>SUMIFS(Calc_Variable_1[Citipower],Calc_Variable_1[[Customer type]:[Customer type]],"All")+SUMIFS(Calc_Variable_1[Citipower],Calc_Variable_1[[Customer type]:[Customer type]],$F121)</f>
        <v>0.10190788814605516</v>
      </c>
      <c r="I121" s="61">
        <f>SUMIFS(Calc_Variable_1[Jemena],Calc_Variable_1[[Customer type]:[Customer type]],"All")+SUMIFS(Calc_Variable_1[Jemena],Calc_Variable_1[[Customer type]:[Customer type]],$F121)</f>
        <v>0.1004685164318367</v>
      </c>
      <c r="J121" s="61">
        <f>SUMIFS(Calc_Variable_1[Powercor],Calc_Variable_1[[Customer type]:[Customer type]],"All")+SUMIFS(Calc_Variable_1[Powercor],Calc_Variable_1[[Customer type]:[Customer type]],$F121)</f>
        <v>0.10101456016591261</v>
      </c>
      <c r="K121" s="61">
        <f>SUMIFS(Calc_Variable_1[United Energy],Calc_Variable_1[[Customer type]:[Customer type]],"All")+SUMIFS(Calc_Variable_1[United Energy],Calc_Variable_1[[Customer type]:[Customer type]],$F121)</f>
        <v>0.10194482796854157</v>
      </c>
    </row>
    <row r="122" spans="2:11" hidden="1" outlineLevel="1" x14ac:dyDescent="0.25">
      <c r="B122"/>
      <c r="C122" s="23" t="s">
        <v>203</v>
      </c>
      <c r="D122" s="23" t="s">
        <v>9</v>
      </c>
      <c r="E122" s="23" t="s">
        <v>282</v>
      </c>
      <c r="F122" s="23" t="s">
        <v>93</v>
      </c>
      <c r="G122" s="73" t="str" cm="1">
        <f t="array" ref="G122">IF(G120=0,"-",
(G120+G121)*Calc_ROM_1[Ausnet])</f>
        <v>-</v>
      </c>
      <c r="H122" s="73" cm="1">
        <f t="array" ref="H122">IF(H120=0,"-",
(H120+H121)*Calc_ROM_1[Ausnet])</f>
        <v>1.1114076444021733E-2</v>
      </c>
      <c r="I122" s="73" cm="1">
        <f t="array" ref="I122">IF(I120=0,"-",
(I120+I121)*Calc_ROM_1[Ausnet])</f>
        <v>1.2695990392482938E-2</v>
      </c>
      <c r="J122" s="73" cm="1">
        <f t="array" ref="J122">IF(J120=0,"-",
(J120+J121)*Calc_ROM_1[Ausnet])</f>
        <v>1.1712439434021121E-2</v>
      </c>
      <c r="K122" s="73" cm="1">
        <f t="array" ref="K122">IF(K120=0,"-",
(K120+K121)*Calc_ROM_1[Ausnet])</f>
        <v>1.1466627609299911E-2</v>
      </c>
    </row>
    <row r="123" spans="2:11" hidden="1" outlineLevel="1" x14ac:dyDescent="0.25">
      <c r="B123"/>
      <c r="C123" s="23" t="s">
        <v>277</v>
      </c>
      <c r="D123" s="23" t="s">
        <v>9</v>
      </c>
      <c r="E123" s="23" t="s">
        <v>282</v>
      </c>
      <c r="F123" s="23" t="s">
        <v>93</v>
      </c>
      <c r="G123" s="73" t="str">
        <f>IF(G120=0,"-",
(G120+G121+G122)*GST)</f>
        <v>-</v>
      </c>
      <c r="H123" s="73">
        <f>IF(H120=0,"-",
(H120+H121+H122)*GST)</f>
        <v>1.9512196459007692E-2</v>
      </c>
      <c r="I123" s="73">
        <f>IF(I120=0,"-",
(I120+I121+I122)*GST)</f>
        <v>2.2289450682431964E-2</v>
      </c>
      <c r="J123" s="73">
        <f>IF(J120=0,"-",
(J120+J121+J122)*GST)</f>
        <v>2.0562699959993373E-2</v>
      </c>
      <c r="K123" s="73">
        <f>IF(K120=0,"-",
(K120+K121+K122)*GST)</f>
        <v>2.0131145557784152E-2</v>
      </c>
    </row>
    <row r="124" spans="2:11" hidden="1" outlineLevel="1" x14ac:dyDescent="0.25">
      <c r="B124"/>
      <c r="C124" s="23" t="str">
        <f>C119&amp;" charge"</f>
        <v>Single rate charge</v>
      </c>
      <c r="D124" s="23" t="s">
        <v>9</v>
      </c>
      <c r="E124" s="23" t="s">
        <v>282</v>
      </c>
      <c r="F124" s="23" t="s">
        <v>93</v>
      </c>
      <c r="G124" s="74" t="str">
        <f>IF(G120=0,"-",
SUM(G120:G123))</f>
        <v>-</v>
      </c>
      <c r="H124" s="74">
        <f>IF(H120=0,"-",
SUM(H120:H123))</f>
        <v>0.21463416104908462</v>
      </c>
      <c r="I124" s="74">
        <f t="shared" ref="I124" si="34">IF(I120=0,"-",
SUM(I120:I123))</f>
        <v>0.24518395750675159</v>
      </c>
      <c r="J124" s="74">
        <f t="shared" ref="J124" si="35">IF(J120=0,"-",
SUM(J120:J123))</f>
        <v>0.2261896995599271</v>
      </c>
      <c r="K124" s="74">
        <f t="shared" ref="K124" si="36">IF(K120=0,"-",
SUM(K120:K123))</f>
        <v>0.22144260113562564</v>
      </c>
    </row>
    <row r="125" spans="2:11" hidden="1" outlineLevel="1" x14ac:dyDescent="0.25">
      <c r="B125"/>
      <c r="G125" s="110" t="str" cm="1">
        <f t="array" ref="G125">IF($D$5='Lookup refs'!$D$25,
IF(G124=INDEX(RateCheck_VDO2021F[[Ausnet]:[United Energy]],MATCH(IF(OR(Calc_Rates!$C124="Single rate charge",Calc_Rates!$C124="Block 1 charge",Calc_Rates!$C124="Balance charge"),"Anytime - ","TOU - ")&amp;Calc_Rates!$C124&amp;"_"&amp;Calc_Rates!$F124,RateCheck_VDO2021F[Rate],0),MATCH(Calc_Rates!G$9,RateCheck_VDO2021F[[#Headers],[Ausnet]:[United Energy]],0)),0,1),
IF(G124="-","-",
IF(ROUND(G124,8)=ROUND((((
SUMIFS(Calc_Variable_1[Ausnet],Calc_Variable_1[Customer type],Calc_Rates!$F124)+
SUMIFS(Calc_Variable_1[Ausnet],Calc_Variable_1[Customer type],"All")+G120)*(1+Calc_ROM_1[Ausnet]))*(1+GST)),8),0,1)))</f>
        <v>-</v>
      </c>
      <c r="H125" s="110" cm="1">
        <f t="array" ref="H125">IF($D$5='Lookup refs'!$D$25,
IF(H124=INDEX(RateCheck_VDO2021F[[Ausnet]:[United Energy]],MATCH(IF(OR(Calc_Rates!$C124="Single rate charge",Calc_Rates!$C124="Block 1 charge",Calc_Rates!$C124="Balance charge"),"Anytime - ","TOU - ")&amp;Calc_Rates!$C124&amp;"_"&amp;Calc_Rates!$F124,RateCheck_VDO2021F[Rate],0),MATCH(Calc_Rates!H$9,RateCheck_VDO2021F[[#Headers],[Ausnet]:[United Energy]],0)),0,1),
IF(H124="-","-",
IF(ROUND(H124,8)=ROUND((((
SUMIFS(Calc_Variable_1[Citipower],Calc_Variable_1[Customer type],Calc_Rates!$F124)+
SUMIFS(Calc_Variable_1[Citipower],Calc_Variable_1[Customer type],"All")+H120)*(1+Calc_ROM_1[Citipower]))*(1+GST)),8),0,1)))</f>
        <v>0</v>
      </c>
      <c r="I125" s="110" cm="1">
        <f t="array" ref="I125">IF($D$5='Lookup refs'!$D$25,
IF(I124=INDEX(RateCheck_VDO2021F[[Ausnet]:[United Energy]],MATCH(IF(OR(Calc_Rates!$C124="Single rate charge",Calc_Rates!$C124="Block 1 charge",Calc_Rates!$C124="Balance charge"),"Anytime - ","TOU - ")&amp;Calc_Rates!$C124&amp;"_"&amp;Calc_Rates!$F124,RateCheck_VDO2021F[Rate],0),MATCH(Calc_Rates!I$9,RateCheck_VDO2021F[[#Headers],[Ausnet]:[United Energy]],0)),0,1),
IF(I124="-","-",
IF(ROUND(I124,8)=ROUND((((
SUMIFS(Calc_Variable_1[Jemena],Calc_Variable_1[Customer type],Calc_Rates!$F124)+
SUMIFS(Calc_Variable_1[Jemena],Calc_Variable_1[Customer type],"All")+I120)*(1+Calc_ROM_1[Jemena]))*(1+GST)),8),0,1)))</f>
        <v>0</v>
      </c>
      <c r="J125" s="110" cm="1">
        <f t="array" ref="J125">IF($D$5='Lookup refs'!$D$25,
IF(J124=INDEX(RateCheck_VDO2021F[[Ausnet]:[United Energy]],MATCH(IF(OR(Calc_Rates!$C124="Single rate charge",Calc_Rates!$C124="Block 1 charge",Calc_Rates!$C124="Balance charge"),"Anytime - ","TOU - ")&amp;Calc_Rates!$C124&amp;"_"&amp;Calc_Rates!$F124,RateCheck_VDO2021F[Rate],0),MATCH(Calc_Rates!J$9,RateCheck_VDO2021F[[#Headers],[Ausnet]:[United Energy]],0)),0,1),
IF(J124="-","-",
IF(ROUND(J124,8)=ROUND((((
SUMIFS(Calc_Variable_1[Powercor],Calc_Variable_1[[Customer type]:[Customer type]],Calc_Rates!$F124)+
SUMIFS(Calc_Variable_1[Powercor],Calc_Variable_1[[Customer type]:[Customer type]],"All")+J120)*(1+Calc_ROM_1[Powercor]))*(1+GST)),8),0,1)))</f>
        <v>0</v>
      </c>
      <c r="K125" s="110" cm="1">
        <f t="array" ref="K125">IF($D$5='Lookup refs'!$D$25,
IF(K124=INDEX(RateCheck_VDO2021F[[Ausnet]:[United Energy]],MATCH(IF(OR(Calc_Rates!$C124="Single rate charge",Calc_Rates!$C124="Block 1 charge",Calc_Rates!$C124="Balance charge"),"Anytime - ","TOU - ")&amp;Calc_Rates!$C124&amp;"_"&amp;Calc_Rates!$F124,RateCheck_VDO2021F[[Rate]:[Rate]],0),MATCH(Calc_Rates!K$9,RateCheck_VDO2021F[[#Headers],[Ausnet]:[United Energy]],0)),0,1),
IF(K124="-","-",
IF(ROUND(K124,8)=ROUND((((
SUMIFS(Calc_Variable_1[United Energy],Calc_Variable_1[[Customer type]:[Customer type]],Calc_Rates!$F124)+
SUMIFS(Calc_Variable_1[United Energy],Calc_Variable_1[[Customer type]:[Customer type]],"All")+K120)*(1+Calc_ROM_1[United Energy]))*(1+GST)),8),0,1)))</f>
        <v>0</v>
      </c>
    </row>
    <row r="126" spans="2:11" ht="15.75" hidden="1" outlineLevel="1" x14ac:dyDescent="0.25">
      <c r="B126"/>
      <c r="C126" s="185" t="s">
        <v>616</v>
      </c>
    </row>
    <row r="127" spans="2:11" ht="15.75" hidden="1" outlineLevel="1" x14ac:dyDescent="0.25">
      <c r="B127"/>
      <c r="C127" s="81" t="s">
        <v>230</v>
      </c>
    </row>
    <row r="128" spans="2:11" hidden="1" outlineLevel="1" x14ac:dyDescent="0.25">
      <c r="B128"/>
      <c r="C128" s="23" t="s">
        <v>286</v>
      </c>
      <c r="D128" s="23" t="s">
        <v>9</v>
      </c>
      <c r="E128" s="23" t="s">
        <v>282</v>
      </c>
      <c r="F128" s="23" t="s">
        <v>93</v>
      </c>
      <c r="G128" s="61">
        <f>SUMIFS(Calc_NetworkV_1[Ausnet],Calc_NetworkV_1[[Cost item]:[Cost item]],$C127,Calc_NetworkV_1[[Customer type]:[Customer type]],$F128)</f>
        <v>0.17508700000000002</v>
      </c>
      <c r="H128" s="61">
        <f>SUMIFS(Calc_NetworkV_1[Citipower],Calc_NetworkV_1[[Cost item]:[Cost item]],$C127,Calc_NetworkV_1[[Customer type]:[Customer type]],$F128)</f>
        <v>0.13019999999999998</v>
      </c>
      <c r="I128" s="61">
        <f>SUMIFS(Calc_NetworkV_1[Jemena],Calc_NetworkV_1[[Cost item]:[Cost item]],$C127,Calc_NetworkV_1[[Customer type]:[Customer type]],$F128)</f>
        <v>0.14330999999999999</v>
      </c>
      <c r="J128" s="61">
        <f>SUMIFS(Calc_NetworkV_1[Powercor],Calc_NetworkV_1[[Cost item]:[Cost item]],$C127,Calc_NetworkV_1[[Customer type]:[Customer type]],$F128)</f>
        <v>0.14749999999999999</v>
      </c>
      <c r="K128" s="61">
        <f>SUMIFS(Calc_NetworkV_1[United Energy],Calc_NetworkV_1[[Cost item]:[Cost item]],$C127,Calc_NetworkV_1[[Customer type]:[Customer type]],$F128)</f>
        <v>0.1399</v>
      </c>
    </row>
    <row r="129" spans="1:11" hidden="1" outlineLevel="1" x14ac:dyDescent="0.25">
      <c r="B129"/>
      <c r="C129" s="23" t="s">
        <v>280</v>
      </c>
      <c r="D129" s="23" t="s">
        <v>9</v>
      </c>
      <c r="E129" s="23" t="s">
        <v>282</v>
      </c>
      <c r="F129" s="23" t="s">
        <v>93</v>
      </c>
      <c r="G129" s="61">
        <f>SUMIFS(Calc_Variable_1[Ausnet],Calc_Variable_1[[Customer type]:[Customer type]],"All")+SUMIFS(Calc_Variable_1[Ausnet],Calc_Variable_1[[Customer type]:[Customer type]],$F129)</f>
        <v>0.10305703057901627</v>
      </c>
      <c r="H129" s="61">
        <f>SUMIFS(Calc_Variable_1[Citipower],Calc_Variable_1[[Customer type]:[Customer type]],"All")+SUMIFS(Calc_Variable_1[Citipower],Calc_Variable_1[[Customer type]:[Customer type]],$F129)</f>
        <v>0.10190788814605516</v>
      </c>
      <c r="I129" s="61">
        <f>SUMIFS(Calc_Variable_1[Jemena],Calc_Variable_1[[Customer type]:[Customer type]],"All")+SUMIFS(Calc_Variable_1[Jemena],Calc_Variable_1[[Customer type]:[Customer type]],$F129)</f>
        <v>0.1004685164318367</v>
      </c>
      <c r="J129" s="61">
        <f>SUMIFS(Calc_Variable_1[Powercor],Calc_Variable_1[[Customer type]:[Customer type]],"All")+SUMIFS(Calc_Variable_1[Powercor],Calc_Variable_1[[Customer type]:[Customer type]],$F129)</f>
        <v>0.10101456016591261</v>
      </c>
      <c r="K129" s="61">
        <f>SUMIFS(Calc_Variable_1[United Energy],Calc_Variable_1[[Customer type]:[Customer type]],"All")+SUMIFS(Calc_Variable_1[United Energy],Calc_Variable_1[[Customer type]:[Customer type]],$F129)</f>
        <v>0.10194482796854157</v>
      </c>
    </row>
    <row r="130" spans="1:11" hidden="1" outlineLevel="1" x14ac:dyDescent="0.25">
      <c r="B130"/>
      <c r="C130" s="23" t="s">
        <v>203</v>
      </c>
      <c r="D130" s="23" t="s">
        <v>9</v>
      </c>
      <c r="E130" s="23" t="s">
        <v>282</v>
      </c>
      <c r="F130" s="23" t="s">
        <v>93</v>
      </c>
      <c r="G130" s="73" cm="1">
        <f t="array" ref="G130">IF(G128=0,"-",
(G128+G129)*Calc_ROM_1[Ausnet])</f>
        <v>1.6799899446972584E-2</v>
      </c>
      <c r="H130" s="73" cm="1">
        <f t="array" ref="H130">IF(H128=0,"-",
(H128+H129)*Calc_ROM_1[Ausnet])</f>
        <v>1.4019316444021731E-2</v>
      </c>
      <c r="I130" s="73" cm="1">
        <f t="array" ref="I130">IF(I128=0,"-",
(I128+I129)*Calc_ROM_1[Ausnet])</f>
        <v>1.4724222392482935E-2</v>
      </c>
      <c r="J130" s="73" cm="1">
        <f t="array" ref="J130">IF(J128=0,"-",
(J128+J129)*Calc_ROM_1[Ausnet])</f>
        <v>1.5010279434021122E-2</v>
      </c>
      <c r="K130" s="73" cm="1">
        <f t="array" ref="K130">IF(K128=0,"-",
(K128+K129)*Calc_ROM_1[Ausnet])</f>
        <v>1.4607427609299912E-2</v>
      </c>
    </row>
    <row r="131" spans="1:11" hidden="1" outlineLevel="1" x14ac:dyDescent="0.25">
      <c r="B131"/>
      <c r="C131" s="23" t="s">
        <v>277</v>
      </c>
      <c r="D131" s="23" t="s">
        <v>9</v>
      </c>
      <c r="E131" s="23" t="s">
        <v>282</v>
      </c>
      <c r="F131" s="23" t="s">
        <v>93</v>
      </c>
      <c r="G131" s="73">
        <f>IF(G128=0,"-",
(G128+G129+G130)*GST)</f>
        <v>2.9494393002598887E-2</v>
      </c>
      <c r="H131" s="73">
        <f>IF(H128=0,"-",
(H128+H129+H130)*GST)</f>
        <v>2.4612720459007691E-2</v>
      </c>
      <c r="I131" s="73">
        <f>IF(I128=0,"-",
(I128+I129+I130)*GST)</f>
        <v>2.5850273882431964E-2</v>
      </c>
      <c r="J131" s="73">
        <f>IF(J128=0,"-",
(J128+J129+J130)*GST)</f>
        <v>2.6352483959993372E-2</v>
      </c>
      <c r="K131" s="73">
        <f>IF(K128=0,"-",
(K128+K129+K130)*GST)</f>
        <v>2.5645225557784146E-2</v>
      </c>
    </row>
    <row r="132" spans="1:11" hidden="1" outlineLevel="1" x14ac:dyDescent="0.25">
      <c r="B132"/>
      <c r="C132" s="23" t="str">
        <f>C127&amp;" charge"</f>
        <v>Peak charge</v>
      </c>
      <c r="D132" s="23" t="s">
        <v>9</v>
      </c>
      <c r="E132" s="23" t="s">
        <v>282</v>
      </c>
      <c r="F132" s="23" t="s">
        <v>93</v>
      </c>
      <c r="G132" s="74">
        <f>IF(G128=0,"-",
SUM(G128:G131))</f>
        <v>0.32443832302858772</v>
      </c>
      <c r="H132" s="74">
        <f>IF(H128=0,"-",
SUM(H128:H131))</f>
        <v>0.27073992504908456</v>
      </c>
      <c r="I132" s="74">
        <f t="shared" ref="I132" si="37">IF(I128=0,"-",
SUM(I128:I131))</f>
        <v>0.28435301270675156</v>
      </c>
      <c r="J132" s="74">
        <f t="shared" ref="J132" si="38">IF(J128=0,"-",
SUM(J128:J131))</f>
        <v>0.28987732355992712</v>
      </c>
      <c r="K132" s="74">
        <f t="shared" ref="K132" si="39">IF(K128=0,"-",
SUM(K128:K131))</f>
        <v>0.28209748113562561</v>
      </c>
    </row>
    <row r="133" spans="1:11" hidden="1" outlineLevel="1" x14ac:dyDescent="0.25">
      <c r="B133"/>
      <c r="G133" s="110" cm="1">
        <f t="array" ref="G133">IF($D$5='Lookup refs'!$D$25,
IF(G132=INDEX(RateCheck_VDO2021F[[Ausnet]:[United Energy]],MATCH(IF(OR(Calc_Rates!$C132="Single rate charge",Calc_Rates!$C132="Block 1 charge",Calc_Rates!$C132="Balance charge"),"Anytime - ","TOU - ")&amp;Calc_Rates!$C132&amp;"_"&amp;Calc_Rates!$F132,RateCheck_VDO2021F[Rate],0),MATCH(Calc_Rates!G$9,RateCheck_VDO2021F[[#Headers],[Ausnet]:[United Energy]],0)),0,1),
IF(G132="-","-",
IF(ROUND(G132,8)=ROUND((((
SUMIFS(Calc_Variable_1[Ausnet],Calc_Variable_1[Customer type],Calc_Rates!$F132)+
SUMIFS(Calc_Variable_1[Ausnet],Calc_Variable_1[Customer type],"All")+G128)*(1+Calc_ROM_1[Ausnet]))*(1+GST)),8),0,1)))</f>
        <v>0</v>
      </c>
      <c r="H133" s="110" cm="1">
        <f t="array" ref="H133">IF($D$5='Lookup refs'!$D$25,
IF(H132=INDEX(RateCheck_VDO2021F[[Ausnet]:[United Energy]],MATCH(IF(OR(Calc_Rates!$C132="Single rate charge",Calc_Rates!$C132="Block 1 charge",Calc_Rates!$C132="Balance charge"),"Anytime - ","TOU - ")&amp;Calc_Rates!$C132&amp;"_"&amp;Calc_Rates!$F132,RateCheck_VDO2021F[Rate],0),MATCH(Calc_Rates!H$9,RateCheck_VDO2021F[[#Headers],[Ausnet]:[United Energy]],0)),0,1),
IF(H132="-","-",
IF(ROUND(H132,8)=ROUND((((
SUMIFS(Calc_Variable_1[Citipower],Calc_Variable_1[Customer type],Calc_Rates!$F132)+
SUMIFS(Calc_Variable_1[Citipower],Calc_Variable_1[Customer type],"All")+H128)*(1+Calc_ROM_1[Citipower]))*(1+GST)),8),0,1)))</f>
        <v>0</v>
      </c>
      <c r="I133" s="110" cm="1">
        <f t="array" ref="I133">IF($D$5='Lookup refs'!$D$25,
IF(I132=INDEX(RateCheck_VDO2021F[[Ausnet]:[United Energy]],MATCH(IF(OR(Calc_Rates!$C132="Single rate charge",Calc_Rates!$C132="Block 1 charge",Calc_Rates!$C132="Balance charge"),"Anytime - ","TOU - ")&amp;Calc_Rates!$C132&amp;"_"&amp;Calc_Rates!$F132,RateCheck_VDO2021F[Rate],0),MATCH(Calc_Rates!I$9,RateCheck_VDO2021F[[#Headers],[Ausnet]:[United Energy]],0)),0,1),
IF(I132="-","-",
IF(ROUND(I132,8)=ROUND((((
SUMIFS(Calc_Variable_1[Jemena],Calc_Variable_1[Customer type],Calc_Rates!$F132)+
SUMIFS(Calc_Variable_1[Jemena],Calc_Variable_1[Customer type],"All")+I128)*(1+Calc_ROM_1[Jemena]))*(1+GST)),8),0,1)))</f>
        <v>0</v>
      </c>
      <c r="J133" s="110" cm="1">
        <f t="array" ref="J133">IF($D$5='Lookup refs'!$D$25,
IF(J132=INDEX(RateCheck_VDO2021F[[Ausnet]:[United Energy]],MATCH(IF(OR(Calc_Rates!$C132="Single rate charge",Calc_Rates!$C132="Block 1 charge",Calc_Rates!$C132="Balance charge"),"Anytime - ","TOU - ")&amp;Calc_Rates!$C132&amp;"_"&amp;Calc_Rates!$F132,RateCheck_VDO2021F[Rate],0),MATCH(Calc_Rates!J$9,RateCheck_VDO2021F[[#Headers],[Ausnet]:[United Energy]],0)),0,1),
IF(J132="-","-",
IF(ROUND(J132,8)=ROUND((((
SUMIFS(Calc_Variable_1[Powercor],Calc_Variable_1[[Customer type]:[Customer type]],Calc_Rates!$F132)+
SUMIFS(Calc_Variable_1[Powercor],Calc_Variable_1[[Customer type]:[Customer type]],"All")+J128)*(1+Calc_ROM_1[Powercor]))*(1+GST)),8),0,1)))</f>
        <v>0</v>
      </c>
      <c r="K133" s="110" cm="1">
        <f t="array" ref="K133">IF($D$5='Lookup refs'!$D$25,
IF(K132=INDEX(RateCheck_VDO2021F[[Ausnet]:[United Energy]],MATCH(IF(OR(Calc_Rates!$C132="Single rate charge",Calc_Rates!$C132="Block 1 charge",Calc_Rates!$C132="Balance charge"),"Anytime - ","TOU - ")&amp;Calc_Rates!$C132&amp;"_"&amp;Calc_Rates!$F132,RateCheck_VDO2021F[[Rate]:[Rate]],0),MATCH(Calc_Rates!K$9,RateCheck_VDO2021F[[#Headers],[Ausnet]:[United Energy]],0)),0,1),
IF(K132="-","-",
IF(ROUND(K132,8)=ROUND((((
SUMIFS(Calc_Variable_1[United Energy],Calc_Variable_1[[Customer type]:[Customer type]],Calc_Rates!$F132)+
SUMIFS(Calc_Variable_1[United Energy],Calc_Variable_1[[Customer type]:[Customer type]],"All")+K128)*(1+Calc_ROM_1[United Energy]))*(1+GST)),8),0,1)))</f>
        <v>0</v>
      </c>
    </row>
    <row r="134" spans="1:11" ht="15.75" hidden="1" outlineLevel="1" x14ac:dyDescent="0.25">
      <c r="B134"/>
      <c r="C134" s="81" t="s">
        <v>609</v>
      </c>
    </row>
    <row r="135" spans="1:11" hidden="1" outlineLevel="1" x14ac:dyDescent="0.25">
      <c r="B135"/>
      <c r="C135" s="23" t="s">
        <v>286</v>
      </c>
      <c r="D135" s="23" t="s">
        <v>9</v>
      </c>
      <c r="E135" s="23" t="s">
        <v>282</v>
      </c>
      <c r="F135" s="23" t="s">
        <v>93</v>
      </c>
      <c r="G135" s="61">
        <f>SUMIFS(Calc_NetworkV_1[Ausnet],Calc_NetworkV_1[[Cost item]:[Cost item]],$C134,Calc_NetworkV_1[[Customer type]:[Customer type]],$F135)</f>
        <v>4.2655999999999999E-2</v>
      </c>
      <c r="H135" s="61">
        <f>SUMIFS(Calc_NetworkV_1[Citipower],Calc_NetworkV_1[[Cost item]:[Cost item]],$C134,Calc_NetworkV_1[[Customer type]:[Customer type]],$F135)</f>
        <v>2.8900000000000002E-2</v>
      </c>
      <c r="I135" s="61">
        <f>SUMIFS(Calc_NetworkV_1[Jemena],Calc_NetworkV_1[[Cost item]:[Cost item]],$C134,Calc_NetworkV_1[[Customer type]:[Customer type]],$F135)</f>
        <v>3.0520000000000002E-2</v>
      </c>
      <c r="J135" s="61">
        <f>SUMIFS(Calc_NetworkV_1[Powercor],Calc_NetworkV_1[[Cost item]:[Cost item]],$C134,Calc_NetworkV_1[[Customer type]:[Customer type]],$F135)</f>
        <v>3.2799999999999996E-2</v>
      </c>
      <c r="K135" s="61">
        <f>SUMIFS(Calc_NetworkV_1[United Energy],Calc_NetworkV_1[[Cost item]:[Cost item]],$C134,Calc_NetworkV_1[[Customer type]:[Customer type]],$F135)</f>
        <v>3.1099999999999999E-2</v>
      </c>
    </row>
    <row r="136" spans="1:11" hidden="1" outlineLevel="1" x14ac:dyDescent="0.25">
      <c r="B136"/>
      <c r="C136" s="23" t="s">
        <v>280</v>
      </c>
      <c r="D136" s="23" t="s">
        <v>9</v>
      </c>
      <c r="E136" s="23" t="s">
        <v>282</v>
      </c>
      <c r="F136" s="23" t="s">
        <v>93</v>
      </c>
      <c r="G136" s="61">
        <f>SUMIFS(Calc_Variable_1[Ausnet],Calc_Variable_1[[Customer type]:[Customer type]],"All")+SUMIFS(Calc_Variable_1[Ausnet],Calc_Variable_1[[Customer type]:[Customer type]],$F136)</f>
        <v>0.10305703057901627</v>
      </c>
      <c r="H136" s="61">
        <f>SUMIFS(Calc_Variable_1[Citipower],Calc_Variable_1[[Customer type]:[Customer type]],"All")+SUMIFS(Calc_Variable_1[Citipower],Calc_Variable_1[[Customer type]:[Customer type]],$F136)</f>
        <v>0.10190788814605516</v>
      </c>
      <c r="I136" s="61">
        <f>SUMIFS(Calc_Variable_1[Jemena],Calc_Variable_1[[Customer type]:[Customer type]],"All")+SUMIFS(Calc_Variable_1[Jemena],Calc_Variable_1[[Customer type]:[Customer type]],$F136)</f>
        <v>0.1004685164318367</v>
      </c>
      <c r="J136" s="61">
        <f>SUMIFS(Calc_Variable_1[Powercor],Calc_Variable_1[[Customer type]:[Customer type]],"All")+SUMIFS(Calc_Variable_1[Powercor],Calc_Variable_1[[Customer type]:[Customer type]],$F136)</f>
        <v>0.10101456016591261</v>
      </c>
      <c r="K136" s="61">
        <f>SUMIFS(Calc_Variable_1[United Energy],Calc_Variable_1[[Customer type]:[Customer type]],"All")+SUMIFS(Calc_Variable_1[United Energy],Calc_Variable_1[[Customer type]:[Customer type]],$F136)</f>
        <v>0.10194482796854157</v>
      </c>
    </row>
    <row r="137" spans="1:11" ht="15.75" hidden="1" outlineLevel="1" collapsed="1" x14ac:dyDescent="0.25">
      <c r="A137" s="1" t="s">
        <v>23</v>
      </c>
      <c r="C137" s="23" t="s">
        <v>203</v>
      </c>
      <c r="D137" s="23" t="s">
        <v>9</v>
      </c>
      <c r="E137" s="23" t="s">
        <v>282</v>
      </c>
      <c r="F137" s="23" t="s">
        <v>93</v>
      </c>
      <c r="G137" s="73" cm="1">
        <f t="array" ref="G137">IF(G135=0,"-",
(G135+G136)*Calc_ROM_1[Ausnet])</f>
        <v>8.801067046972583E-3</v>
      </c>
      <c r="H137" s="73" cm="1">
        <f t="array" ref="H137">IF(H135=0,"-",
(H135+H136)*Calc_ROM_1[Ausnet])</f>
        <v>7.9007964440217307E-3</v>
      </c>
      <c r="I137" s="73" cm="1">
        <f t="array" ref="I137">IF(I135=0,"-",
(I135+I136)*Calc_ROM_1[Ausnet])</f>
        <v>7.9117063924829378E-3</v>
      </c>
      <c r="J137" s="73" cm="1">
        <f t="array" ref="J137">IF(J135=0,"-",
(J135+J136)*Calc_ROM_1[Ausnet])</f>
        <v>8.0823994340211199E-3</v>
      </c>
      <c r="K137" s="73" cm="1">
        <f t="array" ref="K137">IF(K135=0,"-",
(K135+K136)*Calc_ROM_1[Ausnet])</f>
        <v>8.035907609299911E-3</v>
      </c>
    </row>
    <row r="138" spans="1:11" hidden="1" outlineLevel="1" x14ac:dyDescent="0.25">
      <c r="C138" s="23" t="s">
        <v>277</v>
      </c>
      <c r="D138" s="23" t="s">
        <v>9</v>
      </c>
      <c r="E138" s="23" t="s">
        <v>282</v>
      </c>
      <c r="F138" s="23" t="s">
        <v>93</v>
      </c>
      <c r="G138" s="73">
        <f>IF(G135=0,"-",
(G135+G136+G137)*GST)</f>
        <v>1.5451409762598886E-2</v>
      </c>
      <c r="H138" s="73">
        <f>IF(H135=0,"-",
(H135+H136+H137)*GST)</f>
        <v>1.3870868459007688E-2</v>
      </c>
      <c r="I138" s="73">
        <f>IF(I135=0,"-",
(I135+I136+I137)*GST)</f>
        <v>1.3890022282431963E-2</v>
      </c>
      <c r="J138" s="73">
        <f>IF(J135=0,"-",
(J135+J136+J137)*GST)</f>
        <v>1.4189695959993372E-2</v>
      </c>
      <c r="K138" s="73">
        <f>IF(K135=0,"-",
(K135+K136+K137)*GST)</f>
        <v>1.4108073557784146E-2</v>
      </c>
    </row>
    <row r="139" spans="1:11" hidden="1" outlineLevel="1" x14ac:dyDescent="0.25">
      <c r="C139" s="23" t="str">
        <f>C134&amp;" charge"</f>
        <v>Off peak charge</v>
      </c>
      <c r="D139" s="23" t="s">
        <v>9</v>
      </c>
      <c r="E139" s="23" t="s">
        <v>282</v>
      </c>
      <c r="F139" s="23" t="s">
        <v>93</v>
      </c>
      <c r="G139" s="74">
        <f>IF(G135=0,"-",
SUM(G135:G138))</f>
        <v>0.16996550738858773</v>
      </c>
      <c r="H139" s="74">
        <f>IF(H135=0,"-",
SUM(H135:H138))</f>
        <v>0.15257955304908455</v>
      </c>
      <c r="I139" s="74">
        <f t="shared" ref="I139" si="40">IF(I135=0,"-",
SUM(I135:I138))</f>
        <v>0.1527902451067516</v>
      </c>
      <c r="J139" s="74">
        <f t="shared" ref="J139" si="41">IF(J135=0,"-",
SUM(J135:J138))</f>
        <v>0.15608665555992707</v>
      </c>
      <c r="K139" s="74">
        <f t="shared" ref="K139" si="42">IF(K135=0,"-",
SUM(K135:K138))</f>
        <v>0.1551888091356256</v>
      </c>
    </row>
    <row r="140" spans="1:11" hidden="1" outlineLevel="1" x14ac:dyDescent="0.25">
      <c r="G140" s="110" cm="1">
        <f t="array" ref="G140">IF($D$5='Lookup refs'!$D$25,
IF(G139=INDEX(RateCheck_VDO2021F[[Ausnet]:[United Energy]],MATCH(IF(OR(Calc_Rates!$C139="Single rate charge",Calc_Rates!$C139="Block 1 charge",Calc_Rates!$C139="Balance charge"),"Anytime - ","TOU - ")&amp;Calc_Rates!$C139&amp;"_"&amp;Calc_Rates!$F139,RateCheck_VDO2021F[Rate],0),MATCH(Calc_Rates!G$9,RateCheck_VDO2021F[[#Headers],[Ausnet]:[United Energy]],0)),0,1),
IF(G139="-","-",
IF(ROUND(G139,8)=ROUND((((
SUMIFS(Calc_Variable_1[Ausnet],Calc_Variable_1[Customer type],Calc_Rates!$F139)+
SUMIFS(Calc_Variable_1[Ausnet],Calc_Variable_1[Customer type],"All")+G135)*(1+Calc_ROM_1[Ausnet]))*(1+GST)),8),0,1)))</f>
        <v>0</v>
      </c>
      <c r="H140" s="110" cm="1">
        <f t="array" ref="H140">IF($D$5='Lookup refs'!$D$25,
IF(H139=INDEX(RateCheck_VDO2021F[[Ausnet]:[United Energy]],MATCH(IF(OR(Calc_Rates!$C139="Single rate charge",Calc_Rates!$C139="Block 1 charge",Calc_Rates!$C139="Balance charge"),"Anytime - ","TOU - ")&amp;Calc_Rates!$C139&amp;"_"&amp;Calc_Rates!$F139,RateCheck_VDO2021F[Rate],0),MATCH(Calc_Rates!H$9,RateCheck_VDO2021F[[#Headers],[Ausnet]:[United Energy]],0)),0,1),
IF(H139="-","-",
IF(ROUND(H139,8)=ROUND((((
SUMIFS(Calc_Variable_1[Citipower],Calc_Variable_1[Customer type],Calc_Rates!$F139)+
SUMIFS(Calc_Variable_1[Citipower],Calc_Variable_1[Customer type],"All")+H135)*(1+Calc_ROM_1[Citipower]))*(1+GST)),8),0,1)))</f>
        <v>0</v>
      </c>
      <c r="I140" s="110" cm="1">
        <f t="array" ref="I140">IF($D$5='Lookup refs'!$D$25,
IF(I139=INDEX(RateCheck_VDO2021F[[Ausnet]:[United Energy]],MATCH(IF(OR(Calc_Rates!$C139="Single rate charge",Calc_Rates!$C139="Block 1 charge",Calc_Rates!$C139="Balance charge"),"Anytime - ","TOU - ")&amp;Calc_Rates!$C139&amp;"_"&amp;Calc_Rates!$F139,RateCheck_VDO2021F[Rate],0),MATCH(Calc_Rates!I$9,RateCheck_VDO2021F[[#Headers],[Ausnet]:[United Energy]],0)),0,1),
IF(I139="-","-",
IF(ROUND(I139,8)=ROUND((((
SUMIFS(Calc_Variable_1[Jemena],Calc_Variable_1[Customer type],Calc_Rates!$F139)+
SUMIFS(Calc_Variable_1[Jemena],Calc_Variable_1[Customer type],"All")+I135)*(1+Calc_ROM_1[Jemena]))*(1+GST)),8),0,1)))</f>
        <v>0</v>
      </c>
      <c r="J140" s="110" cm="1">
        <f t="array" ref="J140">IF($D$5='Lookup refs'!$D$25,
IF(J139=INDEX(RateCheck_VDO2021F[[Ausnet]:[United Energy]],MATCH(IF(OR(Calc_Rates!$C139="Single rate charge",Calc_Rates!$C139="Block 1 charge",Calc_Rates!$C139="Balance charge"),"Anytime - ","TOU - ")&amp;Calc_Rates!$C139&amp;"_"&amp;Calc_Rates!$F139,RateCheck_VDO2021F[Rate],0),MATCH(Calc_Rates!J$9,RateCheck_VDO2021F[[#Headers],[Ausnet]:[United Energy]],0)),0,1),
IF(J139="-","-",
IF(ROUND(J139,8)=ROUND((((
SUMIFS(Calc_Variable_1[Powercor],Calc_Variable_1[[Customer type]:[Customer type]],Calc_Rates!$F139)+
SUMIFS(Calc_Variable_1[Powercor],Calc_Variable_1[[Customer type]:[Customer type]],"All")+J135)*(1+Calc_ROM_1[Powercor]))*(1+GST)),8),0,1)))</f>
        <v>0</v>
      </c>
      <c r="K140" s="110" cm="1">
        <f t="array" ref="K140">IF($D$5='Lookup refs'!$D$25,
IF(K139=INDEX(RateCheck_VDO2021F[[Ausnet]:[United Energy]],MATCH(IF(OR(Calc_Rates!$C139="Single rate charge",Calc_Rates!$C139="Block 1 charge",Calc_Rates!$C139="Balance charge"),"Anytime - ","TOU - ")&amp;Calc_Rates!$C139&amp;"_"&amp;Calc_Rates!$F139,RateCheck_VDO2021F[[Rate]:[Rate]],0),MATCH(Calc_Rates!K$9,RateCheck_VDO2021F[[#Headers],[Ausnet]:[United Energy]],0)),0,1),
IF(K139="-","-",
IF(ROUND(K139,8)=ROUND((((
SUMIFS(Calc_Variable_1[United Energy],Calc_Variable_1[[Customer type]:[Customer type]],Calc_Rates!$F139)+
SUMIFS(Calc_Variable_1[United Energy],Calc_Variable_1[[Customer type]:[Customer type]],"All")+K135)*(1+Calc_ROM_1[United Energy]))*(1+GST)),8),0,1)))</f>
        <v>0</v>
      </c>
    </row>
    <row r="142" spans="1:11" ht="16.5" thickBot="1" x14ac:dyDescent="0.3">
      <c r="B142" s="9">
        <f ca="1">MAX(B$3:B136)+0.1</f>
        <v>12.2</v>
      </c>
      <c r="C142" s="28" t="s">
        <v>289</v>
      </c>
      <c r="D142" s="28"/>
      <c r="E142" s="28"/>
      <c r="F142" s="28"/>
      <c r="G142" s="28"/>
      <c r="H142" s="28"/>
      <c r="I142" s="28"/>
      <c r="J142" s="28"/>
      <c r="K142" s="28"/>
    </row>
    <row r="143" spans="1:11" outlineLevel="1" x14ac:dyDescent="0.25"/>
    <row r="144" spans="1:11" ht="15.75" outlineLevel="1" x14ac:dyDescent="0.25">
      <c r="C144" s="29" t="s">
        <v>249</v>
      </c>
    </row>
    <row r="145" spans="2:11" ht="15.75" outlineLevel="1" x14ac:dyDescent="0.25">
      <c r="C145" s="54" t="s">
        <v>290</v>
      </c>
      <c r="D145" s="76">
        <f>IFERROR(INDEX(Input_CPI[Indice],MATCH($D$5,Input_CPI[Decision paper],0),1),"-")</f>
        <v>121.3</v>
      </c>
    </row>
    <row r="146" spans="2:11" ht="15.75" outlineLevel="1" x14ac:dyDescent="0.25">
      <c r="C146" s="29"/>
    </row>
    <row r="147" spans="2:11" ht="15.75" outlineLevel="1" x14ac:dyDescent="0.25">
      <c r="B147" s="372"/>
      <c r="C147" s="43" t="s">
        <v>46</v>
      </c>
      <c r="D147" s="43" t="s">
        <v>102</v>
      </c>
      <c r="E147" s="43" t="s">
        <v>103</v>
      </c>
      <c r="F147" s="43" t="s">
        <v>91</v>
      </c>
      <c r="G147" s="43" t="s">
        <v>805</v>
      </c>
      <c r="H147" s="60" t="s">
        <v>291</v>
      </c>
      <c r="I147" s="60" t="s">
        <v>384</v>
      </c>
    </row>
    <row r="148" spans="2:11" outlineLevel="1" x14ac:dyDescent="0.25">
      <c r="B148" s="372"/>
      <c r="C148" s="23" t="s">
        <v>107</v>
      </c>
      <c r="D148" s="23"/>
      <c r="E148" s="23" t="str">
        <f>INDEX(Input_ForRateCalc[Unit],MATCH(Calc_CPI_1[[#This Row],[Cost item]],Input_ForRateCalc[Cost item],0),1)</f>
        <v>$</v>
      </c>
      <c r="F148" s="23" t="str">
        <f>INDEX(Input_ForRateCalc[Customer type],MATCH(Calc_CPI_1[[#This Row],[Cost item]],Input_ForRateCalc[Cost item],0),1)</f>
        <v>All</v>
      </c>
      <c r="G148" s="23" t="str">
        <f>INDEX(Input_CostItemCPI[[VDO 2021 - Final]:[VDO 2022-23 - Final]],MATCH(Calc_CPI_1[[#This Row],[Cost item]],Input_CostItemCPI[Cost item],0),MATCH($D$5,Input_CostItemCPI[#Headers],0))</f>
        <v>Yes</v>
      </c>
      <c r="H148" s="56">
        <f>IF(Calc_CPI_1[[#This Row],[Adjust?]]="No",0,
IFERROR(
($D$145-
INDEX(CPI[Indice],MATCH(
INDEX(Input_ForRateCalc[[F-PreviousVDO_InputDate]:[F-NextVDO_Input]],MATCH($C148,Input_ForRateCalc[Cost item],0),MATCH($D$5&amp;" - input date",Inputs!H$8:U$8,0)),
CPI[Period],0),1))/
INDEX(CPI[Indice],MATCH(
INDEX(Input_ForRateCalc[[F-PreviousVDO_InputDate]:[F-NextVDO_Input]],MATCH($C148,Input_ForRateCalc[Cost item],0),MATCH($D$5&amp;" - input date",Inputs!H$8:U$8,0)),
CPI[Period],0),1),"-"))</f>
        <v>9.5754290876242043E-2</v>
      </c>
      <c r="I148" s="61">
        <f>IFERROR((H148)*
INDEX(Input_ForRateCalc[[F-PreviousVDO_InputDate]:[F-NextVDO_Input]],MATCH(Calc_Rates!$C148,Input_ForRateCalc[Cost item],0),MATCH($D$5,Inputs!$H$8:$U$8,0)),"-")</f>
        <v>11.592971996386623</v>
      </c>
    </row>
    <row r="149" spans="2:11" outlineLevel="1" x14ac:dyDescent="0.25">
      <c r="B149" s="372"/>
      <c r="C149" s="23" t="s">
        <v>851</v>
      </c>
      <c r="D149" s="259"/>
      <c r="E149" s="23" t="str">
        <f>INDEX(Input_ForRateCalc[Unit],MATCH(Calc_CPI_1[[#This Row],[Cost item]],Input_ForRateCalc[Cost item],0),1)</f>
        <v>$</v>
      </c>
      <c r="F149" s="125" t="s">
        <v>110</v>
      </c>
      <c r="G149" s="364" t="str">
        <f>INDEX(Input_CostItemCPI[[VDO 2021 - Final]:[VDO 2022-23 - Final]],MATCH(Calc_CPI_1[[#This Row],[Cost item]],Input_CostItemCPI[Cost item],0),MATCH($D$5,Input_CostItemCPI[#Headers],0))</f>
        <v>No</v>
      </c>
      <c r="H149" s="56">
        <f>IF(Calc_CPI_1[[#This Row],[Adjust?]]="No",0,
IFERROR(
($D$145-
INDEX(CPI[Indice],MATCH(
INDEX(Input_ForRateCalc[[F-PreviousVDO_InputDate]:[F-NextVDO_Input]],MATCH($C149,Input_ForRateCalc[Cost item],0),MATCH($D$5&amp;" - input date",Inputs!H$8:U$8,0)),
CPI[Period],0),1))/
INDEX(CPI[Indice],MATCH(
INDEX(Input_ForRateCalc[[F-PreviousVDO_InputDate]:[F-NextVDO_Input]],MATCH($C149,Input_ForRateCalc[Cost item],0),MATCH($D$5&amp;" - input date",Inputs!H$8:U$8,0)),
CPI[Period],0),1),"-"))</f>
        <v>0</v>
      </c>
      <c r="I149" s="61">
        <f>IFERROR((H149)*
INDEX(Input_ForRateCalc[[F-PreviousVDO_InputDate]:[F-NextVDO_Input]],MATCH(Calc_Rates!$C149,Input_ForRateCalc[Cost item],0),MATCH($D$5,Inputs!$H$8:$U$8,0)),"-")</f>
        <v>0</v>
      </c>
      <c r="J149" t="s">
        <v>692</v>
      </c>
    </row>
    <row r="150" spans="2:11" outlineLevel="1" x14ac:dyDescent="0.25">
      <c r="B150" s="372"/>
      <c r="C150" s="125" t="s">
        <v>114</v>
      </c>
      <c r="D150" s="23"/>
      <c r="E150" s="23" t="str">
        <f>INDEX(Input_ForRateCalc[Unit],MATCH(Calc_CPI_1[[#This Row],[Cost item]],Input_ForRateCalc[Cost item],0),1)</f>
        <v>$</v>
      </c>
      <c r="F150" s="23" t="str">
        <f>INDEX(Input_ForRateCalc[Customer type],MATCH(Calc_CPI_1[[#This Row],[Cost item]],Input_ForRateCalc[Cost item],0),1)</f>
        <v>All</v>
      </c>
      <c r="G150" s="23" t="str">
        <f>INDEX(Input_CostItemCPI[[VDO 2021 - Final]:[VDO 2022-23 - Final]],MATCH(Calc_CPI_1[[#This Row],[Cost item]],Input_CostItemCPI[Cost item],0),MATCH($D$5,Input_CostItemCPI[#Headers],0))</f>
        <v>Yes</v>
      </c>
      <c r="H150" s="56">
        <f>IF(Calc_CPI_1[[#This Row],[Adjust?]]="No",0,
IFERROR(
($D$145-
INDEX(CPI[Indice],MATCH(
INDEX(Input_ForRateCalc[[F-PreviousVDO_InputDate]:[F-NextVDO_Input]],MATCH($C150,Input_ForRateCalc[Cost item],0),MATCH($D$5&amp;" - input date",Inputs!H$8:U$8,0)),
CPI[Period],0),1))/
INDEX(CPI[Indice],MATCH(
INDEX(Input_ForRateCalc[[F-PreviousVDO_InputDate]:[F-NextVDO_Input]],MATCH($C150,Input_ForRateCalc[Cost item],0),MATCH($D$5&amp;" - input date",Inputs!H$8:U$8,0)),
CPI[Period],0),1),"-"))</f>
        <v>5.6620209059233449E-2</v>
      </c>
      <c r="I150" s="61">
        <f>IFERROR((H150)*
INDEX(Input_ForRateCalc[[F-PreviousVDO_InputDate]:[F-NextVDO_Input]],MATCH(Calc_Rates!$C150,Input_ForRateCalc[Cost item],0),MATCH($D$5,Inputs!$H$8:$U$8,0)),"-")</f>
        <v>2.1515679442508713</v>
      </c>
    </row>
    <row r="151" spans="2:11" outlineLevel="1" x14ac:dyDescent="0.25">
      <c r="B151" s="372"/>
      <c r="C151" s="23" t="s">
        <v>116</v>
      </c>
      <c r="D151" s="23"/>
      <c r="E151" s="23" t="str">
        <f>INDEX(Input_ForRateCalc[Unit],MATCH(Calc_CPI_1[[#This Row],[Cost item]],Input_ForRateCalc[Cost item],0),1)</f>
        <v>$</v>
      </c>
      <c r="F151" s="23" t="str">
        <f>INDEX(Input_ForRateCalc[Customer type],MATCH(Calc_CPI_1[[#This Row],[Cost item]],Input_ForRateCalc[Cost item],0),1)</f>
        <v>All</v>
      </c>
      <c r="G151" s="23" t="str">
        <f>INDEX(Input_CostItemCPI[[VDO 2021 - Final]:[VDO 2022-23 - Final]],MATCH(Calc_CPI_1[[#This Row],[Cost item]],Input_CostItemCPI[Cost item],0),MATCH($D$5,Input_CostItemCPI[#Headers],0))</f>
        <v>No</v>
      </c>
      <c r="H151" s="56">
        <f>IF(Calc_CPI_1[[#This Row],[Adjust?]]="No",0,
IFERROR(
($D$145-
INDEX(CPI[Indice],MATCH(
INDEX(Input_ForRateCalc[[F-PreviousVDO_InputDate]:[F-NextVDO_Input]],MATCH($C151,Input_ForRateCalc[Cost item],0),MATCH($D$5&amp;" - input date",Inputs!H$8:U$8,0)),
CPI[Period],0),1))/
INDEX(CPI[Indice],MATCH(
INDEX(Input_ForRateCalc[[F-PreviousVDO_InputDate]:[F-NextVDO_Input]],MATCH($C151,Input_ForRateCalc[Cost item],0),MATCH($D$5&amp;" - input date",Inputs!H$8:U$8,0)),
CPI[Period],0),1),"-"))</f>
        <v>0</v>
      </c>
      <c r="I151" s="61">
        <f>IFERROR((H151)*
INDEX(Input_ForRateCalc[[F-PreviousVDO_InputDate]:[F-NextVDO_Input]],MATCH(Calc_Rates!$C151,Input_ForRateCalc[Cost item],0),MATCH($D$5,Inputs!$H$8:$U$8,0)),"-")</f>
        <v>0</v>
      </c>
    </row>
    <row r="152" spans="2:11" outlineLevel="1" x14ac:dyDescent="0.25">
      <c r="B152" s="372"/>
      <c r="C152" s="23" t="s">
        <v>117</v>
      </c>
      <c r="D152" s="23"/>
      <c r="E152" s="23" t="str">
        <f>INDEX(Input_ForRateCalc[Unit],MATCH(Calc_CPI_1[[#This Row],[Cost item]],Input_ForRateCalc[Cost item],0),1)</f>
        <v>$</v>
      </c>
      <c r="F152" s="23" t="str">
        <f>INDEX(Input_ForRateCalc[Customer type],MATCH(Calc_CPI_1[[#This Row],[Cost item]],Input_ForRateCalc[Cost item],0),1)</f>
        <v>All</v>
      </c>
      <c r="G152" s="23" t="str">
        <f>INDEX(Input_CostItemCPI[[VDO 2021 - Final]:[VDO 2022-23 - Final]],MATCH(Calc_CPI_1[[#This Row],[Cost item]],Input_CostItemCPI[Cost item],0),MATCH($D$5,Input_CostItemCPI[#Headers],0))</f>
        <v>Yes</v>
      </c>
      <c r="H152" s="56">
        <f>IF(Calc_CPI_1[[#This Row],[Adjust?]]="No",0,
IFERROR(
($D$145-
INDEX(CPI[Indice],MATCH(
INDEX(Input_ForRateCalc[[F-PreviousVDO_InputDate]:[F-NextVDO_Input]],MATCH($C152,Input_ForRateCalc[Cost item],0),MATCH($D$5&amp;" - input date",Inputs!H$8:U$8,0)),
CPI[Period],0),1))/
INDEX(CPI[Indice],MATCH(
INDEX(Input_ForRateCalc[[F-PreviousVDO_InputDate]:[F-NextVDO_Input]],MATCH($C152,Input_ForRateCalc[Cost item],0),MATCH($D$5&amp;" - input date",Inputs!H$8:U$8,0)),
CPI[Period],0),1),"-"))</f>
        <v>6.0314685314685236E-2</v>
      </c>
      <c r="I152" s="61">
        <f>IFERROR((H152)*
INDEX(Input_ForRateCalc[[F-PreviousVDO_InputDate]:[F-NextVDO_Input]],MATCH(Calc_Rates!$C152,Input_ForRateCalc[Cost item],0),MATCH($D$5,Inputs!$H$8:$U$8,0)),"-")</f>
        <v>0.12426989383602252</v>
      </c>
    </row>
    <row r="153" spans="2:11" outlineLevel="1" x14ac:dyDescent="0.25">
      <c r="B153" s="372"/>
      <c r="C153" s="59" t="s">
        <v>724</v>
      </c>
      <c r="D153" s="23"/>
      <c r="E153" s="23" t="str">
        <f>INDEX(Input_ForRateCalc[Unit],MATCH(Calc_CPI_1[[#This Row],[Cost item]],Input_ForRateCalc[Cost item],0),1)</f>
        <v>$/week</v>
      </c>
      <c r="F153" s="23" t="str">
        <f>INDEX(Input_ForRateCalc[Customer type],MATCH(Calc_CPI_1[[#This Row],[Cost item]],Input_ForRateCalc[Cost item],0),1)</f>
        <v>All</v>
      </c>
      <c r="G153" s="23" t="str">
        <f>INDEX(Input_CostItemCPI[[VDO 2021 - Final]:[VDO 2022-23 - Final]],MATCH(Calc_CPI_1[[#This Row],[Cost item]],Input_CostItemCPI[Cost item],0),MATCH($D$5,Input_CostItemCPI[#Headers],0))</f>
        <v>Yes</v>
      </c>
      <c r="H153" s="56">
        <f>IF(Calc_CPI_1[[#This Row],[Adjust?]]="No",0,
IFERROR(
($D$145-
INDEX(CPI[Indice],MATCH(
INDEX(Input_ForRateCalc[[F-PreviousVDO_InputDate]:[F-NextVDO_Input]],MATCH($C153,Input_ForRateCalc[Cost item],0),MATCH($D$5&amp;" - input date",Inputs!H$8:U$8,0)),
CPI[Period],0),1))/
INDEX(CPI[Indice],MATCH(
INDEX(Input_ForRateCalc[[F-PreviousVDO_InputDate]:[F-NextVDO_Input]],MATCH($C153,Input_ForRateCalc[Cost item],0),MATCH($D$5&amp;" - input date",Inputs!H$8:U$8,0)),
CPI[Period],0),1),"-"))</f>
        <v>2.1043771043771045E-2</v>
      </c>
      <c r="I153" s="61">
        <f>IFERROR((H153)*
INDEX(Input_ForRateCalc[[F-PreviousVDO_InputDate]:[F-NextVDO_Input]],MATCH(Calc_Rates!$C153,Input_ForRateCalc[Cost item],0),MATCH($D$5,Inputs!$H$8:$U$8,0)),"-")</f>
        <v>2.4936868686868685E-4</v>
      </c>
    </row>
    <row r="154" spans="2:11" outlineLevel="1" x14ac:dyDescent="0.25">
      <c r="B154" s="372"/>
      <c r="C154" s="44" t="s">
        <v>120</v>
      </c>
      <c r="D154" s="23"/>
      <c r="E154" s="23" t="str">
        <f>INDEX(Input_ForRateCalc[Unit],MATCH(Calc_CPI_1[[#This Row],[Cost item]],Input_ForRateCalc[Cost item],0),1)</f>
        <v>$/week</v>
      </c>
      <c r="F154" s="23" t="str">
        <f>INDEX(Input_ForRateCalc[Customer type],MATCH(Calc_CPI_1[[#This Row],[Cost item]],Input_ForRateCalc[Cost item],0),1)</f>
        <v>All</v>
      </c>
      <c r="G154" s="23" t="str">
        <f>INDEX(Input_CostItemCPI[[VDO 2021 - Final]:[VDO 2022-23 - Final]],MATCH(Calc_CPI_1[[#This Row],[Cost item]],Input_CostItemCPI[Cost item],0),MATCH($D$5,Input_CostItemCPI[#Headers],0))</f>
        <v>Yes</v>
      </c>
      <c r="H154" s="56">
        <f>IF(Calc_CPI_1[[#This Row],[Adjust?]]="No",0,
IFERROR(
($D$145-
INDEX(CPI[Indice],MATCH(
INDEX(Input_ForRateCalc[[F-PreviousVDO_InputDate]:[F-NextVDO_Input]],MATCH($C154,Input_ForRateCalc[Cost item],0),MATCH($D$5&amp;" - input date",Inputs!H$8:U$8,0)),
CPI[Period],0),1))/
INDEX(CPI[Indice],MATCH(
INDEX(Input_ForRateCalc[[F-PreviousVDO_InputDate]:[F-NextVDO_Input]],MATCH($C154,Input_ForRateCalc[Cost item],0),MATCH($D$5&amp;" - input date",Inputs!H$8:U$8,0)),
CPI[Period],0),1),"-"))</f>
        <v>2.1043771043771045E-2</v>
      </c>
      <c r="I154" s="61">
        <f>IFERROR((H154)*
INDEX(Input_ForRateCalc[[F-PreviousVDO_InputDate]:[F-NextVDO_Input]],MATCH(Calc_Rates!$C154,Input_ForRateCalc[Cost item],0),MATCH($D$5,Inputs!$H$8:$U$8,0)),"-")</f>
        <v>5.4545454545454548E-4</v>
      </c>
    </row>
    <row r="155" spans="2:11" outlineLevel="1" x14ac:dyDescent="0.25">
      <c r="B155" s="372"/>
      <c r="C155" s="44" t="s">
        <v>160</v>
      </c>
      <c r="D155" s="23"/>
      <c r="E155" s="23" t="str">
        <f>INDEX(Input_ForRateCalc[Unit],MATCH(Calc_CPI_1[[#This Row],[Cost item]],Input_ForRateCalc[Cost item],0),1)</f>
        <v>$/MWh</v>
      </c>
      <c r="F155" s="23" t="str">
        <f>INDEX(Input_ForRateCalc[Customer type],MATCH(Calc_CPI_1[[#This Row],[Cost item]],Input_ForRateCalc[Cost item],0),1)</f>
        <v>All</v>
      </c>
      <c r="G155" s="23" t="str">
        <f>INDEX(Input_CostItemCPI[[VDO 2021 - Final]:[VDO 2022-23 - Final]],MATCH(Calc_CPI_1[[#This Row],[Cost item]],Input_CostItemCPI[Cost item],0),MATCH($D$5,Input_CostItemCPI[#Headers],0))</f>
        <v>Yes</v>
      </c>
      <c r="H155" s="56">
        <f>IF(Calc_CPI_1[[#This Row],[Adjust?]]="No",0,
IFERROR(
($D$145-
INDEX(CPI[Indice],MATCH(
INDEX(Input_ForRateCalc[[F-PreviousVDO_InputDate]:[F-NextVDO_Input]],MATCH($C155,Input_ForRateCalc[Cost item],0),MATCH($D$5&amp;" - input date",Inputs!H$8:U$8,0)),
CPI[Period],0),1))/
INDEX(CPI[Indice],MATCH(
INDEX(Input_ForRateCalc[[F-PreviousVDO_InputDate]:[F-NextVDO_Input]],MATCH($C155,Input_ForRateCalc[Cost item],0),MATCH($D$5&amp;" - input date",Inputs!H$8:U$8,0)),
CPI[Period],0),1),"-"))</f>
        <v>2.1043771043771045E-2</v>
      </c>
      <c r="I155" s="61">
        <f>IFERROR((H155)*
INDEX(Input_ForRateCalc[[F-PreviousVDO_InputDate]:[F-NextVDO_Input]],MATCH(Calc_Rates!$C155,Input_ForRateCalc[Cost item],0),MATCH($D$5,Inputs!$H$8:$U$8,0)),"-")</f>
        <v>8.417929292929293E-3</v>
      </c>
    </row>
    <row r="156" spans="2:11" outlineLevel="1" x14ac:dyDescent="0.25">
      <c r="B156" s="372"/>
      <c r="C156" s="23" t="s">
        <v>758</v>
      </c>
      <c r="D156" s="23"/>
      <c r="E156" s="23" t="str">
        <f>INDEX(Input_ForRateCalc[Unit],MATCH(Calc_CPI_1[[#This Row],[Cost item]],Input_ForRateCalc[Cost item],0),1)</f>
        <v>$/MWh</v>
      </c>
      <c r="F156" s="125" t="s">
        <v>110</v>
      </c>
      <c r="G156" s="364" t="str">
        <f>INDEX(Input_CostItemCPI[[VDO 2021 - Final]:[VDO 2022-23 - Final]],MATCH(Calc_CPI_1[[#This Row],[Cost item]],Input_CostItemCPI[Cost item],0),MATCH($D$5,Input_CostItemCPI[#Headers],0))</f>
        <v>Yes</v>
      </c>
      <c r="H156" s="365">
        <f>IF(Calc_CPI_1[[#This Row],[Adjust?]]="No",0,
IFERROR(
($D$145-
INDEX(CPI[Indice],MATCH(
INDEX(Input_ForRateCalc[[F-PreviousVDO_InputDate]:[F-NextVDO_Input]],MATCH($C156,Input_ForRateCalc[Cost item],0),MATCH($D$5&amp;" - input date",Inputs!H$8:U$8,0)),
CPI[Period],0),1))/
INDEX(CPI[Indice],MATCH(
INDEX(Input_ForRateCalc[[F-PreviousVDO_InputDate]:[F-NextVDO_Input]],MATCH($C156,Input_ForRateCalc[Cost item],0),MATCH($D$5&amp;" - input date",Inputs!H$8:U$8,0)),
CPI[Period],0),1),"-"))</f>
        <v>2.1043771043771045E-2</v>
      </c>
      <c r="I156" s="61">
        <f>IFERROR((H156)*
INDEX(Input_ForRateCalc[[F-PreviousVDO_InputDate]:[F-NextVDO_Input]],MATCH(Calc_Rates!$C156,Input_ForRateCalc[Cost item],0),MATCH($D$5,Inputs!$H$8:$U$8,0)),"-")</f>
        <v>2.5936447811447812E-3</v>
      </c>
    </row>
    <row r="157" spans="2:11" outlineLevel="1" x14ac:dyDescent="0.25">
      <c r="B157" s="372"/>
      <c r="C157" s="44" t="s">
        <v>757</v>
      </c>
      <c r="D157" s="23"/>
      <c r="E157" s="23" t="str">
        <f>INDEX(Input_ForRateCalc[Unit],MATCH(Calc_CPI_1[[#This Row],[Cost item]],Input_ForRateCalc[Cost item],0),1)</f>
        <v>$/MWh</v>
      </c>
      <c r="F157" s="366" t="s">
        <v>110</v>
      </c>
      <c r="G157" s="364" t="str">
        <f>INDEX(Input_CostItemCPI[[VDO 2021 - Final]:[VDO 2022-23 - Final]],MATCH(Calc_CPI_1[[#This Row],[Cost item]],Input_CostItemCPI[Cost item],0),MATCH($D$5,Input_CostItemCPI[#Headers],0))</f>
        <v>Yes</v>
      </c>
      <c r="H157" s="365">
        <f>IF(Calc_CPI_1[[#This Row],[Adjust?]]="No",0,
IFERROR(
($D$145-
INDEX(CPI[Indice],MATCH(
INDEX(Input_ForRateCalc[[F-PreviousVDO_InputDate]:[F-NextVDO_Input]],MATCH($C157,Input_ForRateCalc[Cost item],0),MATCH($D$5&amp;" - input date",Inputs!H$8:U$8,0)),
CPI[Period],0),1))/
INDEX(CPI[Indice],MATCH(
INDEX(Input_ForRateCalc[[F-PreviousVDO_InputDate]:[F-NextVDO_Input]],MATCH($C157,Input_ForRateCalc[Cost item],0),MATCH($D$5&amp;" - input date",Inputs!H$8:U$8,0)),
CPI[Period],0),1),"-"))</f>
        <v>2.1043771043771045E-2</v>
      </c>
      <c r="I157" s="61">
        <f>IFERROR((H157)*
INDEX(Input_ForRateCalc[[F-PreviousVDO_InputDate]:[F-NextVDO_Input]],MATCH(Calc_Rates!$C157,Input_ForRateCalc[Cost item],0),MATCH($D$5,Inputs!$H$8:$U$8,0)),"-")</f>
        <v>5.5197811447811455E-4</v>
      </c>
    </row>
    <row r="158" spans="2:11" outlineLevel="1" x14ac:dyDescent="0.25">
      <c r="B158" s="372"/>
    </row>
    <row r="159" spans="2:11" ht="15.75" outlineLevel="1" x14ac:dyDescent="0.25">
      <c r="C159" s="29" t="s">
        <v>284</v>
      </c>
    </row>
    <row r="160" spans="2:11" ht="15.75" outlineLevel="1" x14ac:dyDescent="0.25">
      <c r="C160" s="43" t="s">
        <v>46</v>
      </c>
      <c r="D160" s="43" t="s">
        <v>102</v>
      </c>
      <c r="E160" s="43" t="s">
        <v>103</v>
      </c>
      <c r="F160" s="43" t="s">
        <v>91</v>
      </c>
      <c r="G160" s="60" t="s">
        <v>268</v>
      </c>
      <c r="H160" s="60" t="s">
        <v>269</v>
      </c>
      <c r="I160" s="60" t="s">
        <v>270</v>
      </c>
      <c r="J160" s="60" t="s">
        <v>271</v>
      </c>
      <c r="K160" s="60" t="s">
        <v>272</v>
      </c>
    </row>
    <row r="161" spans="1:11" outlineLevel="1" x14ac:dyDescent="0.25">
      <c r="C161" s="23" t="s">
        <v>293</v>
      </c>
      <c r="D161" s="23" t="s">
        <v>9</v>
      </c>
      <c r="E161" s="23" t="s">
        <v>204</v>
      </c>
      <c r="F161" s="23" t="s">
        <v>110</v>
      </c>
      <c r="G161" s="86" cm="1">
        <f t="array" ref="G161">IFERROR(INDEX(Input_ForRateCalc[[F-PreviousVDO_InputDate]:[F-NextVDO_Input]],MATCH(Calc_Losses_1[[#This Row],[Cost item]:[Cost item]]&amp;" - "&amp;Calc_Losses_1[[#Headers],[Ausnet]],Input_ForRateCalc[[Cost item]:[Cost item]],0),MATCH($D$5,Inputs!$H$8:$U$8,0)),"-")</f>
        <v>1.0056461538461539</v>
      </c>
      <c r="H161" s="86" cm="1">
        <f t="array" ref="H161">IFERROR(INDEX(Input_ForRateCalc[[F-PreviousVDO_InputDate]:[F-NextVDO_Input]],MATCH(Calc_Losses_1[[#This Row],[Cost item]:[Cost item]]&amp;" - "&amp;Calc_Losses_1[[#Headers],[Citipower]],Input_ForRateCalc[[Cost item]:[Cost item]],0),MATCH($D$5,Inputs!$H$8:$U$8,0)),"-")</f>
        <v>0.99787777777777775</v>
      </c>
      <c r="I161" s="86" cm="1">
        <f t="array" ref="I161">IFERROR(INDEX(Input_ForRateCalc[[F-PreviousVDO_InputDate]:[F-NextVDO_Input]],MATCH(Calc_Losses_1[[#This Row],[Cost item]:[Cost item]]&amp;" - "&amp;Calc_Losses_1[[#Headers],[Jemena]],Input_ForRateCalc[[Cost item]:[Cost item]],0),MATCH($D$5,Inputs!$H$8:$U$8,0)),"-")</f>
        <v>0.99932500000000002</v>
      </c>
      <c r="J161" s="86" cm="1">
        <f t="array" ref="J161">IFERROR(INDEX(Input_ForRateCalc[[F-PreviousVDO_InputDate]:[F-NextVDO_Input]],MATCH(Calc_Losses_1[[#This Row],[Cost item]:[Cost item]]&amp;" - "&amp;Calc_Losses_1[[#Headers],[Powercor]],Input_ForRateCalc[[Cost item]:[Cost item]],0),MATCH($D$5,Inputs!$H$8:$U$8,0)),"-")</f>
        <v>0.99378947368421044</v>
      </c>
      <c r="K161" s="86" cm="1">
        <f t="array" ref="K161">IFERROR(INDEX(Input_ForRateCalc[[F-PreviousVDO_InputDate]:[F-NextVDO_Input]],MATCH(Calc_Losses_1[[#This Row],[Cost item]:[Cost item]]&amp;" - "&amp;Calc_Losses_1[[#Headers],[United Energy]],Input_ForRateCalc[[Cost item]:[Cost item]],0),MATCH($D$5,Inputs!$H$8:$U$8,0)),"-")</f>
        <v>0.99566363636363631</v>
      </c>
    </row>
    <row r="162" spans="1:11" outlineLevel="1" x14ac:dyDescent="0.25">
      <c r="C162" s="23" t="s">
        <v>294</v>
      </c>
      <c r="D162" s="23" t="s">
        <v>9</v>
      </c>
      <c r="E162" s="23" t="s">
        <v>204</v>
      </c>
      <c r="F162" s="23" t="s">
        <v>110</v>
      </c>
      <c r="G162" s="86" cm="1">
        <f t="array" ref="G162">IFERROR(INDEX(Input_ForRateCalc[[F-PreviousVDO_InputDate]:[F-NextVDO_Input]],MATCH(Calc_Losses_1[[#This Row],[Cost item]:[Cost item]]&amp;" - "&amp;Calc_Losses_1[[#Headers],[Ausnet]],Input_ForRateCalc[[Cost item]:[Cost item]],0),MATCH($D$5,Inputs!$H$8:$U$8,0)),"-")</f>
        <v>1.0733923356752877</v>
      </c>
      <c r="H162" s="86" cm="1">
        <f t="array" ref="H162">IFERROR(INDEX(Input_ForRateCalc[[F-PreviousVDO_InputDate]:[F-NextVDO_Input]],MATCH(Calc_Losses_1[[#This Row],[Cost item]:[Cost item]]&amp;" - "&amp;Calc_Losses_1[[#Headers],[Citipower]],Input_ForRateCalc[[Cost item]:[Cost item]],0),MATCH($D$5,Inputs!$H$8:$U$8,0)),"-")</f>
        <v>1.05</v>
      </c>
      <c r="I162" s="86" cm="1">
        <f t="array" ref="I162">IFERROR(INDEX(Input_ForRateCalc[[F-PreviousVDO_InputDate]:[F-NextVDO_Input]],MATCH(Calc_Losses_1[[#This Row],[Cost item]:[Cost item]]&amp;" - "&amp;Calc_Losses_1[[#Headers],[Jemena]],Input_ForRateCalc[[Cost item]:[Cost item]],0),MATCH($D$5,Inputs!$H$8:$U$8,0)),"-")</f>
        <v>1.0429999999999999</v>
      </c>
      <c r="J162" s="86" cm="1">
        <f t="array" ref="J162">IFERROR(INDEX(Input_ForRateCalc[[F-PreviousVDO_InputDate]:[F-NextVDO_Input]],MATCH(Calc_Losses_1[[#This Row],[Cost item]:[Cost item]]&amp;" - "&amp;Calc_Losses_1[[#Headers],[Powercor]],Input_ForRateCalc[[Cost item]:[Cost item]],0),MATCH($D$5,Inputs!$H$8:$U$8,0)),"-")</f>
        <v>1.0782239470237072</v>
      </c>
      <c r="K162" s="86" cm="1">
        <f t="array" ref="K162">IFERROR(INDEX(Input_ForRateCalc[[F-PreviousVDO_InputDate]:[F-NextVDO_Input]],MATCH(Calc_Losses_1[[#This Row],[Cost item]:[Cost item]]&amp;" - "&amp;Calc_Losses_1[[#Headers],[United Energy]],Input_ForRateCalc[[Cost item]:[Cost item]],0),MATCH($D$5,Inputs!$H$8:$U$8,0)),"-")</f>
        <v>1.0525</v>
      </c>
    </row>
    <row r="163" spans="1:11" outlineLevel="1" x14ac:dyDescent="0.25">
      <c r="C163" s="44" t="s">
        <v>295</v>
      </c>
      <c r="D163" s="23" t="s">
        <v>9</v>
      </c>
      <c r="E163" s="44" t="s">
        <v>204</v>
      </c>
      <c r="F163" s="23" t="s">
        <v>110</v>
      </c>
      <c r="G163" s="241">
        <f>(G161*G162)-1</f>
        <v>7.9452873939792834E-2</v>
      </c>
      <c r="H163" s="241">
        <f t="shared" ref="H163:K163" si="43">(H161*H162)-1</f>
        <v>4.7771666666666768E-2</v>
      </c>
      <c r="I163" s="241">
        <f t="shared" si="43"/>
        <v>4.2295975000000041E-2</v>
      </c>
      <c r="J163" s="241">
        <f t="shared" si="43"/>
        <v>7.1527608826401856E-2</v>
      </c>
      <c r="K163" s="241">
        <f t="shared" si="43"/>
        <v>4.7935977272727248E-2</v>
      </c>
    </row>
    <row r="164" spans="1:11" outlineLevel="1" x14ac:dyDescent="0.25">
      <c r="B164"/>
    </row>
    <row r="165" spans="1:11" ht="15.75" outlineLevel="1" collapsed="1" x14ac:dyDescent="0.25">
      <c r="A165" s="1" t="s">
        <v>23</v>
      </c>
      <c r="C165" s="29" t="s">
        <v>203</v>
      </c>
    </row>
    <row r="166" spans="1:11" ht="15.75" outlineLevel="1" x14ac:dyDescent="0.25">
      <c r="C166" s="43" t="s">
        <v>46</v>
      </c>
      <c r="D166" s="43" t="s">
        <v>102</v>
      </c>
      <c r="E166" s="43" t="s">
        <v>103</v>
      </c>
      <c r="F166" s="43" t="s">
        <v>91</v>
      </c>
      <c r="G166" s="60" t="s">
        <v>268</v>
      </c>
      <c r="H166" s="60" t="s">
        <v>269</v>
      </c>
      <c r="I166" s="60" t="s">
        <v>270</v>
      </c>
      <c r="J166" s="60" t="s">
        <v>271</v>
      </c>
      <c r="K166" s="60" t="s">
        <v>272</v>
      </c>
    </row>
    <row r="167" spans="1:11" outlineLevel="1" x14ac:dyDescent="0.25">
      <c r="C167" s="23" t="s">
        <v>203</v>
      </c>
      <c r="D167" s="23" t="s">
        <v>9</v>
      </c>
      <c r="E167" s="23" t="s">
        <v>204</v>
      </c>
      <c r="F167" s="23" t="s">
        <v>110</v>
      </c>
      <c r="G167" s="86" cm="1">
        <f t="array" ref="G167">IFERROR(INDEX(Input_ForRateCalc[[F-PreviousVDO_InputDate]:[F-NextVDO_Input]],MATCH(Calc_ROM_1[[#This Row],[Cost item]:[Cost item]],Input_ForRateCalc[[Cost item]:[Cost item]],0),MATCH($D$5,Inputs!$H$8:$U$8,0)),"-")</f>
        <v>6.0400000000000002E-2</v>
      </c>
      <c r="H167" s="86" cm="1">
        <f t="array" ref="H167">IFERROR(INDEX(Input_ForRateCalc[[F-PreviousVDO_InputDate]:[F-NextVDO_Input]],MATCH(Calc_ROM_1[[#This Row],[Cost item]:[Cost item]],Input_ForRateCalc[[Cost item]:[Cost item]],0),MATCH($D$5,Inputs!$H$8:$U$8,0)),"-")</f>
        <v>6.0400000000000002E-2</v>
      </c>
      <c r="I167" s="86" cm="1">
        <f t="array" ref="I167">IFERROR(INDEX(Input_ForRateCalc[[F-PreviousVDO_InputDate]:[F-NextVDO_Input]],MATCH(Calc_ROM_1[[#This Row],[Cost item]:[Cost item]],Input_ForRateCalc[[Cost item]:[Cost item]],0),MATCH($D$5,Inputs!$H$8:$U$8,0)),"-")</f>
        <v>6.0400000000000002E-2</v>
      </c>
      <c r="J167" s="86" cm="1">
        <f t="array" ref="J167">IFERROR(INDEX(Input_ForRateCalc[[F-PreviousVDO_InputDate]:[F-NextVDO_Input]],MATCH(Calc_ROM_1[[#This Row],[Cost item]:[Cost item]],Input_ForRateCalc[[Cost item]:[Cost item]],0),MATCH($D$5,Inputs!$H$8:$U$8,0)),"-")</f>
        <v>6.0400000000000002E-2</v>
      </c>
      <c r="K167" s="86" cm="1">
        <f t="array" ref="K167">IFERROR(INDEX(Input_ForRateCalc[[F-PreviousVDO_InputDate]:[F-NextVDO_Input]],MATCH(Calc_ROM_1[[#This Row],[Cost item]:[Cost item]],Input_ForRateCalc[[Cost item]:[Cost item]],0),MATCH($D$5,Inputs!$H$8:$U$8,0)),"-")</f>
        <v>6.0400000000000002E-2</v>
      </c>
    </row>
    <row r="168" spans="1:11" x14ac:dyDescent="0.25">
      <c r="B168"/>
    </row>
    <row r="169" spans="1:11" x14ac:dyDescent="0.25">
      <c r="C169" s="180"/>
      <c r="D169" s="180"/>
      <c r="E169" s="182"/>
      <c r="F169" s="180"/>
      <c r="G169" s="180"/>
      <c r="H169" s="180"/>
      <c r="I169" s="180"/>
      <c r="J169" s="180"/>
      <c r="K169" s="180"/>
    </row>
    <row r="170" spans="1:11" ht="16.5" thickBot="1" x14ac:dyDescent="0.3">
      <c r="B170" s="9">
        <f ca="1">MAX(B$3:B169)+0.1</f>
        <v>12.299999999999999</v>
      </c>
      <c r="C170" s="28" t="s">
        <v>296</v>
      </c>
      <c r="D170" s="28"/>
      <c r="E170" s="28"/>
      <c r="F170" s="28"/>
      <c r="G170" s="28"/>
      <c r="H170" s="28"/>
      <c r="I170" s="28"/>
      <c r="J170" s="28"/>
      <c r="K170" s="28"/>
    </row>
    <row r="171" spans="1:11" outlineLevel="1" x14ac:dyDescent="0.25"/>
    <row r="172" spans="1:11" ht="15.75" outlineLevel="1" collapsed="1" x14ac:dyDescent="0.25">
      <c r="A172" s="1" t="s">
        <v>23</v>
      </c>
      <c r="C172" s="43" t="s">
        <v>46</v>
      </c>
      <c r="D172" s="43" t="s">
        <v>102</v>
      </c>
      <c r="E172" s="43" t="s">
        <v>103</v>
      </c>
      <c r="F172" s="43" t="s">
        <v>91</v>
      </c>
      <c r="G172" s="60" t="s">
        <v>268</v>
      </c>
      <c r="H172" s="60" t="s">
        <v>269</v>
      </c>
      <c r="I172" s="60" t="s">
        <v>270</v>
      </c>
      <c r="J172" s="60" t="s">
        <v>271</v>
      </c>
      <c r="K172" s="60" t="s">
        <v>272</v>
      </c>
    </row>
    <row r="173" spans="1:11" outlineLevel="1" x14ac:dyDescent="0.25">
      <c r="B173" s="372"/>
      <c r="C173" s="23" t="s">
        <v>292</v>
      </c>
      <c r="D173" s="23" t="s">
        <v>108</v>
      </c>
      <c r="E173" s="23" t="s">
        <v>109</v>
      </c>
      <c r="F173" s="23" t="s">
        <v>110</v>
      </c>
      <c r="G173" s="61" cm="1">
        <f t="array" ref="G173">IFERROR(
IFERROR(INDEX(Calc_CPI_1[[CPI uplift factor]:[CPI uplift factor]],MATCH($C173&amp;" - base",Calc_CPI_1[[Cost item]:[Cost item]],0),1),0)+
INDEX(Input_ForRateCalc[[F-PreviousVDO_InputDate]:[F-NextVDO_Input]],MATCH(Calc_Retail_1[[#This Row],[Cost item]:[Cost item]]&amp;" - base",Input_ForRateCalc[[Cost item]:[Cost item]],0),MATCH($D$5,Inputs!$H$8:$U$8,0))+
INDEX(Input_ForRateCalc[[F-PreviousVDO_InputDate]:[F-NextVDO_Input]],MATCH(Calc_Retail_1[[#This Row],[Cost item]:[Cost item]]&amp;" - 5 min settlement allowance",Input_ForRateCalc[[Cost item]:[Cost item]],0),MATCH($D$5,Inputs!$H$8:$U$8,0))+
INDEX(Input_ForRateCalc[[F-PreviousVDO_InputDate]:[F-NextVDO_Input]],MATCH(Calc_Retail_1[[#This Row],[Cost item]:[Cost item]]&amp;" - regulatory cost allowance",Input_ForRateCalc[[Cost item]:[Cost item]],0),MATCH($D$5,Inputs!$H$8:$U$8,0))+
INDEX(Input_ForRateCalc[[F-PreviousVDO_InputDate]:[F-NextVDO_Input]],MATCH(Calc_Retail_1[[#This Row],[Cost item]:[Cost item]]&amp;" - consumer data right allowance",Input_ForRateCalc[[Cost item]:[Cost item]],0),MATCH($D$5,Inputs!$H$8:$U$8,0))+
INDEX(Input_ForRateCalc[[F-PreviousVDO_InputDate]:[F-NextVDO_Input]],MATCH(Calc_Retail_1[[#This Row],[Cost item]:[Cost item]]&amp;" - bad debt allowance",Input_ForRateCalc[[Cost item]:[Cost item]],0),MATCH($D$5,Inputs!$H$8:$U$8,0)),"-")</f>
        <v>143.50355199638659</v>
      </c>
      <c r="H173" s="61" cm="1">
        <f t="array" ref="H173">IFERROR(
IFERROR(INDEX(Calc_CPI_1[[CPI uplift factor]:[CPI uplift factor]],MATCH($C173&amp;" - base",Calc_CPI_1[[Cost item]:[Cost item]],0),1),0)+
INDEX(Input_ForRateCalc[[F-PreviousVDO_InputDate]:[F-NextVDO_Input]],MATCH(Calc_Retail_1[[#This Row],[Cost item]:[Cost item]]&amp;" - base",Input_ForRateCalc[[Cost item]:[Cost item]],0),MATCH($D$5,Inputs!$H$8:$U$8,0))+
INDEX(Input_ForRateCalc[[F-PreviousVDO_InputDate]:[F-NextVDO_Input]],MATCH(Calc_Retail_1[[#This Row],[Cost item]:[Cost item]]&amp;" - 5 min settlement allowance",Input_ForRateCalc[[Cost item]:[Cost item]],0),MATCH($D$5,Inputs!$H$8:$U$8,0))+
INDEX(Input_ForRateCalc[[F-PreviousVDO_InputDate]:[F-NextVDO_Input]],MATCH(Calc_Retail_1[[#This Row],[Cost item]:[Cost item]]&amp;" - regulatory cost allowance",Input_ForRateCalc[[Cost item]:[Cost item]],0),MATCH($D$5,Inputs!$H$8:$U$8,0))+INDEX(Input_ForRateCalc[[F-PreviousVDO_InputDate]:[F-NextVDO_Input]],MATCH(Calc_Retail_1[[#This Row],[Cost item]:[Cost item]]&amp;" - consumer data right allowance",Input_ForRateCalc[[Cost item]:[Cost item]],0),MATCH($D$5,Inputs!$H$8:$U$8,0))+
INDEX(Input_ForRateCalc[[F-PreviousVDO_InputDate]:[F-NextVDO_Input]],MATCH(Calc_Retail_1[[#This Row],[Cost item]:[Cost item]]&amp;" - bad debt allowance",Input_ForRateCalc[[Cost item]:[Cost item]],0),MATCH($D$5,Inputs!$H$8:$U$8,0)),"-")</f>
        <v>143.50355199638659</v>
      </c>
      <c r="I173" s="61" cm="1">
        <f t="array" ref="I173">IFERROR(
IFERROR(INDEX(Calc_CPI_1[[CPI uplift factor]:[CPI uplift factor]],MATCH($C173&amp;" - base",Calc_CPI_1[[Cost item]:[Cost item]],0),1),0)+
INDEX(Input_ForRateCalc[[F-PreviousVDO_InputDate]:[F-NextVDO_Input]],MATCH(Calc_Retail_1[[#This Row],[Cost item]:[Cost item]]&amp;" - base",Input_ForRateCalc[[Cost item]:[Cost item]],0),MATCH($D$5,Inputs!$H$8:$U$8,0))+
INDEX(Input_ForRateCalc[[F-PreviousVDO_InputDate]:[F-NextVDO_Input]],MATCH(Calc_Retail_1[[#This Row],[Cost item]:[Cost item]]&amp;" - 5 min settlement allowance",Input_ForRateCalc[[Cost item]:[Cost item]],0),MATCH($D$5,Inputs!$H$8:$U$8,0))+
INDEX(Input_ForRateCalc[[F-PreviousVDO_InputDate]:[F-NextVDO_Input]],MATCH(Calc_Retail_1[[#This Row],[Cost item]:[Cost item]]&amp;" - regulatory cost allowance",Input_ForRateCalc[[Cost item]:[Cost item]],0),MATCH($D$5,Inputs!$H$8:$U$8,0))+INDEX(Input_ForRateCalc[[F-PreviousVDO_InputDate]:[F-NextVDO_Input]],MATCH(Calc_Retail_1[[#This Row],[Cost item]:[Cost item]]&amp;" - consumer data right allowance",Input_ForRateCalc[[Cost item]:[Cost item]],0),MATCH($D$5,Inputs!$H$8:$U$8,0))+
INDEX(Input_ForRateCalc[[F-PreviousVDO_InputDate]:[F-NextVDO_Input]],MATCH(Calc_Retail_1[[#This Row],[Cost item]:[Cost item]]&amp;" - bad debt allowance",Input_ForRateCalc[[Cost item]:[Cost item]],0),MATCH($D$5,Inputs!$H$8:$U$8,0)),"-")</f>
        <v>143.50355199638659</v>
      </c>
      <c r="J173" s="61" cm="1">
        <f t="array" ref="J173">IFERROR(
IFERROR(INDEX(Calc_CPI_1[[CPI uplift factor]:[CPI uplift factor]],MATCH($C173&amp;" - base",Calc_CPI_1[[Cost item]:[Cost item]],0),1),0)+
INDEX(Input_ForRateCalc[[F-PreviousVDO_InputDate]:[F-NextVDO_Input]],MATCH(Calc_Retail_1[[#This Row],[Cost item]:[Cost item]]&amp;" - base",Input_ForRateCalc[[Cost item]:[Cost item]],0),MATCH($D$5,Inputs!$H$8:$U$8,0))+
INDEX(Input_ForRateCalc[[F-PreviousVDO_InputDate]:[F-NextVDO_Input]],MATCH(Calc_Retail_1[[#This Row],[Cost item]:[Cost item]]&amp;" - 5 min settlement allowance",Input_ForRateCalc[[Cost item]:[Cost item]],0),MATCH($D$5,Inputs!$H$8:$U$8,0))+
INDEX(Input_ForRateCalc[[F-PreviousVDO_InputDate]:[F-NextVDO_Input]],MATCH(Calc_Retail_1[[#This Row],[Cost item]:[Cost item]]&amp;" - regulatory cost allowance",Input_ForRateCalc[[Cost item]:[Cost item]],0),MATCH($D$5,Inputs!$H$8:$U$8,0))+INDEX(Input_ForRateCalc[[F-PreviousVDO_InputDate]:[F-NextVDO_Input]],MATCH(Calc_Retail_1[[#This Row],[Cost item]:[Cost item]]&amp;" - consumer data right allowance",Input_ForRateCalc[[Cost item]:[Cost item]],0),MATCH($D$5,Inputs!$H$8:$U$8,0))+
INDEX(Input_ForRateCalc[[F-PreviousVDO_InputDate]:[F-NextVDO_Input]],MATCH(Calc_Retail_1[[#This Row],[Cost item]:[Cost item]]&amp;" - bad debt allowance",Input_ForRateCalc[[Cost item]:[Cost item]],0),MATCH($D$5,Inputs!$H$8:$U$8,0)),"-")</f>
        <v>143.50355199638659</v>
      </c>
      <c r="K173" s="61" cm="1">
        <f t="array" ref="K173">IFERROR(
IFERROR(INDEX(Calc_CPI_1[[CPI uplift factor]:[CPI uplift factor]],MATCH($C173&amp;" - base",Calc_CPI_1[[Cost item]:[Cost item]],0),1),0)+
INDEX(Input_ForRateCalc[[F-PreviousVDO_InputDate]:[F-NextVDO_Input]],MATCH(Calc_Retail_1[[#This Row],[Cost item]:[Cost item]]&amp;" - base",Input_ForRateCalc[[Cost item]:[Cost item]],0),MATCH($D$5,Inputs!$H$8:$U$8,0))+
INDEX(Input_ForRateCalc[[F-PreviousVDO_InputDate]:[F-NextVDO_Input]],MATCH(Calc_Retail_1[[#This Row],[Cost item]:[Cost item]]&amp;" - 5 min settlement allowance",Input_ForRateCalc[[Cost item]:[Cost item]],0),MATCH($D$5,Inputs!$H$8:$U$8,0))+
INDEX(Input_ForRateCalc[[F-PreviousVDO_InputDate]:[F-NextVDO_Input]],MATCH(Calc_Retail_1[[#This Row],[Cost item]:[Cost item]]&amp;" - regulatory cost allowance",Input_ForRateCalc[[Cost item]:[Cost item]],0),MATCH($D$5,Inputs!$H$8:$U$8,0))+INDEX(Input_ForRateCalc[[F-PreviousVDO_InputDate]:[F-NextVDO_Input]],MATCH(Calc_Retail_1[[#This Row],[Cost item]:[Cost item]]&amp;" - consumer data right allowance",Input_ForRateCalc[[Cost item]:[Cost item]],0),MATCH($D$5,Inputs!$H$8:$U$8,0))+
INDEX(Input_ForRateCalc[[F-PreviousVDO_InputDate]:[F-NextVDO_Input]],MATCH(Calc_Retail_1[[#This Row],[Cost item]:[Cost item]]&amp;" - bad debt allowance",Input_ForRateCalc[[Cost item]:[Cost item]],0),MATCH($D$5,Inputs!$H$8:$U$8,0)),"-")</f>
        <v>143.50355199638659</v>
      </c>
    </row>
    <row r="174" spans="1:11" outlineLevel="1" x14ac:dyDescent="0.25">
      <c r="C174" s="44" t="s">
        <v>114</v>
      </c>
      <c r="D174" s="44" t="s">
        <v>108</v>
      </c>
      <c r="E174" s="23" t="s">
        <v>109</v>
      </c>
      <c r="F174" s="23" t="s">
        <v>110</v>
      </c>
      <c r="G174" s="61" cm="1">
        <f t="array" ref="G174">IFERROR(
IFERROR(INDEX(Calc_CPI_1[[CPI uplift factor]:[CPI uplift factor]],MATCH($C174,Calc_CPI_1[[Cost item]:[Cost item]],0),1),0)+
INDEX(Input_ForRateCalc[[F-PreviousVDO_InputDate]:[F-NextVDO_Input]],MATCH(Calc_Retail_1[[#This Row],[Cost item]:[Cost item]],Input_ForRateCalc[[Cost item]:[Cost item]],0),MATCH($D$5,Inputs!$H$8:$U$8,0)),"-")</f>
        <v>40.151567944250871</v>
      </c>
      <c r="H174" s="61" cm="1">
        <f t="array" ref="H174">IFERROR(
IFERROR(INDEX(Calc_CPI_1[[CPI uplift factor]:[CPI uplift factor]],MATCH($C174,Calc_CPI_1[[Cost item]:[Cost item]],0),1),0)+
INDEX(Input_ForRateCalc[[F-PreviousVDO_InputDate]:[F-NextVDO_Input]],MATCH(Calc_Retail_1[[#This Row],[Cost item]:[Cost item]],Input_ForRateCalc[[Cost item]:[Cost item]],0),MATCH($D$5,Inputs!$H$8:$U$8,0)),"-")</f>
        <v>40.151567944250871</v>
      </c>
      <c r="I174" s="61" cm="1">
        <f t="array" ref="I174">IFERROR(
IFERROR(INDEX(Calc_CPI_1[[CPI uplift factor]:[CPI uplift factor]],MATCH($C174,Calc_CPI_1[[Cost item]:[Cost item]],0),1),0)+
INDEX(Input_ForRateCalc[[F-PreviousVDO_InputDate]:[F-NextVDO_Input]],MATCH(Calc_Retail_1[[#This Row],[Cost item]:[Cost item]],Input_ForRateCalc[[Cost item]:[Cost item]],0),MATCH($D$5,Inputs!$H$8:$U$8,0)),"-")</f>
        <v>40.151567944250871</v>
      </c>
      <c r="J174" s="61" cm="1">
        <f t="array" ref="J174">IFERROR(
IFERROR(INDEX(Calc_CPI_1[[CPI uplift factor]:[CPI uplift factor]],MATCH($C174,Calc_CPI_1[[Cost item]:[Cost item]],0),1),0)+
INDEX(Input_ForRateCalc[[F-PreviousVDO_InputDate]:[F-NextVDO_Input]],MATCH(Calc_Retail_1[[#This Row],[Cost item]:[Cost item]],Input_ForRateCalc[[Cost item]:[Cost item]],0),MATCH($D$5,Inputs!$H$8:$U$8,0)),"-")</f>
        <v>40.151567944250871</v>
      </c>
      <c r="K174" s="61" cm="1">
        <f t="array" ref="K174">IFERROR(
IFERROR(INDEX(Calc_CPI_1[[CPI uplift factor]:[CPI uplift factor]],MATCH($C174,Calc_CPI_1[[Cost item]:[Cost item]],0),1),0)+
INDEX(Input_ForRateCalc[[F-PreviousVDO_InputDate]:[F-NextVDO_Input]],MATCH(Calc_Retail_1[[#This Row],[Cost item]:[Cost item]],Input_ForRateCalc[[Cost item]:[Cost item]],0),MATCH($D$5,Inputs!$H$8:$U$8,0)),"-")</f>
        <v>40.151567944250871</v>
      </c>
    </row>
    <row r="176" spans="1:11" ht="16.5" thickBot="1" x14ac:dyDescent="0.3">
      <c r="B176" s="9">
        <f ca="1">MAX(B$3:B175)+0.1</f>
        <v>12.399999999999999</v>
      </c>
      <c r="C176" s="28" t="s">
        <v>273</v>
      </c>
      <c r="D176" s="28"/>
      <c r="E176" s="28"/>
      <c r="F176" s="28"/>
      <c r="G176" s="28"/>
      <c r="H176" s="28"/>
      <c r="I176" s="28"/>
      <c r="J176" s="28"/>
      <c r="K176" s="28"/>
    </row>
    <row r="177" spans="1:11" outlineLevel="1" x14ac:dyDescent="0.25"/>
    <row r="178" spans="1:11" ht="15.75" outlineLevel="1" x14ac:dyDescent="0.25">
      <c r="C178" s="43" t="s">
        <v>46</v>
      </c>
      <c r="D178" s="43" t="s">
        <v>102</v>
      </c>
      <c r="E178" s="43" t="s">
        <v>103</v>
      </c>
      <c r="F178" s="43" t="s">
        <v>91</v>
      </c>
      <c r="G178" s="60" t="s">
        <v>268</v>
      </c>
      <c r="H178" s="60" t="s">
        <v>269</v>
      </c>
      <c r="I178" s="60" t="s">
        <v>270</v>
      </c>
      <c r="J178" s="60" t="s">
        <v>271</v>
      </c>
      <c r="K178" s="60" t="s">
        <v>272</v>
      </c>
    </row>
    <row r="179" spans="1:11" outlineLevel="1" x14ac:dyDescent="0.25">
      <c r="C179" s="23" t="s">
        <v>117</v>
      </c>
      <c r="D179" s="23" t="s">
        <v>108</v>
      </c>
      <c r="E179" s="23" t="s">
        <v>109</v>
      </c>
      <c r="F179" s="23" t="s">
        <v>110</v>
      </c>
      <c r="G179" s="61" cm="1">
        <f t="array" ref="G179">IFERROR(
IF(Calc_OtherCosts_1[[#This Row],[Fixed/Variable]:[Fixed/Variable]]="Fixed",
(IFERROR(INDEX(Calc_CPI_1[[CPI uplift factor]:[CPI uplift factor]],MATCH($C179,Calc_CPI_1[[Cost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factor]],MATCH($C179,Calc_CPI_1[[Cost item]:[Cost item]],0),1),0)+
INDEX(Input_ForRateCalc[[F-PreviousVDO_InputDate]:[F-NextVDO_Input]],MATCH(Calc_OtherCosts_1[[#This Row],[Cost item]:[Cost item]],Input_ForRateCalc[[Cost item]:[Cost item]],0),MATCH($D$5,Inputs!$H$8:$U$8,0)))/1000),"-")</f>
        <v>2.1846287133781956</v>
      </c>
      <c r="H179" s="61" cm="1">
        <f t="array" ref="H179">IFERROR(
IF(Calc_OtherCosts_1[[#This Row],[Fixed/Variable]:[Fixed/Variable]]="Fixed",
(IFERROR(INDEX(Calc_CPI_1[[CPI uplift factor]:[CPI uplift factor]],MATCH($C179,Calc_CPI_1[[Cost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factor]],MATCH($C179,Calc_CPI_1[[Cost item]:[Cost item]],0),1),0)+
INDEX(Input_ForRateCalc[[F-PreviousVDO_InputDate]:[F-NextVDO_Input]],MATCH(Calc_OtherCosts_1[[#This Row],[Cost item]:[Cost item]],Input_ForRateCalc[[Cost item]:[Cost item]],0),MATCH($D$5,Inputs!$H$8:$U$8,0)))/1000),"-")</f>
        <v>2.1846287133781956</v>
      </c>
      <c r="I179" s="61" cm="1">
        <f t="array" ref="I179">IFERROR(
IF(Calc_OtherCosts_1[[#This Row],[Fixed/Variable]:[Fixed/Variable]]="Fixed",
(IFERROR(INDEX(Calc_CPI_1[[CPI uplift factor]:[CPI uplift factor]],MATCH($C179,Calc_CPI_1[[Cost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factor]],MATCH($C179,Calc_CPI_1[[Cost item]:[Cost item]],0),1),0)+
INDEX(Input_ForRateCalc[[F-PreviousVDO_InputDate]:[F-NextVDO_Input]],MATCH(Calc_OtherCosts_1[[#This Row],[Cost item]:[Cost item]],Input_ForRateCalc[[Cost item]:[Cost item]],0),MATCH($D$5,Inputs!$H$8:$U$8,0)))/1000),"-")</f>
        <v>2.1846287133781956</v>
      </c>
      <c r="J179" s="61" cm="1">
        <f t="array" ref="J179">IFERROR(
IF(Calc_OtherCosts_1[[#This Row],[Fixed/Variable]:[Fixed/Variable]]="Fixed",
(IFERROR(INDEX(Calc_CPI_1[[CPI uplift factor]:[CPI uplift factor]],MATCH($C179,Calc_CPI_1[[Cost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factor]],MATCH($C179,Calc_CPI_1[[Cost item]:[Cost item]],0),1),0)+
INDEX(Input_ForRateCalc[[F-PreviousVDO_InputDate]:[F-NextVDO_Input]],MATCH(Calc_OtherCosts_1[[#This Row],[Cost item]:[Cost item]],Input_ForRateCalc[[Cost item]:[Cost item]],0),MATCH($D$5,Inputs!$H$8:$U$8,0)))/1000),"-")</f>
        <v>2.1846287133781956</v>
      </c>
      <c r="K179" s="61" cm="1">
        <f t="array" ref="K179">IFERROR(
IF(Calc_OtherCosts_1[[#This Row],[Fixed/Variable]:[Fixed/Variable]]="Fixed",
(IFERROR(INDEX(Calc_CPI_1[[CPI uplift factor]:[CPI uplift factor]],MATCH($C179,Calc_CPI_1[[Cost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factor]],MATCH($C179,Calc_CPI_1[[Cost item]:[Cost item]],0),1),0)+
INDEX(Input_ForRateCalc[[F-PreviousVDO_InputDate]:[F-NextVDO_Input]],MATCH(Calc_OtherCosts_1[[#This Row],[Cost item]:[Cost item]],Input_ForRateCalc[[Cost item]:[Cost item]],0),MATCH($D$5,Inputs!$H$8:$U$8,0)))/1000),"-")</f>
        <v>2.1846287133781956</v>
      </c>
    </row>
    <row r="180" spans="1:11" outlineLevel="1" x14ac:dyDescent="0.25">
      <c r="C180" s="23" t="s">
        <v>118</v>
      </c>
      <c r="D180" s="23" t="s">
        <v>108</v>
      </c>
      <c r="E180" s="23" t="s">
        <v>109</v>
      </c>
      <c r="F180" s="23" t="s">
        <v>110</v>
      </c>
      <c r="G180" s="61" cm="1">
        <f t="array" ref="G180">IFERROR(
IF(Calc_OtherCosts_1[[#This Row],[Fixed/Variable]:[Fixed/Variable]]="Fixed",
(IFERROR(INDEX(Calc_CPI_1[[CPI uplift factor]:[CPI uplift factor]],MATCH($C180,Calc_CPI_1[[Cost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factor]],MATCH($C180,Calc_CPI_1[[Cost item]:[Cost item]],0),1),0)+
INDEX(Input_ForRateCalc[[F-PreviousVDO_InputDate]:[F-NextVDO_Input]],MATCH(Calc_OtherCosts_1[[#This Row],[Cost item]:[Cost item]],Input_ForRateCalc[[Cost item]:[Cost item]],0),MATCH($D$5,Inputs!$H$8:$U$8,0)))/1000),"-")</f>
        <v>0</v>
      </c>
      <c r="H180" s="61" cm="1">
        <f t="array" ref="H180">IFERROR(
IF(Calc_OtherCosts_1[[#This Row],[Fixed/Variable]:[Fixed/Variable]]="Fixed",
(IFERROR(INDEX(Calc_CPI_1[[CPI uplift factor]:[CPI uplift factor]],MATCH($C180,Calc_CPI_1[[Cost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factor]],MATCH($C180,Calc_CPI_1[[Cost item]:[Cost item]],0),1),0)+
INDEX(Input_ForRateCalc[[F-PreviousVDO_InputDate]:[F-NextVDO_Input]],MATCH(Calc_OtherCosts_1[[#This Row],[Cost item]:[Cost item]],Input_ForRateCalc[[Cost item]:[Cost item]],0),MATCH($D$5,Inputs!$H$8:$U$8,0)))/1000),"-")</f>
        <v>0</v>
      </c>
      <c r="I180" s="61" cm="1">
        <f t="array" ref="I180">IFERROR(
IF(Calc_OtherCosts_1[[#This Row],[Fixed/Variable]:[Fixed/Variable]]="Fixed",
(IFERROR(INDEX(Calc_CPI_1[[CPI uplift factor]:[CPI uplift factor]],MATCH($C180,Calc_CPI_1[[Cost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factor]],MATCH($C180,Calc_CPI_1[[Cost item]:[Cost item]],0),1),0)+
INDEX(Input_ForRateCalc[[F-PreviousVDO_InputDate]:[F-NextVDO_Input]],MATCH(Calc_OtherCosts_1[[#This Row],[Cost item]:[Cost item]],Input_ForRateCalc[[Cost item]:[Cost item]],0),MATCH($D$5,Inputs!$H$8:$U$8,0)))/1000),"-")</f>
        <v>0</v>
      </c>
      <c r="J180" s="61" cm="1">
        <f t="array" ref="J180">IFERROR(
IF(Calc_OtherCosts_1[[#This Row],[Fixed/Variable]:[Fixed/Variable]]="Fixed",
(IFERROR(INDEX(Calc_CPI_1[[CPI uplift factor]:[CPI uplift factor]],MATCH($C180,Calc_CPI_1[[Cost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factor]],MATCH($C180,Calc_CPI_1[[Cost item]:[Cost item]],0),1),0)+
INDEX(Input_ForRateCalc[[F-PreviousVDO_InputDate]:[F-NextVDO_Input]],MATCH(Calc_OtherCosts_1[[#This Row],[Cost item]:[Cost item]],Input_ForRateCalc[[Cost item]:[Cost item]],0),MATCH($D$5,Inputs!$H$8:$U$8,0)))/1000),"-")</f>
        <v>0</v>
      </c>
      <c r="K180" s="61" cm="1">
        <f t="array" ref="K180">IFERROR(
IF(Calc_OtherCosts_1[[#This Row],[Fixed/Variable]:[Fixed/Variable]]="Fixed",
(IFERROR(INDEX(Calc_CPI_1[[CPI uplift factor]:[CPI uplift factor]],MATCH($C180,Calc_CPI_1[[Cost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factor]],MATCH($C180,Calc_CPI_1[[Cost item]:[Cost item]],0),1),0)+
INDEX(Input_ForRateCalc[[F-PreviousVDO_InputDate]:[F-NextVDO_Input]],MATCH(Calc_OtherCosts_1[[#This Row],[Cost item]:[Cost item]],Input_ForRateCalc[[Cost item]:[Cost item]],0),MATCH($D$5,Inputs!$H$8:$U$8,0)))/1000),"-")</f>
        <v>0</v>
      </c>
    </row>
    <row r="181" spans="1:11" outlineLevel="1" x14ac:dyDescent="0.25">
      <c r="C181" s="59" t="s">
        <v>724</v>
      </c>
      <c r="D181" s="23" t="s">
        <v>108</v>
      </c>
      <c r="E181" s="23" t="s">
        <v>119</v>
      </c>
      <c r="F181" s="23" t="s">
        <v>110</v>
      </c>
      <c r="G181" s="61" cm="1">
        <f t="array" ref="G181">IFERROR(
IF(Calc_OtherCosts_1[[#This Row],[Fixed/Variable]:[Fixed/Variable]]="Fixed",
(IFERROR(INDEX(Calc_CPI_1[[CPI uplift factor]:[CPI uplift factor]],MATCH($C181,Calc_CPI_1[[Cost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factor]],MATCH($C181,Calc_CPI_1[[Cost item]:[Cost item]],0),1),0)+
INDEX(Input_ForRateCalc[[F-PreviousVDO_InputDate]:[F-NextVDO_Input]],MATCH(Calc_OtherCosts_1[[#This Row],[Cost item]:[Cost item]],Input_ForRateCalc[[Cost item]:[Cost item]],0),MATCH($D$5,Inputs!$H$8:$U$8,0)))/1000),"-")</f>
        <v>0.62916717171717162</v>
      </c>
      <c r="H181" s="61" cm="1">
        <f t="array" ref="H181">IFERROR(
IF(Calc_OtherCosts_1[[#This Row],[Fixed/Variable]:[Fixed/Variable]]="Fixed",
(IFERROR(INDEX(Calc_CPI_1[[CPI uplift factor]:[CPI uplift factor]],MATCH($C181,Calc_CPI_1[[Cost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factor]],MATCH($C181,Calc_CPI_1[[Cost item]:[Cost item]],0),1),0)+
INDEX(Input_ForRateCalc[[F-PreviousVDO_InputDate]:[F-NextVDO_Input]],MATCH(Calc_OtherCosts_1[[#This Row],[Cost item]:[Cost item]],Input_ForRateCalc[[Cost item]:[Cost item]],0),MATCH($D$5,Inputs!$H$8:$U$8,0)))/1000),"-")</f>
        <v>0.62916717171717162</v>
      </c>
      <c r="I181" s="61" cm="1">
        <f t="array" ref="I181">IFERROR(
IF(Calc_OtherCosts_1[[#This Row],[Fixed/Variable]:[Fixed/Variable]]="Fixed",
(IFERROR(INDEX(Calc_CPI_1[[CPI uplift factor]:[CPI uplift factor]],MATCH($C181,Calc_CPI_1[[Cost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factor]],MATCH($C181,Calc_CPI_1[[Cost item]:[Cost item]],0),1),0)+
INDEX(Input_ForRateCalc[[F-PreviousVDO_InputDate]:[F-NextVDO_Input]],MATCH(Calc_OtherCosts_1[[#This Row],[Cost item]:[Cost item]],Input_ForRateCalc[[Cost item]:[Cost item]],0),MATCH($D$5,Inputs!$H$8:$U$8,0)))/1000),"-")</f>
        <v>0.62916717171717162</v>
      </c>
      <c r="J181" s="61" cm="1">
        <f t="array" ref="J181">IFERROR(
IF(Calc_OtherCosts_1[[#This Row],[Fixed/Variable]:[Fixed/Variable]]="Fixed",
(IFERROR(INDEX(Calc_CPI_1[[CPI uplift factor]:[CPI uplift factor]],MATCH($C181,Calc_CPI_1[[Cost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factor]],MATCH($C181,Calc_CPI_1[[Cost item]:[Cost item]],0),1),0)+
INDEX(Input_ForRateCalc[[F-PreviousVDO_InputDate]:[F-NextVDO_Input]],MATCH(Calc_OtherCosts_1[[#This Row],[Cost item]:[Cost item]],Input_ForRateCalc[[Cost item]:[Cost item]],0),MATCH($D$5,Inputs!$H$8:$U$8,0)))/1000),"-")</f>
        <v>0.62916717171717162</v>
      </c>
      <c r="K181" s="61" cm="1">
        <f t="array" ref="K181">IFERROR(
IF(Calc_OtherCosts_1[[#This Row],[Fixed/Variable]:[Fixed/Variable]]="Fixed",
(IFERROR(INDEX(Calc_CPI_1[[CPI uplift factor]:[CPI uplift factor]],MATCH($C181,Calc_CPI_1[[Cost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factor]],MATCH($C181,Calc_CPI_1[[Cost item]:[Cost item]],0),1),0)+
INDEX(Input_ForRateCalc[[F-PreviousVDO_InputDate]:[F-NextVDO_Input]],MATCH(Calc_OtherCosts_1[[#This Row],[Cost item]:[Cost item]],Input_ForRateCalc[[Cost item]:[Cost item]],0),MATCH($D$5,Inputs!$H$8:$U$8,0)))/1000),"-")</f>
        <v>0.62916717171717162</v>
      </c>
    </row>
    <row r="182" spans="1:11" outlineLevel="1" x14ac:dyDescent="0.25">
      <c r="C182" s="23" t="s">
        <v>120</v>
      </c>
      <c r="D182" s="23" t="s">
        <v>108</v>
      </c>
      <c r="E182" s="23" t="s">
        <v>119</v>
      </c>
      <c r="F182" s="23" t="s">
        <v>110</v>
      </c>
      <c r="G182" s="61" cm="1">
        <f t="array" ref="G182">IFERROR(
IF(Calc_OtherCosts_1[[#This Row],[Fixed/Variable]:[Fixed/Variable]]="Fixed",
(IFERROR(INDEX(Calc_CPI_1[[CPI uplift factor]:[CPI uplift factor]],MATCH($C182,Calc_CPI_1[[Cost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factor]],MATCH($C182,Calc_CPI_1[[Cost item]:[Cost item]],0),1),0)+
INDEX(Input_ForRateCalc[[F-PreviousVDO_InputDate]:[F-NextVDO_Input]],MATCH(Calc_OtherCosts_1[[#This Row],[Cost item]:[Cost item]],Input_ForRateCalc[[Cost item]:[Cost item]],0),MATCH($D$5,Inputs!$H$8:$U$8,0)))/1000),"-")</f>
        <v>1.3762036363636363</v>
      </c>
      <c r="H182" s="61" cm="1">
        <f t="array" ref="H182">IFERROR(
IF(Calc_OtherCosts_1[[#This Row],[Fixed/Variable]:[Fixed/Variable]]="Fixed",
(IFERROR(INDEX(Calc_CPI_1[[CPI uplift factor]:[CPI uplift factor]],MATCH($C182,Calc_CPI_1[[Cost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factor]],MATCH($C182,Calc_CPI_1[[Cost item]:[Cost item]],0),1),0)+
INDEX(Input_ForRateCalc[[F-PreviousVDO_InputDate]:[F-NextVDO_Input]],MATCH(Calc_OtherCosts_1[[#This Row],[Cost item]:[Cost item]],Input_ForRateCalc[[Cost item]:[Cost item]],0),MATCH($D$5,Inputs!$H$8:$U$8,0)))/1000),"-")</f>
        <v>1.3762036363636363</v>
      </c>
      <c r="I182" s="61" cm="1">
        <f t="array" ref="I182">IFERROR(
IF(Calc_OtherCosts_1[[#This Row],[Fixed/Variable]:[Fixed/Variable]]="Fixed",
(IFERROR(INDEX(Calc_CPI_1[[CPI uplift factor]:[CPI uplift factor]],MATCH($C182,Calc_CPI_1[[Cost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factor]],MATCH($C182,Calc_CPI_1[[Cost item]:[Cost item]],0),1),0)+
INDEX(Input_ForRateCalc[[F-PreviousVDO_InputDate]:[F-NextVDO_Input]],MATCH(Calc_OtherCosts_1[[#This Row],[Cost item]:[Cost item]],Input_ForRateCalc[[Cost item]:[Cost item]],0),MATCH($D$5,Inputs!$H$8:$U$8,0)))/1000),"-")</f>
        <v>1.3762036363636363</v>
      </c>
      <c r="J182" s="61" cm="1">
        <f t="array" ref="J182">IFERROR(
IF(Calc_OtherCosts_1[[#This Row],[Fixed/Variable]:[Fixed/Variable]]="Fixed",
(IFERROR(INDEX(Calc_CPI_1[[CPI uplift factor]:[CPI uplift factor]],MATCH($C182,Calc_CPI_1[[Cost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factor]],MATCH($C182,Calc_CPI_1[[Cost item]:[Cost item]],0),1),0)+
INDEX(Input_ForRateCalc[[F-PreviousVDO_InputDate]:[F-NextVDO_Input]],MATCH(Calc_OtherCosts_1[[#This Row],[Cost item]:[Cost item]],Input_ForRateCalc[[Cost item]:[Cost item]],0),MATCH($D$5,Inputs!$H$8:$U$8,0)))/1000),"-")</f>
        <v>1.3762036363636363</v>
      </c>
      <c r="K182" s="61" cm="1">
        <f t="array" ref="K182">IFERROR(
IF(Calc_OtherCosts_1[[#This Row],[Fixed/Variable]:[Fixed/Variable]]="Fixed",
(IFERROR(INDEX(Calc_CPI_1[[CPI uplift factor]:[CPI uplift factor]],MATCH($C182,Calc_CPI_1[[Cost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factor]],MATCH($C182,Calc_CPI_1[[Cost item]:[Cost item]],0),1),0)+
INDEX(Input_ForRateCalc[[F-PreviousVDO_InputDate]:[F-NextVDO_Input]],MATCH(Calc_OtherCosts_1[[#This Row],[Cost item]:[Cost item]],Input_ForRateCalc[[Cost item]:[Cost item]],0),MATCH($D$5,Inputs!$H$8:$U$8,0)))/1000),"-")</f>
        <v>1.3762036363636363</v>
      </c>
    </row>
    <row r="183" spans="1:11" ht="15.75" outlineLevel="1" collapsed="1" x14ac:dyDescent="0.25">
      <c r="A183" s="1" t="s">
        <v>23</v>
      </c>
      <c r="C183" s="23" t="s">
        <v>160</v>
      </c>
      <c r="D183" s="23" t="s">
        <v>130</v>
      </c>
      <c r="E183" s="23" t="s">
        <v>282</v>
      </c>
      <c r="F183" s="23" t="s">
        <v>110</v>
      </c>
      <c r="G183" s="61" cm="1">
        <f t="array" ref="G183">IFERROR(
IF(Calc_OtherCosts_1[[#This Row],[Fixed/Variable]:[Fixed/Variable]]="Fixed",
(IFERROR(INDEX(Calc_CPI_1[[CPI uplift factor]:[CPI uplift factor]],MATCH($C183,Calc_CPI_1[[Cost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factor]],MATCH($C183,Calc_CPI_1[[Cost item]:[Cost item]],0),1),0)+
INDEX(Input_ForRateCalc[[F-PreviousVDO_InputDate]:[F-NextVDO_Input]],MATCH(Calc_OtherCosts_1[[#This Row],[Cost item]:[Cost item]],Input_ForRateCalc[[Cost item]:[Cost item]],0),MATCH($D$5,Inputs!$H$8:$U$8,0)))/1000),"-")</f>
        <v>4.0843792929292928E-4</v>
      </c>
      <c r="H183" s="61" cm="1">
        <f t="array" ref="H183">IFERROR(
IF(Calc_OtherCosts_1[[#This Row],[Fixed/Variable]:[Fixed/Variable]]="Fixed",
(IFERROR(INDEX(Calc_CPI_1[[CPI uplift factor]:[CPI uplift factor]],MATCH($C183,Calc_CPI_1[[Cost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factor]],MATCH($C183,Calc_CPI_1[[Cost item]:[Cost item]],0),1),0)+
INDEX(Input_ForRateCalc[[F-PreviousVDO_InputDate]:[F-NextVDO_Input]],MATCH(Calc_OtherCosts_1[[#This Row],[Cost item]:[Cost item]],Input_ForRateCalc[[Cost item]:[Cost item]],0),MATCH($D$5,Inputs!$H$8:$U$8,0)))/1000),"-")</f>
        <v>4.0843792929292928E-4</v>
      </c>
      <c r="I183" s="61" cm="1">
        <f t="array" ref="I183">IFERROR(
IF(Calc_OtherCosts_1[[#This Row],[Fixed/Variable]:[Fixed/Variable]]="Fixed",
(IFERROR(INDEX(Calc_CPI_1[[CPI uplift factor]:[CPI uplift factor]],MATCH($C183,Calc_CPI_1[[Cost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factor]],MATCH($C183,Calc_CPI_1[[Cost item]:[Cost item]],0),1),0)+
INDEX(Input_ForRateCalc[[F-PreviousVDO_InputDate]:[F-NextVDO_Input]],MATCH(Calc_OtherCosts_1[[#This Row],[Cost item]:[Cost item]],Input_ForRateCalc[[Cost item]:[Cost item]],0),MATCH($D$5,Inputs!$H$8:$U$8,0)))/1000),"-")</f>
        <v>4.0843792929292928E-4</v>
      </c>
      <c r="J183" s="61" cm="1">
        <f t="array" ref="J183">IFERROR(
IF(Calc_OtherCosts_1[[#This Row],[Fixed/Variable]:[Fixed/Variable]]="Fixed",
(IFERROR(INDEX(Calc_CPI_1[[CPI uplift factor]:[CPI uplift factor]],MATCH($C183,Calc_CPI_1[[Cost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factor]],MATCH($C183,Calc_CPI_1[[Cost item]:[Cost item]],0),1),0)+
INDEX(Input_ForRateCalc[[F-PreviousVDO_InputDate]:[F-NextVDO_Input]],MATCH(Calc_OtherCosts_1[[#This Row],[Cost item]:[Cost item]],Input_ForRateCalc[[Cost item]:[Cost item]],0),MATCH($D$5,Inputs!$H$8:$U$8,0)))/1000),"-")</f>
        <v>4.0843792929292928E-4</v>
      </c>
      <c r="K183" s="61" cm="1">
        <f t="array" ref="K183">IFERROR(
IF(Calc_OtherCosts_1[[#This Row],[Fixed/Variable]:[Fixed/Variable]]="Fixed",
(IFERROR(INDEX(Calc_CPI_1[[CPI uplift factor]:[CPI uplift factor]],MATCH($C183,Calc_CPI_1[[Cost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factor]],MATCH($C183,Calc_CPI_1[[Cost item]:[Cost item]],0),1),0)+
INDEX(Input_ForRateCalc[[F-PreviousVDO_InputDate]:[F-NextVDO_Input]],MATCH(Calc_OtherCosts_1[[#This Row],[Cost item]:[Cost item]],Input_ForRateCalc[[Cost item]:[Cost item]],0),MATCH($D$5,Inputs!$H$8:$U$8,0)))/1000),"-")</f>
        <v>4.0843792929292928E-4</v>
      </c>
    </row>
    <row r="184" spans="1:11" outlineLevel="1" x14ac:dyDescent="0.25">
      <c r="C184" s="23" t="s">
        <v>162</v>
      </c>
      <c r="D184" s="23" t="s">
        <v>130</v>
      </c>
      <c r="E184" s="23" t="s">
        <v>282</v>
      </c>
      <c r="F184" s="23" t="s">
        <v>110</v>
      </c>
      <c r="G184" s="61" cm="1">
        <f t="array" ref="G184">IFERROR(
IF(Calc_OtherCosts_1[[#This Row],[Fixed/Variable]:[Fixed/Variable]]="Fixed",
(IFERROR(INDEX(Calc_CPI_1[[CPI uplift factor]:[CPI uplift factor]],MATCH($C184,Calc_CPI_1[[Cost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factor]],MATCH($C184,Calc_CPI_1[[Cost item]:[Cost item]],0),1),0)+
INDEX(Input_ForRateCalc[[F-PreviousVDO_InputDate]:[F-NextVDO_Input]],MATCH(Calc_OtherCosts_1[[#This Row],[Cost item]:[Cost item]],Input_ForRateCalc[[Cost item]:[Cost item]],0),MATCH($D$5,Inputs!$H$8:$U$8,0)))/1000),"-")</f>
        <v>0</v>
      </c>
      <c r="H184" s="61" cm="1">
        <f t="array" ref="H184">IFERROR(
IF(Calc_OtherCosts_1[[#This Row],[Fixed/Variable]:[Fixed/Variable]]="Fixed",
(IFERROR(INDEX(Calc_CPI_1[[CPI uplift factor]:[CPI uplift factor]],MATCH($C184,Calc_CPI_1[[Cost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factor]],MATCH($C184,Calc_CPI_1[[Cost item]:[Cost item]],0),1),0)+
INDEX(Input_ForRateCalc[[F-PreviousVDO_InputDate]:[F-NextVDO_Input]],MATCH(Calc_OtherCosts_1[[#This Row],[Cost item]:[Cost item]],Input_ForRateCalc[[Cost item]:[Cost item]],0),MATCH($D$5,Inputs!$H$8:$U$8,0)))/1000),"-")</f>
        <v>0</v>
      </c>
      <c r="I184" s="61" cm="1">
        <f t="array" ref="I184">IFERROR(
IF(Calc_OtherCosts_1[[#This Row],[Fixed/Variable]:[Fixed/Variable]]="Fixed",
(IFERROR(INDEX(Calc_CPI_1[[CPI uplift factor]:[CPI uplift factor]],MATCH($C184,Calc_CPI_1[[Cost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factor]],MATCH($C184,Calc_CPI_1[[Cost item]:[Cost item]],0),1),0)+
INDEX(Input_ForRateCalc[[F-PreviousVDO_InputDate]:[F-NextVDO_Input]],MATCH(Calc_OtherCosts_1[[#This Row],[Cost item]:[Cost item]],Input_ForRateCalc[[Cost item]:[Cost item]],0),MATCH($D$5,Inputs!$H$8:$U$8,0)))/1000),"-")</f>
        <v>0</v>
      </c>
      <c r="J184" s="61" cm="1">
        <f t="array" ref="J184">IFERROR(
IF(Calc_OtherCosts_1[[#This Row],[Fixed/Variable]:[Fixed/Variable]]="Fixed",
(IFERROR(INDEX(Calc_CPI_1[[CPI uplift factor]:[CPI uplift factor]],MATCH($C184,Calc_CPI_1[[Cost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factor]],MATCH($C184,Calc_CPI_1[[Cost item]:[Cost item]],0),1),0)+
INDEX(Input_ForRateCalc[[F-PreviousVDO_InputDate]:[F-NextVDO_Input]],MATCH(Calc_OtherCosts_1[[#This Row],[Cost item]:[Cost item]],Input_ForRateCalc[[Cost item]:[Cost item]],0),MATCH($D$5,Inputs!$H$8:$U$8,0)))/1000),"-")</f>
        <v>0</v>
      </c>
      <c r="K184" s="61" cm="1">
        <f t="array" ref="K184">IFERROR(
IF(Calc_OtherCosts_1[[#This Row],[Fixed/Variable]:[Fixed/Variable]]="Fixed",
(IFERROR(INDEX(Calc_CPI_1[[CPI uplift factor]:[CPI uplift factor]],MATCH($C184,Calc_CPI_1[[Cost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factor]],MATCH($C184,Calc_CPI_1[[Cost item]:[Cost item]],0),1),0)+
INDEX(Input_ForRateCalc[[F-PreviousVDO_InputDate]:[F-NextVDO_Input]],MATCH(Calc_OtherCosts_1[[#This Row],[Cost item]:[Cost item]],Input_ForRateCalc[[Cost item]:[Cost item]],0),MATCH($D$5,Inputs!$H$8:$U$8,0)))/1000),"-")</f>
        <v>0</v>
      </c>
    </row>
    <row r="185" spans="1:11" outlineLevel="1" x14ac:dyDescent="0.25">
      <c r="C185" s="23" t="s">
        <v>758</v>
      </c>
      <c r="D185" s="23" t="s">
        <v>130</v>
      </c>
      <c r="E185" s="23" t="s">
        <v>282</v>
      </c>
      <c r="F185" s="23" t="s">
        <v>110</v>
      </c>
      <c r="G185" s="61" cm="1">
        <f t="array" ref="G185">IFERROR(
IF(Calc_OtherCosts_1[[#This Row],[Fixed/Variable]:[Fixed/Variable]]="Fixed",
(IFERROR(INDEX(Calc_CPI_1[[CPI uplift factor]:[CPI uplift factor]],MATCH($C185,Calc_CPI_1[[Cost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factor]],MATCH($C185,Calc_CPI_1[[Cost item]:[Cost item]],0),1),0)+
INDEX(Input_ForRateCalc[[F-PreviousVDO_InputDate]:[F-NextVDO_Input]],MATCH(Calc_OtherCosts_1[[#This Row],[Cost item]:[Cost item]],Input_ForRateCalc[[Cost item]:[Cost item]],0),MATCH($D$5,Inputs!$H$8:$U$8,0)))/1000),"-")</f>
        <v>1.2584364478114478E-4</v>
      </c>
      <c r="H185" s="61" cm="1">
        <f t="array" ref="H185">IFERROR(
IF(Calc_OtherCosts_1[[#This Row],[Fixed/Variable]:[Fixed/Variable]]="Fixed",
(IFERROR(INDEX(Calc_CPI_1[[CPI uplift factor]:[CPI uplift factor]],MATCH($C185,Calc_CPI_1[[Cost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factor]],MATCH($C185,Calc_CPI_1[[Cost item]:[Cost item]],0),1),0)+
INDEX(Input_ForRateCalc[[F-PreviousVDO_InputDate]:[F-NextVDO_Input]],MATCH(Calc_OtherCosts_1[[#This Row],[Cost item]:[Cost item]],Input_ForRateCalc[[Cost item]:[Cost item]],0),MATCH($D$5,Inputs!$H$8:$U$8,0)))/1000),"-")</f>
        <v>1.2584364478114478E-4</v>
      </c>
      <c r="I185" s="61" cm="1">
        <f t="array" ref="I185">IFERROR(
IF(Calc_OtherCosts_1[[#This Row],[Fixed/Variable]:[Fixed/Variable]]="Fixed",
(IFERROR(INDEX(Calc_CPI_1[[CPI uplift factor]:[CPI uplift factor]],MATCH($C185,Calc_CPI_1[[Cost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factor]],MATCH($C185,Calc_CPI_1[[Cost item]:[Cost item]],0),1),0)+
INDEX(Input_ForRateCalc[[F-PreviousVDO_InputDate]:[F-NextVDO_Input]],MATCH(Calc_OtherCosts_1[[#This Row],[Cost item]:[Cost item]],Input_ForRateCalc[[Cost item]:[Cost item]],0),MATCH($D$5,Inputs!$H$8:$U$8,0)))/1000),"-")</f>
        <v>1.2584364478114478E-4</v>
      </c>
      <c r="J185" s="61" cm="1">
        <f t="array" ref="J185">IFERROR(
IF(Calc_OtherCosts_1[[#This Row],[Fixed/Variable]:[Fixed/Variable]]="Fixed",
(IFERROR(INDEX(Calc_CPI_1[[CPI uplift factor]:[CPI uplift factor]],MATCH($C185,Calc_CPI_1[[Cost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factor]],MATCH($C185,Calc_CPI_1[[Cost item]:[Cost item]],0),1),0)+
INDEX(Input_ForRateCalc[[F-PreviousVDO_InputDate]:[F-NextVDO_Input]],MATCH(Calc_OtherCosts_1[[#This Row],[Cost item]:[Cost item]],Input_ForRateCalc[[Cost item]:[Cost item]],0),MATCH($D$5,Inputs!$H$8:$U$8,0)))/1000),"-")</f>
        <v>1.2584364478114478E-4</v>
      </c>
      <c r="K185" s="61" cm="1">
        <f t="array" ref="K185">IFERROR(
IF(Calc_OtherCosts_1[[#This Row],[Fixed/Variable]:[Fixed/Variable]]="Fixed",
(IFERROR(INDEX(Calc_CPI_1[[CPI uplift factor]:[CPI uplift factor]],MATCH($C185,Calc_CPI_1[[Cost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factor]],MATCH($C185,Calc_CPI_1[[Cost item]:[Cost item]],0),1),0)+
INDEX(Input_ForRateCalc[[F-PreviousVDO_InputDate]:[F-NextVDO_Input]],MATCH(Calc_OtherCosts_1[[#This Row],[Cost item]:[Cost item]],Input_ForRateCalc[[Cost item]:[Cost item]],0),MATCH($D$5,Inputs!$H$8:$U$8,0)))/1000),"-")</f>
        <v>1.2584364478114478E-4</v>
      </c>
    </row>
    <row r="186" spans="1:11" outlineLevel="1" x14ac:dyDescent="0.25">
      <c r="C186" s="23" t="s">
        <v>757</v>
      </c>
      <c r="D186" s="23" t="s">
        <v>130</v>
      </c>
      <c r="E186" s="23" t="s">
        <v>282</v>
      </c>
      <c r="F186" s="23" t="s">
        <v>110</v>
      </c>
      <c r="G186" s="61" cm="1">
        <f t="array" ref="G186">IFERROR(
IF(Calc_OtherCosts_1[[#This Row],[Fixed/Variable]:[Fixed/Variable]]="Fixed",
(IFERROR(INDEX(Calc_CPI_1[[CPI uplift factor]:[CPI uplift factor]],MATCH($C186,Calc_CPI_1[[Cost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factor]],MATCH($C186,Calc_CPI_1[[Cost item]:[Cost item]],0),1),0)+
INDEX(Input_ForRateCalc[[F-PreviousVDO_InputDate]:[F-NextVDO_Input]],MATCH(Calc_OtherCosts_1[[#This Row],[Cost item]:[Cost item]],Input_ForRateCalc[[Cost item]:[Cost item]],0),MATCH($D$5,Inputs!$H$8:$U$8,0)))/1000),"-")</f>
        <v>2.6781978114478117E-5</v>
      </c>
      <c r="H186" s="61" cm="1">
        <f t="array" ref="H186">IFERROR(
IF(Calc_OtherCosts_1[[#This Row],[Fixed/Variable]:[Fixed/Variable]]="Fixed",
(IFERROR(INDEX(Calc_CPI_1[[CPI uplift factor]:[CPI uplift factor]],MATCH($C186,Calc_CPI_1[[Cost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factor]],MATCH($C186,Calc_CPI_1[[Cost item]:[Cost item]],0),1),0)+
INDEX(Input_ForRateCalc[[F-PreviousVDO_InputDate]:[F-NextVDO_Input]],MATCH(Calc_OtherCosts_1[[#This Row],[Cost item]:[Cost item]],Input_ForRateCalc[[Cost item]:[Cost item]],0),MATCH($D$5,Inputs!$H$8:$U$8,0)))/1000),"-")</f>
        <v>2.6781978114478117E-5</v>
      </c>
      <c r="I186" s="61" cm="1">
        <f t="array" ref="I186">IFERROR(
IF(Calc_OtherCosts_1[[#This Row],[Fixed/Variable]:[Fixed/Variable]]="Fixed",
(IFERROR(INDEX(Calc_CPI_1[[CPI uplift factor]:[CPI uplift factor]],MATCH($C186,Calc_CPI_1[[Cost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factor]],MATCH($C186,Calc_CPI_1[[Cost item]:[Cost item]],0),1),0)+
INDEX(Input_ForRateCalc[[F-PreviousVDO_InputDate]:[F-NextVDO_Input]],MATCH(Calc_OtherCosts_1[[#This Row],[Cost item]:[Cost item]],Input_ForRateCalc[[Cost item]:[Cost item]],0),MATCH($D$5,Inputs!$H$8:$U$8,0)))/1000),"-")</f>
        <v>2.6781978114478117E-5</v>
      </c>
      <c r="J186" s="61" cm="1">
        <f t="array" ref="J186">IFERROR(
IF(Calc_OtherCosts_1[[#This Row],[Fixed/Variable]:[Fixed/Variable]]="Fixed",
(IFERROR(INDEX(Calc_CPI_1[[CPI uplift factor]:[CPI uplift factor]],MATCH($C186,Calc_CPI_1[[Cost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factor]],MATCH($C186,Calc_CPI_1[[Cost item]:[Cost item]],0),1),0)+
INDEX(Input_ForRateCalc[[F-PreviousVDO_InputDate]:[F-NextVDO_Input]],MATCH(Calc_OtherCosts_1[[#This Row],[Cost item]:[Cost item]],Input_ForRateCalc[[Cost item]:[Cost item]],0),MATCH($D$5,Inputs!$H$8:$U$8,0)))/1000),"-")</f>
        <v>2.6781978114478117E-5</v>
      </c>
      <c r="K186" s="61" cm="1">
        <f t="array" ref="K186">IFERROR(
IF(Calc_OtherCosts_1[[#This Row],[Fixed/Variable]:[Fixed/Variable]]="Fixed",
(IFERROR(INDEX(Calc_CPI_1[[CPI uplift factor]:[CPI uplift factor]],MATCH($C186,Calc_CPI_1[[Cost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factor]],MATCH($C186,Calc_CPI_1[[Cost item]:[Cost item]],0),1),0)+
INDEX(Input_ForRateCalc[[F-PreviousVDO_InputDate]:[F-NextVDO_Input]],MATCH(Calc_OtherCosts_1[[#This Row],[Cost item]:[Cost item]],Input_ForRateCalc[[Cost item]:[Cost item]],0),MATCH($D$5,Inputs!$H$8:$U$8,0)))/1000),"-")</f>
        <v>2.6781978114478117E-5</v>
      </c>
    </row>
    <row r="187" spans="1:11" outlineLevel="1" x14ac:dyDescent="0.25">
      <c r="C187" s="44" t="s">
        <v>163</v>
      </c>
      <c r="D187" s="44" t="s">
        <v>130</v>
      </c>
      <c r="E187" s="23" t="s">
        <v>282</v>
      </c>
      <c r="F187" s="23" t="s">
        <v>110</v>
      </c>
      <c r="G187" s="61" cm="1">
        <f t="array" ref="G187">IFERROR(
IF(Calc_OtherCosts_1[[#This Row],[Fixed/Variable]:[Fixed/Variable]]="Fixed",
(IFERROR(INDEX(Calc_CPI_1[[CPI uplift factor]:[CPI uplift factor]],MATCH($C187,Calc_CPI_1[[Cost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factor]],MATCH($C187,Calc_CPI_1[[Cost item]:[Cost item]],0),1),0)+
INDEX(Input_ForRateCalc[[F-PreviousVDO_InputDate]:[F-NextVDO_Input]],MATCH(Calc_OtherCosts_1[[#This Row],[Cost item]:[Cost item]],Input_ForRateCalc[[Cost item]:[Cost item]],0),MATCH($D$5,Inputs!$H$8:$U$8,0)))/1000),"-")</f>
        <v>3.4689976369582545E-4</v>
      </c>
      <c r="H187" s="61" cm="1">
        <f t="array" ref="H187">IFERROR(
IF(Calc_OtherCosts_1[[#This Row],[Fixed/Variable]:[Fixed/Variable]]="Fixed",
(IFERROR(INDEX(Calc_CPI_1[[CPI uplift factor]:[CPI uplift factor]],MATCH($C187,Calc_CPI_1[[Cost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factor]],MATCH($C187,Calc_CPI_1[[Cost item]:[Cost item]],0),1),0)+
INDEX(Input_ForRateCalc[[F-PreviousVDO_InputDate]:[F-NextVDO_Input]],MATCH(Calc_OtherCosts_1[[#This Row],[Cost item]:[Cost item]],Input_ForRateCalc[[Cost item]:[Cost item]],0),MATCH($D$5,Inputs!$H$8:$U$8,0)))/1000),"-")</f>
        <v>3.4689976369582545E-4</v>
      </c>
      <c r="I187" s="61" cm="1">
        <f t="array" ref="I187">IFERROR(
IF(Calc_OtherCosts_1[[#This Row],[Fixed/Variable]:[Fixed/Variable]]="Fixed",
(IFERROR(INDEX(Calc_CPI_1[[CPI uplift factor]:[CPI uplift factor]],MATCH($C187,Calc_CPI_1[[Cost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factor]],MATCH($C187,Calc_CPI_1[[Cost item]:[Cost item]],0),1),0)+
INDEX(Input_ForRateCalc[[F-PreviousVDO_InputDate]:[F-NextVDO_Input]],MATCH(Calc_OtherCosts_1[[#This Row],[Cost item]:[Cost item]],Input_ForRateCalc[[Cost item]:[Cost item]],0),MATCH($D$5,Inputs!$H$8:$U$8,0)))/1000),"-")</f>
        <v>3.4689976369582545E-4</v>
      </c>
      <c r="J187" s="61" cm="1">
        <f t="array" ref="J187">IFERROR(
IF(Calc_OtherCosts_1[[#This Row],[Fixed/Variable]:[Fixed/Variable]]="Fixed",
(IFERROR(INDEX(Calc_CPI_1[[CPI uplift factor]:[CPI uplift factor]],MATCH($C187,Calc_CPI_1[[Cost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factor]],MATCH($C187,Calc_CPI_1[[Cost item]:[Cost item]],0),1),0)+
INDEX(Input_ForRateCalc[[F-PreviousVDO_InputDate]:[F-NextVDO_Input]],MATCH(Calc_OtherCosts_1[[#This Row],[Cost item]:[Cost item]],Input_ForRateCalc[[Cost item]:[Cost item]],0),MATCH($D$5,Inputs!$H$8:$U$8,0)))/1000),"-")</f>
        <v>3.4689976369582545E-4</v>
      </c>
      <c r="K187" s="61" cm="1">
        <f t="array" ref="K187">IFERROR(
IF(Calc_OtherCosts_1[[#This Row],[Fixed/Variable]:[Fixed/Variable]]="Fixed",
(IFERROR(INDEX(Calc_CPI_1[[CPI uplift factor]:[CPI uplift factor]],MATCH($C187,Calc_CPI_1[[Cost item]:[Cost item]],0),1),0)+
INDEX(Input_ForRateCalc[[F-PreviousVDO_InputDate]:[F-NextVDO_Input]],MATCH(Calc_OtherCosts_1[[#This Row],[Cost item]:[Cost item]],Input_ForRateCalc[[Cost item]:[Cost item]],0),MATCH($D$5,Inputs!$H$8:$U$8,0)))*IF(Calc_OtherCosts_1[[#This Row],[Unit]:[Unit]]="$",1,IF(Calc_OtherCosts_1[[#This Row],[Unit]:[Unit]]="$/week",WiY)),
(IFERROR(INDEX(Calc_CPI_1[[CPI uplift factor]:[CPI uplift factor]],MATCH($C187,Calc_CPI_1[[Cost item]:[Cost item]],0),1),0)+
INDEX(Input_ForRateCalc[[F-PreviousVDO_InputDate]:[F-NextVDO_Input]],MATCH(Calc_OtherCosts_1[[#This Row],[Cost item]:[Cost item]],Input_ForRateCalc[[Cost item]:[Cost item]],0),MATCH($D$5,Inputs!$H$8:$U$8,0)))/1000),"-")</f>
        <v>3.4689976369582545E-4</v>
      </c>
    </row>
    <row r="189" spans="1:11" ht="16.5" thickBot="1" x14ac:dyDescent="0.3">
      <c r="B189" s="9">
        <f ca="1">MAX(B$3:B188)+0.1</f>
        <v>12.499999999999998</v>
      </c>
      <c r="C189" s="28" t="s">
        <v>121</v>
      </c>
      <c r="D189" s="28"/>
      <c r="E189" s="28"/>
      <c r="F189" s="28"/>
      <c r="G189" s="28"/>
      <c r="H189" s="28"/>
      <c r="I189" s="28"/>
      <c r="J189" s="28"/>
      <c r="K189" s="28"/>
    </row>
    <row r="190" spans="1:11" outlineLevel="1" x14ac:dyDescent="0.25"/>
    <row r="191" spans="1:11" ht="15.75" outlineLevel="1" x14ac:dyDescent="0.25">
      <c r="C191" s="29" t="s">
        <v>297</v>
      </c>
    </row>
    <row r="192" spans="1:11" ht="15.75" outlineLevel="1" x14ac:dyDescent="0.25">
      <c r="C192" s="43" t="s">
        <v>46</v>
      </c>
      <c r="D192" s="43" t="s">
        <v>102</v>
      </c>
      <c r="E192" s="43" t="s">
        <v>103</v>
      </c>
      <c r="F192" s="43" t="s">
        <v>91</v>
      </c>
      <c r="G192" s="60" t="s">
        <v>268</v>
      </c>
      <c r="H192" s="60" t="s">
        <v>269</v>
      </c>
      <c r="I192" s="60" t="s">
        <v>270</v>
      </c>
      <c r="J192" s="60" t="s">
        <v>271</v>
      </c>
      <c r="K192" s="60" t="s">
        <v>272</v>
      </c>
    </row>
    <row r="193" spans="3:11" outlineLevel="1" x14ac:dyDescent="0.25">
      <c r="C193" s="23" t="s">
        <v>550</v>
      </c>
      <c r="D193" s="23" t="s">
        <v>108</v>
      </c>
      <c r="E193" s="23" t="s">
        <v>123</v>
      </c>
      <c r="F193" s="23" t="s">
        <v>92</v>
      </c>
      <c r="G193" s="61" cm="1">
        <f t="array" ref="G193">IFERROR(
IFERROR(INDEX(Calc_CPI_1[[CPI uplift factor]:[CPI uplift factor]],MATCH($C193,Calc_CPI_1[[Cost item]:[Cost item]],0),1),0)+
INDEX(Input_ForRateCalc[[F-PreviousVDO_InputDate]:[F-NextVDO_Input]],MATCH(
IF(Calc_NetworkF_1[[#This Row],[Cost item]:[Cost item]]="Metering",
Calc_NetworkF_1[[#This Row],[Cost item]:[Cost item]]&amp;" - "&amp;Calc_NetworkF_1[[#Headers],[Ausnet]],
Calc_NetworkF_1[[#This Row],[Cost item]:[Cost item]]&amp;" charge - "&amp;IF(Calc_NetworkF_1[[#This Row],[Customer type]:[Customer type]]="Residential","RES - ","SME - ")&amp;Calc_NetworkF_1[[#Headers],[Ausnet]]),Input_ForRateCalc[[Cost item]:[Cost item]],0),MATCH($D$5,Inputs!$H$8:$U$8,0)),"-")</f>
        <v>111.11</v>
      </c>
      <c r="H193" s="61" cm="1">
        <f t="array" ref="H193">IFERROR(
IFERROR(INDEX(Calc_CPI_1[[CPI uplift factor]:[CPI uplift factor]],MATCH($C193,Calc_CPI_1[[Cost item]:[Cost item]],0),1),0)+
INDEX(Input_ForRateCalc[[F-PreviousVDO_InputDate]:[F-NextVDO_Input]],MATCH(
IF(Calc_NetworkF_1[[#This Row],[Cost item]:[Cost item]]="Metering",
Calc_NetworkF_1[[#This Row],[Cost item]:[Cost item]]&amp;" - "&amp;Calc_NetworkF_1[[#Headers],[Citipower]],
Calc_NetworkF_1[[#This Row],[Cost item]:[Cost item]]&amp;" charge - "&amp;IF(Calc_NetworkF_1[[#This Row],[Customer type]:[Customer type]]="Residential","RES - ","SME - ")&amp;Calc_NetworkF_1[[#Headers],[Citipower]]),Input_ForRateCalc[[Cost item]:[Cost item]],0),MATCH($D$5,Inputs!$H$8:$U$8,0)),"-")</f>
        <v>90.009</v>
      </c>
      <c r="I193" s="61" cm="1">
        <f t="array" ref="I193">IFERROR(
IFERROR(INDEX(Calc_CPI_1[[CPI uplift factor]:[CPI uplift factor]],MATCH($C193,Calc_CPI_1[[Cost item]:[Cost item]],0),1),0)+
INDEX(Input_ForRateCalc[[F-PreviousVDO_InputDate]:[F-NextVDO_Input]],MATCH(
IF(Calc_NetworkF_1[[#This Row],[Cost item]:[Cost item]]="Metering",
Calc_NetworkF_1[[#This Row],[Cost item]:[Cost item]]&amp;" - "&amp;Calc_NetworkF_1[[#Headers],[Jemena]],
Calc_NetworkF_1[[#This Row],[Cost item]:[Cost item]]&amp;" charge - "&amp;IF(Calc_NetworkF_1[[#This Row],[Customer type]:[Customer type]]="Residential","RES - ","SME - ")&amp;Calc_NetworkF_1[[#Headers],[Jemena]]),Input_ForRateCalc[[Cost item]:[Cost item]],0),MATCH($D$5,Inputs!$H$8:$U$8,0)),"-")</f>
        <v>82.195999999999998</v>
      </c>
      <c r="J193" s="61" cm="1">
        <f t="array" ref="J193">IFERROR(
IFERROR(INDEX(Calc_CPI_1[[CPI uplift factor]:[CPI uplift factor]],MATCH($C193,Calc_CPI_1[[Cost item]:[Cost item]],0),1),0)+
INDEX(Input_ForRateCalc[[F-PreviousVDO_InputDate]:[F-NextVDO_Input]],MATCH(
IF(Calc_NetworkF_1[[#This Row],[Cost item]:[Cost item]]="Metering",
Calc_NetworkF_1[[#This Row],[Cost item]:[Cost item]]&amp;" - "&amp;Calc_NetworkF_1[[#Headers],[Powercor]],
Calc_NetworkF_1[[#This Row],[Cost item]:[Cost item]]&amp;" charge - "&amp;IF(Calc_NetworkF_1[[#This Row],[Customer type]:[Customer type]]="Residential","RES - ","SME - ")&amp;Calc_NetworkF_1[[#Headers],[Powercor]]),Input_ForRateCalc[[Cost item]:[Cost item]],0),MATCH($D$5,Inputs!$H$8:$U$8,0)),"-")</f>
        <v>139.97749999999999</v>
      </c>
      <c r="K193" s="61" cm="1">
        <f t="array" ref="K193">IFERROR(
IFERROR(INDEX(Calc_CPI_1[[CPI uplift factor]:[CPI uplift factor]],MATCH($C193,Calc_CPI_1[[Cost item]:[Cost item]],0),1),0)+
INDEX(Input_ForRateCalc[[F-PreviousVDO_InputDate]:[F-NextVDO_Input]],MATCH(
IF(Calc_NetworkF_1[[#This Row],[Cost item]:[Cost item]]="Metering",
Calc_NetworkF_1[[#This Row],[Cost item]:[Cost item]]&amp;" - "&amp;Calc_NetworkF_1[[#Headers],[United Energy]],
Calc_NetworkF_1[[#This Row],[Cost item]:[Cost item]]&amp;" charge - "&amp;IF(Calc_NetworkF_1[[#This Row],[Customer type]:[Customer type]]="Residential","RES - ","SME - ")&amp;Calc_NetworkF_1[[#Headers],[United Energy]]),Input_ForRateCalc[[Cost item]:[Cost item]],0),MATCH($D$5,Inputs!$H$8:$U$8,0)),"-")</f>
        <v>80.007999999999996</v>
      </c>
    </row>
    <row r="194" spans="3:11" outlineLevel="1" x14ac:dyDescent="0.25">
      <c r="C194" s="23" t="s">
        <v>550</v>
      </c>
      <c r="D194" s="23" t="s">
        <v>108</v>
      </c>
      <c r="E194" s="23" t="s">
        <v>123</v>
      </c>
      <c r="F194" s="23" t="s">
        <v>93</v>
      </c>
      <c r="G194" s="61" cm="1">
        <f t="array" ref="G194">IFERROR(
IFERROR(INDEX(Calc_CPI_1[[CPI uplift factor]:[CPI uplift factor]],MATCH($C194,Calc_CPI_1[[Cost item]:[Cost item]],0),1),0)+
INDEX(Input_ForRateCalc[[F-PreviousVDO_InputDate]:[F-NextVDO_Input]],MATCH(
IF(Calc_NetworkF_1[[#This Row],[Cost item]:[Cost item]]="Metering",
Calc_NetworkF_1[[#This Row],[Cost item]:[Cost item]]&amp;" - "&amp;Calc_NetworkF_1[[#Headers],[Ausnet]],
Calc_NetworkF_1[[#This Row],[Cost item]:[Cost item]]&amp;" charge - "&amp;IF(Calc_NetworkF_1[[#This Row],[Customer type]:[Customer type]]="Residential","RES - ","SME - ")&amp;Calc_NetworkF_1[[#Headers],[Ausnet]]),Input_ForRateCalc[[Cost item]:[Cost item]],0),MATCH($D$5,Inputs!$H$8:$U$8,0)),"-")</f>
        <v>111.11</v>
      </c>
      <c r="H194" s="61" cm="1">
        <f t="array" ref="H194">IFERROR(
IFERROR(INDEX(Calc_CPI_1[[CPI uplift factor]:[CPI uplift factor]],MATCH($C194,Calc_CPI_1[[Cost item]:[Cost item]],0),1),0)+
INDEX(Input_ForRateCalc[[F-PreviousVDO_InputDate]:[F-NextVDO_Input]],MATCH(
IF(Calc_NetworkF_1[[#This Row],[Cost item]:[Cost item]]="Metering",
Calc_NetworkF_1[[#This Row],[Cost item]:[Cost item]]&amp;" - "&amp;Calc_NetworkF_1[[#Headers],[Citipower]],
Calc_NetworkF_1[[#This Row],[Cost item]:[Cost item]]&amp;" charge - "&amp;IF(Calc_NetworkF_1[[#This Row],[Customer type]:[Customer type]]="Residential","RES - ","SME - ")&amp;Calc_NetworkF_1[[#Headers],[Citipower]]),Input_ForRateCalc[[Cost item]:[Cost item]],0),MATCH($D$5,Inputs!$H$8:$U$8,0)),"-")</f>
        <v>160.01599999999999</v>
      </c>
      <c r="I194" s="61" cm="1">
        <f t="array" ref="I194">IFERROR(
IFERROR(INDEX(Calc_CPI_1[[CPI uplift factor]:[CPI uplift factor]],MATCH($C194,Calc_CPI_1[[Cost item]:[Cost item]],0),1),0)+
INDEX(Input_ForRateCalc[[F-PreviousVDO_InputDate]:[F-NextVDO_Input]],MATCH(
IF(Calc_NetworkF_1[[#This Row],[Cost item]:[Cost item]]="Metering",
Calc_NetworkF_1[[#This Row],[Cost item]:[Cost item]]&amp;" - "&amp;Calc_NetworkF_1[[#Headers],[Jemena]],
Calc_NetworkF_1[[#This Row],[Cost item]:[Cost item]]&amp;" charge - "&amp;IF(Calc_NetworkF_1[[#This Row],[Customer type]:[Customer type]]="Residential","RES - ","SME - ")&amp;Calc_NetworkF_1[[#Headers],[Jemena]]),Input_ForRateCalc[[Cost item]:[Cost item]],0),MATCH($D$5,Inputs!$H$8:$U$8,0)),"-")</f>
        <v>134.46600000000001</v>
      </c>
      <c r="J194" s="61" cm="1">
        <f t="array" ref="J194">IFERROR(
IFERROR(INDEX(Calc_CPI_1[[CPI uplift factor]:[CPI uplift factor]],MATCH($C194,Calc_CPI_1[[Cost item]:[Cost item]],0),1),0)+
INDEX(Input_ForRateCalc[[F-PreviousVDO_InputDate]:[F-NextVDO_Input]],MATCH(
IF(Calc_NetworkF_1[[#This Row],[Cost item]:[Cost item]]="Metering",
Calc_NetworkF_1[[#This Row],[Cost item]:[Cost item]]&amp;" - "&amp;Calc_NetworkF_1[[#Headers],[Powercor]],
Calc_NetworkF_1[[#This Row],[Cost item]:[Cost item]]&amp;" charge - "&amp;IF(Calc_NetworkF_1[[#This Row],[Customer type]:[Customer type]]="Residential","RES - ","SME - ")&amp;Calc_NetworkF_1[[#Headers],[Powercor]]),Input_ForRateCalc[[Cost item]:[Cost item]],0),MATCH($D$5,Inputs!$H$8:$U$8,0)),"-")</f>
        <v>179.98150000000001</v>
      </c>
      <c r="K194" s="61" cm="1">
        <f t="array" ref="K194">IFERROR(
IFERROR(INDEX(Calc_CPI_1[[CPI uplift factor]:[CPI uplift factor]],MATCH($C194,Calc_CPI_1[[Cost item]:[Cost item]],0),1),0)+
INDEX(Input_ForRateCalc[[F-PreviousVDO_InputDate]:[F-NextVDO_Input]],MATCH(
IF(Calc_NetworkF_1[[#This Row],[Cost item]:[Cost item]]="Metering",
Calc_NetworkF_1[[#This Row],[Cost item]:[Cost item]]&amp;" - "&amp;Calc_NetworkF_1[[#Headers],[United Energy]],
Calc_NetworkF_1[[#This Row],[Cost item]:[Cost item]]&amp;" charge - "&amp;IF(Calc_NetworkF_1[[#This Row],[Customer type]:[Customer type]]="Residential","RES - ","SME - ")&amp;Calc_NetworkF_1[[#Headers],[United Energy]]),Input_ForRateCalc[[Cost item]:[Cost item]],0),MATCH($D$5,Inputs!$H$8:$U$8,0)),"-")</f>
        <v>120.01199999999999</v>
      </c>
    </row>
    <row r="195" spans="3:11" outlineLevel="1" x14ac:dyDescent="0.25">
      <c r="C195" s="23" t="s">
        <v>551</v>
      </c>
      <c r="D195" s="23" t="s">
        <v>108</v>
      </c>
      <c r="E195" s="23" t="s">
        <v>123</v>
      </c>
      <c r="F195" s="23" t="s">
        <v>92</v>
      </c>
      <c r="G195" s="61" cm="1">
        <f t="array" ref="G195">IFERROR(
IFERROR(INDEX(Calc_CPI_1[[CPI uplift factor]:[CPI uplift factor]],MATCH($C195,Calc_CPI_1[[Cost item]:[Cost item]],0),1),0)+
INDEX(Input_ForRateCalc[[F-PreviousVDO_InputDate]:[F-NextVDO_Input]],MATCH(
IF(Calc_NetworkF_1[[#This Row],[Cost item]:[Cost item]]="Metering",
Calc_NetworkF_1[[#This Row],[Cost item]:[Cost item]]&amp;" - "&amp;Calc_NetworkF_1[[#Headers],[Ausnet]],
Calc_NetworkF_1[[#This Row],[Cost item]:[Cost item]]&amp;" charge - "&amp;IF(Calc_NetworkF_1[[#This Row],[Customer type]:[Customer type]]="Residential","RES - ","SME - ")&amp;Calc_NetworkF_1[[#Headers],[Ausnet]]),Input_ForRateCalc[[Cost item]:[Cost item]],0),MATCH($D$5,Inputs!$H$8:$U$8,0)),"-")</f>
        <v>111.11</v>
      </c>
      <c r="H195" s="61" cm="1">
        <f t="array" ref="H195">IFERROR(
IFERROR(INDEX(Calc_CPI_1[[CPI uplift factor]:[CPI uplift factor]],MATCH($C195,Calc_CPI_1[[Cost item]:[Cost item]],0),1),0)+
INDEX(Input_ForRateCalc[[F-PreviousVDO_InputDate]:[F-NextVDO_Input]],MATCH(
IF(Calc_NetworkF_1[[#This Row],[Cost item]:[Cost item]]="Metering",
Calc_NetworkF_1[[#This Row],[Cost item]:[Cost item]]&amp;" - "&amp;Calc_NetworkF_1[[#Headers],[Citipower]],
Calc_NetworkF_1[[#This Row],[Cost item]:[Cost item]]&amp;" charge - "&amp;IF(Calc_NetworkF_1[[#This Row],[Customer type]:[Customer type]]="Residential","RES - ","SME - ")&amp;Calc_NetworkF_1[[#Headers],[Citipower]]),Input_ForRateCalc[[Cost item]:[Cost item]],0),MATCH($D$5,Inputs!$H$8:$U$8,0)),"-")</f>
        <v>90.009</v>
      </c>
      <c r="I195" s="61" cm="1">
        <f t="array" ref="I195">IFERROR(
IFERROR(INDEX(Calc_CPI_1[[CPI uplift factor]:[CPI uplift factor]],MATCH($C195,Calc_CPI_1[[Cost item]:[Cost item]],0),1),0)+
INDEX(Input_ForRateCalc[[F-PreviousVDO_InputDate]:[F-NextVDO_Input]],MATCH(
IF(Calc_NetworkF_1[[#This Row],[Cost item]:[Cost item]]="Metering",
Calc_NetworkF_1[[#This Row],[Cost item]:[Cost item]]&amp;" - "&amp;Calc_NetworkF_1[[#Headers],[Jemena]],
Calc_NetworkF_1[[#This Row],[Cost item]:[Cost item]]&amp;" charge - "&amp;IF(Calc_NetworkF_1[[#This Row],[Customer type]:[Customer type]]="Residential","RES - ","SME - ")&amp;Calc_NetworkF_1[[#Headers],[Jemena]]),Input_ForRateCalc[[Cost item]:[Cost item]],0),MATCH($D$5,Inputs!$H$8:$U$8,0)),"-")</f>
        <v>82.195999999999998</v>
      </c>
      <c r="J195" s="61" cm="1">
        <f t="array" ref="J195">IFERROR(
IFERROR(INDEX(Calc_CPI_1[[CPI uplift factor]:[CPI uplift factor]],MATCH($C195,Calc_CPI_1[[Cost item]:[Cost item]],0),1),0)+
INDEX(Input_ForRateCalc[[F-PreviousVDO_InputDate]:[F-NextVDO_Input]],MATCH(
IF(Calc_NetworkF_1[[#This Row],[Cost item]:[Cost item]]="Metering",
Calc_NetworkF_1[[#This Row],[Cost item]:[Cost item]]&amp;" - "&amp;Calc_NetworkF_1[[#Headers],[Powercor]],
Calc_NetworkF_1[[#This Row],[Cost item]:[Cost item]]&amp;" charge - "&amp;IF(Calc_NetworkF_1[[#This Row],[Customer type]:[Customer type]]="Residential","RES - ","SME - ")&amp;Calc_NetworkF_1[[#Headers],[Powercor]]),Input_ForRateCalc[[Cost item]:[Cost item]],0),MATCH($D$5,Inputs!$H$8:$U$8,0)),"-")</f>
        <v>139.97749999999999</v>
      </c>
      <c r="K195" s="61" cm="1">
        <f t="array" ref="K195">IFERROR(
IFERROR(INDEX(Calc_CPI_1[[CPI uplift factor]:[CPI uplift factor]],MATCH($C195,Calc_CPI_1[[Cost item]:[Cost item]],0),1),0)+
INDEX(Input_ForRateCalc[[F-PreviousVDO_InputDate]:[F-NextVDO_Input]],MATCH(
IF(Calc_NetworkF_1[[#This Row],[Cost item]:[Cost item]]="Metering",
Calc_NetworkF_1[[#This Row],[Cost item]:[Cost item]]&amp;" - "&amp;Calc_NetworkF_1[[#Headers],[United Energy]],
Calc_NetworkF_1[[#This Row],[Cost item]:[Cost item]]&amp;" charge - "&amp;IF(Calc_NetworkF_1[[#This Row],[Customer type]:[Customer type]]="Residential","RES - ","SME - ")&amp;Calc_NetworkF_1[[#Headers],[United Energy]]),Input_ForRateCalc[[Cost item]:[Cost item]],0),MATCH($D$5,Inputs!$H$8:$U$8,0)),"-")</f>
        <v>80.007999999999996</v>
      </c>
    </row>
    <row r="196" spans="3:11" outlineLevel="1" x14ac:dyDescent="0.25">
      <c r="C196" s="23" t="s">
        <v>551</v>
      </c>
      <c r="D196" s="23" t="s">
        <v>108</v>
      </c>
      <c r="E196" s="23" t="s">
        <v>123</v>
      </c>
      <c r="F196" s="23" t="s">
        <v>93</v>
      </c>
      <c r="G196" s="61" cm="1">
        <f t="array" ref="G196">IFERROR(
IFERROR(INDEX(Calc_CPI_1[[CPI uplift factor]:[CPI uplift factor]],MATCH($C196,Calc_CPI_1[[Cost item]:[Cost item]],0),1),0)+
INDEX(Input_ForRateCalc[[F-PreviousVDO_InputDate]:[F-NextVDO_Input]],MATCH(
IF(Calc_NetworkF_1[[#This Row],[Cost item]:[Cost item]]="Metering",
Calc_NetworkF_1[[#This Row],[Cost item]:[Cost item]]&amp;" - "&amp;Calc_NetworkF_1[[#Headers],[Ausnet]],
Calc_NetworkF_1[[#This Row],[Cost item]:[Cost item]]&amp;" charge - "&amp;IF(Calc_NetworkF_1[[#This Row],[Customer type]:[Customer type]]="Residential","RES - ","SME - ")&amp;Calc_NetworkF_1[[#Headers],[Ausnet]]),Input_ForRateCalc[[Cost item]:[Cost item]],0),MATCH($D$5,Inputs!$H$8:$U$8,0)),"-")</f>
        <v>111.11</v>
      </c>
      <c r="H196" s="61" cm="1">
        <f t="array" ref="H196">IFERROR(
IFERROR(INDEX(Calc_CPI_1[[CPI uplift factor]:[CPI uplift factor]],MATCH($C196,Calc_CPI_1[[Cost item]:[Cost item]],0),1),0)+
INDEX(Input_ForRateCalc[[F-PreviousVDO_InputDate]:[F-NextVDO_Input]],MATCH(
IF(Calc_NetworkF_1[[#This Row],[Cost item]:[Cost item]]="Metering",
Calc_NetworkF_1[[#This Row],[Cost item]:[Cost item]]&amp;" - "&amp;Calc_NetworkF_1[[#Headers],[Citipower]],
Calc_NetworkF_1[[#This Row],[Cost item]:[Cost item]]&amp;" charge - "&amp;IF(Calc_NetworkF_1[[#This Row],[Customer type]:[Customer type]]="Residential","RES - ","SME - ")&amp;Calc_NetworkF_1[[#Headers],[Citipower]]),Input_ForRateCalc[[Cost item]:[Cost item]],0),MATCH($D$5,Inputs!$H$8:$U$8,0)),"-")</f>
        <v>160.01599999999999</v>
      </c>
      <c r="I196" s="61" cm="1">
        <f t="array" ref="I196">IFERROR(
IFERROR(INDEX(Calc_CPI_1[[CPI uplift factor]:[CPI uplift factor]],MATCH($C196,Calc_CPI_1[[Cost item]:[Cost item]],0),1),0)+
INDEX(Input_ForRateCalc[[F-PreviousVDO_InputDate]:[F-NextVDO_Input]],MATCH(
IF(Calc_NetworkF_1[[#This Row],[Cost item]:[Cost item]]="Metering",
Calc_NetworkF_1[[#This Row],[Cost item]:[Cost item]]&amp;" - "&amp;Calc_NetworkF_1[[#Headers],[Jemena]],
Calc_NetworkF_1[[#This Row],[Cost item]:[Cost item]]&amp;" charge - "&amp;IF(Calc_NetworkF_1[[#This Row],[Customer type]:[Customer type]]="Residential","RES - ","SME - ")&amp;Calc_NetworkF_1[[#Headers],[Jemena]]),Input_ForRateCalc[[Cost item]:[Cost item]],0),MATCH($D$5,Inputs!$H$8:$U$8,0)),"-")</f>
        <v>242.124</v>
      </c>
      <c r="J196" s="61" cm="1">
        <f t="array" ref="J196">IFERROR(
IFERROR(INDEX(Calc_CPI_1[[CPI uplift factor]:[CPI uplift factor]],MATCH($C196,Calc_CPI_1[[Cost item]:[Cost item]],0),1),0)+
INDEX(Input_ForRateCalc[[F-PreviousVDO_InputDate]:[F-NextVDO_Input]],MATCH(
IF(Calc_NetworkF_1[[#This Row],[Cost item]:[Cost item]]="Metering",
Calc_NetworkF_1[[#This Row],[Cost item]:[Cost item]]&amp;" - "&amp;Calc_NetworkF_1[[#Headers],[Powercor]],
Calc_NetworkF_1[[#This Row],[Cost item]:[Cost item]]&amp;" charge - "&amp;IF(Calc_NetworkF_1[[#This Row],[Customer type]:[Customer type]]="Residential","RES - ","SME - ")&amp;Calc_NetworkF_1[[#Headers],[Powercor]]),Input_ForRateCalc[[Cost item]:[Cost item]],0),MATCH($D$5,Inputs!$H$8:$U$8,0)),"-")</f>
        <v>179.98150000000001</v>
      </c>
      <c r="K196" s="61" cm="1">
        <f t="array" ref="K196">IFERROR(
IFERROR(INDEX(Calc_CPI_1[[CPI uplift factor]:[CPI uplift factor]],MATCH($C196,Calc_CPI_1[[Cost item]:[Cost item]],0),1),0)+
INDEX(Input_ForRateCalc[[F-PreviousVDO_InputDate]:[F-NextVDO_Input]],MATCH(
IF(Calc_NetworkF_1[[#This Row],[Cost item]:[Cost item]]="Metering",
Calc_NetworkF_1[[#This Row],[Cost item]:[Cost item]]&amp;" - "&amp;Calc_NetworkF_1[[#Headers],[United Energy]],
Calc_NetworkF_1[[#This Row],[Cost item]:[Cost item]]&amp;" charge - "&amp;IF(Calc_NetworkF_1[[#This Row],[Customer type]:[Customer type]]="Residential","RES - ","SME - ")&amp;Calc_NetworkF_1[[#Headers],[United Energy]]),Input_ForRateCalc[[Cost item]:[Cost item]],0),MATCH($D$5,Inputs!$H$8:$U$8,0)),"-")</f>
        <v>120.01199999999999</v>
      </c>
    </row>
    <row r="197" spans="3:11" outlineLevel="1" x14ac:dyDescent="0.25">
      <c r="C197" s="44" t="s">
        <v>275</v>
      </c>
      <c r="D197" s="44" t="s">
        <v>108</v>
      </c>
      <c r="E197" s="23" t="s">
        <v>123</v>
      </c>
      <c r="F197" s="23" t="s">
        <v>110</v>
      </c>
      <c r="G197" s="61" cm="1">
        <f t="array" ref="G197">IFERROR(
IFERROR(INDEX(Calc_CPI_1[[CPI uplift factor]:[CPI uplift factor]],MATCH($C197,Calc_CPI_1[[Cost item]:[Cost item]],0),1),0)+
INDEX(Input_ForRateCalc[[F-PreviousVDO_InputDate]:[F-NextVDO_Input]],MATCH(
IF(Calc_NetworkF_1[[#This Row],[Cost item]:[Cost item]]="Metering",
Calc_NetworkF_1[[#This Row],[Cost item]:[Cost item]]&amp;" - "&amp;Calc_NetworkF_1[[#Headers],[Ausnet]],
Calc_NetworkF_1[[#This Row],[Cost item]:[Cost item]]&amp;" charge - "&amp;IF(Calc_NetworkF_1[[#This Row],[Customer type]:[Customer type]]="Residential","RES - ","SME - ")&amp;Calc_NetworkF_1[[#Headers],[Ausnet]]),Input_ForRateCalc[[Cost item]:[Cost item]],0),MATCH($D$5,Inputs!$H$8:$U$8,0)),"-")</f>
        <v>72.901836379042152</v>
      </c>
      <c r="H197" s="61" cm="1">
        <f t="array" ref="H197">IFERROR(
IFERROR(INDEX(Calc_CPI_1[[CPI uplift factor]:[CPI uplift factor]],MATCH($C197,Calc_CPI_1[[Cost item]:[Cost item]],0),1),0)+
INDEX(Input_ForRateCalc[[F-PreviousVDO_InputDate]:[F-NextVDO_Input]],MATCH(
IF(Calc_NetworkF_1[[#This Row],[Cost item]:[Cost item]]="Metering",
Calc_NetworkF_1[[#This Row],[Cost item]:[Cost item]]&amp;" - "&amp;Calc_NetworkF_1[[#Headers],[Citipower]],
Calc_NetworkF_1[[#This Row],[Cost item]:[Cost item]]&amp;" charge - "&amp;IF(Calc_NetworkF_1[[#This Row],[Customer type]:[Customer type]]="Residential","RES - ","SME - ")&amp;Calc_NetworkF_1[[#Headers],[Citipower]]),Input_ForRateCalc[[Cost item]:[Cost item]],0),MATCH($D$5,Inputs!$H$8:$U$8,0)),"-")</f>
        <v>62.513688088390346</v>
      </c>
      <c r="I197" s="61" cm="1">
        <f t="array" ref="I197">IFERROR(
IFERROR(INDEX(Calc_CPI_1[[CPI uplift factor]:[CPI uplift factor]],MATCH($C197,Calc_CPI_1[[Cost item]:[Cost item]],0),1),0)+
INDEX(Input_ForRateCalc[[F-PreviousVDO_InputDate]:[F-NextVDO_Input]],MATCH(
IF(Calc_NetworkF_1[[#This Row],[Cost item]:[Cost item]]="Metering",
Calc_NetworkF_1[[#This Row],[Cost item]:[Cost item]]&amp;" - "&amp;Calc_NetworkF_1[[#Headers],[Jemena]],
Calc_NetworkF_1[[#This Row],[Cost item]:[Cost item]]&amp;" charge - "&amp;IF(Calc_NetworkF_1[[#This Row],[Customer type]:[Customer type]]="Residential","RES - ","SME - ")&amp;Calc_NetworkF_1[[#Headers],[Jemena]]),Input_ForRateCalc[[Cost item]:[Cost item]],0),MATCH($D$5,Inputs!$H$8:$U$8,0)),"-")</f>
        <v>55.822653689249755</v>
      </c>
      <c r="J197" s="61" cm="1">
        <f t="array" ref="J197">IFERROR(
IFERROR(INDEX(Calc_CPI_1[[CPI uplift factor]:[CPI uplift factor]],MATCH($C197,Calc_CPI_1[[Cost item]:[Cost item]],0),1),0)+
INDEX(Input_ForRateCalc[[F-PreviousVDO_InputDate]:[F-NextVDO_Input]],MATCH(
IF(Calc_NetworkF_1[[#This Row],[Cost item]:[Cost item]]="Metering",
Calc_NetworkF_1[[#This Row],[Cost item]:[Cost item]]&amp;" - "&amp;Calc_NetworkF_1[[#Headers],[Powercor]],
Calc_NetworkF_1[[#This Row],[Cost item]:[Cost item]]&amp;" charge - "&amp;IF(Calc_NetworkF_1[[#This Row],[Customer type]:[Customer type]]="Residential","RES - ","SME - ")&amp;Calc_NetworkF_1[[#Headers],[Powercor]]),Input_ForRateCalc[[Cost item]:[Cost item]],0),MATCH($D$5,Inputs!$H$8:$U$8,0)),"-")</f>
        <v>59.390794631454334</v>
      </c>
      <c r="K197" s="61" cm="1">
        <f t="array" ref="K197">IFERROR(
IFERROR(INDEX(Calc_CPI_1[[CPI uplift factor]:[CPI uplift factor]],MATCH($C197,Calc_CPI_1[[Cost item]:[Cost item]],0),1),0)+
INDEX(Input_ForRateCalc[[F-PreviousVDO_InputDate]:[F-NextVDO_Input]],MATCH(
IF(Calc_NetworkF_1[[#This Row],[Cost item]:[Cost item]]="Metering",
Calc_NetworkF_1[[#This Row],[Cost item]:[Cost item]]&amp;" - "&amp;Calc_NetworkF_1[[#Headers],[United Energy]],
Calc_NetworkF_1[[#This Row],[Cost item]:[Cost item]]&amp;" charge - "&amp;IF(Calc_NetworkF_1[[#This Row],[Customer type]:[Customer type]]="Residential","RES - ","SME - ")&amp;Calc_NetworkF_1[[#Headers],[United Energy]]),Input_ForRateCalc[[Cost item]:[Cost item]],0),MATCH($D$5,Inputs!$H$8:$U$8,0)),"-")</f>
        <v>43.808058038216856</v>
      </c>
    </row>
    <row r="198" spans="3:11" outlineLevel="1" x14ac:dyDescent="0.25"/>
    <row r="199" spans="3:11" ht="15.75" outlineLevel="1" x14ac:dyDescent="0.25">
      <c r="C199" s="29" t="s">
        <v>298</v>
      </c>
    </row>
    <row r="200" spans="3:11" ht="15.75" outlineLevel="1" x14ac:dyDescent="0.25">
      <c r="C200" s="43" t="s">
        <v>46</v>
      </c>
      <c r="D200" s="43" t="s">
        <v>102</v>
      </c>
      <c r="E200" s="43" t="s">
        <v>103</v>
      </c>
      <c r="F200" s="43" t="s">
        <v>91</v>
      </c>
      <c r="G200" s="60" t="s">
        <v>268</v>
      </c>
      <c r="H200" s="60" t="s">
        <v>269</v>
      </c>
      <c r="I200" s="60" t="s">
        <v>270</v>
      </c>
      <c r="J200" s="60" t="s">
        <v>271</v>
      </c>
      <c r="K200" s="60" t="s">
        <v>272</v>
      </c>
    </row>
    <row r="201" spans="3:11" outlineLevel="1" x14ac:dyDescent="0.25">
      <c r="C201" s="23" t="s">
        <v>221</v>
      </c>
      <c r="D201" s="23" t="s">
        <v>130</v>
      </c>
      <c r="E201" s="23" t="s">
        <v>282</v>
      </c>
      <c r="F201" s="23" t="s">
        <v>92</v>
      </c>
      <c r="G201" s="61" cm="1">
        <f t="array" ref="G201">IFERROR(
(IFERROR(INDEX(Calc_CPI_1[[CPI uplift factor]:[CPI uplift factor]],MATCH($C201,Calc_CPI_1[[Cost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MATCH($D$5,Inputs!$H$8:$U$8,0)))/100,"-")</f>
        <v>0.11450300000000001</v>
      </c>
      <c r="H201" s="61" t="str" cm="1">
        <f t="array" ref="H201">IFERROR(
(IFERROR(INDEX(Calc_CPI_1[[CPI uplift factor]:[CPI uplift factor]],MATCH($C201,Calc_CPI_1[[Cost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MATCH($D$5,Inputs!$H$8:$U$8,0)))/100,"-")</f>
        <v>-</v>
      </c>
      <c r="I201" s="61" t="str" cm="1">
        <f t="array" ref="I201">IFERROR(
(IFERROR(INDEX(Calc_CPI_1[[CPI uplift factor]:[CPI uplift factor]],MATCH($C201,Calc_CPI_1[[Cost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MATCH($D$5,Inputs!$H$8:$U$8,0)))/100,"-")</f>
        <v>-</v>
      </c>
      <c r="J201" s="61" t="str" cm="1">
        <f t="array" ref="J201">IFERROR(
(IFERROR(INDEX(Calc_CPI_1[[CPI uplift factor]:[CPI uplift factor]],MATCH($C201,Calc_CPI_1[[Cost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MATCH($D$5,Inputs!$H$8:$U$8,0)))/100,"-")</f>
        <v>-</v>
      </c>
      <c r="K201" s="61" t="str" cm="1">
        <f t="array" ref="K201">IFERROR(
(IFERROR(INDEX(Calc_CPI_1[[CPI uplift factor]:[CPI uplift factor]],MATCH($C201,Calc_CPI_1[[Cost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MATCH($D$5,Inputs!$H$8:$U$8,0)))/100,"-")</f>
        <v>-</v>
      </c>
    </row>
    <row r="202" spans="3:11" outlineLevel="1" x14ac:dyDescent="0.25">
      <c r="C202" s="23" t="s">
        <v>228</v>
      </c>
      <c r="D202" s="23" t="s">
        <v>130</v>
      </c>
      <c r="E202" s="23" t="s">
        <v>282</v>
      </c>
      <c r="F202" s="23" t="s">
        <v>92</v>
      </c>
      <c r="G202" s="61" cm="1">
        <f t="array" ref="G202">IFERROR(
(IFERROR(INDEX(Calc_CPI_1[[CPI uplift factor]:[CPI uplift factor]],MATCH($C202,Calc_CPI_1[[Cost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MATCH($D$5,Inputs!$H$8:$U$8,0)))/100,"-")</f>
        <v>0.128382</v>
      </c>
      <c r="H202" s="61" t="str" cm="1">
        <f t="array" ref="H202">IFERROR(
(IFERROR(INDEX(Calc_CPI_1[[CPI uplift factor]:[CPI uplift factor]],MATCH($C202,Calc_CPI_1[[Cost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MATCH($D$5,Inputs!$H$8:$U$8,0)))/100,"-")</f>
        <v>-</v>
      </c>
      <c r="I202" s="61" t="str" cm="1">
        <f t="array" ref="I202">IFERROR(
(IFERROR(INDEX(Calc_CPI_1[[CPI uplift factor]:[CPI uplift factor]],MATCH($C202,Calc_CPI_1[[Cost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MATCH($D$5,Inputs!$H$8:$U$8,0)))/100,"-")</f>
        <v>-</v>
      </c>
      <c r="J202" s="61" t="str" cm="1">
        <f t="array" ref="J202">IFERROR(
(IFERROR(INDEX(Calc_CPI_1[[CPI uplift factor]:[CPI uplift factor]],MATCH($C202,Calc_CPI_1[[Cost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MATCH($D$5,Inputs!$H$8:$U$8,0)))/100,"-")</f>
        <v>-</v>
      </c>
      <c r="K202" s="61" t="str" cm="1">
        <f t="array" ref="K202">IFERROR(
(IFERROR(INDEX(Calc_CPI_1[[CPI uplift factor]:[CPI uplift factor]],MATCH($C202,Calc_CPI_1[[Cost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MATCH($D$5,Inputs!$H$8:$U$8,0)))/100,"-")</f>
        <v>-</v>
      </c>
    </row>
    <row r="203" spans="3:11" outlineLevel="1" x14ac:dyDescent="0.25">
      <c r="C203" s="23" t="s">
        <v>549</v>
      </c>
      <c r="D203" s="23" t="s">
        <v>130</v>
      </c>
      <c r="E203" s="23" t="s">
        <v>282</v>
      </c>
      <c r="F203" s="23" t="s">
        <v>92</v>
      </c>
      <c r="G203" s="61" t="str" cm="1">
        <f t="array" ref="G203">IFERROR(
(IFERROR(INDEX(Calc_CPI_1[[CPI uplift factor]:[CPI uplift factor]],MATCH($C203,Calc_CPI_1[[Cost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MATCH($D$5,Inputs!$H$8:$U$8,0)))/100,"-")</f>
        <v>-</v>
      </c>
      <c r="H203" s="61" cm="1">
        <f t="array" ref="H203">IFERROR(
(IFERROR(INDEX(Calc_CPI_1[[CPI uplift factor]:[CPI uplift factor]],MATCH($C203,Calc_CPI_1[[Cost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MATCH($D$5,Inputs!$H$8:$U$8,0)))/100,"-")</f>
        <v>8.0500000000000002E-2</v>
      </c>
      <c r="I203" s="61" cm="1">
        <f t="array" ref="I203">IFERROR(
(IFERROR(INDEX(Calc_CPI_1[[CPI uplift factor]:[CPI uplift factor]],MATCH($C203,Calc_CPI_1[[Cost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MATCH($D$5,Inputs!$H$8:$U$8,0)))/100,"-")</f>
        <v>8.6699999999999999E-2</v>
      </c>
      <c r="J203" s="61" cm="1">
        <f t="array" ref="J203">IFERROR(
(IFERROR(INDEX(Calc_CPI_1[[CPI uplift factor]:[CPI uplift factor]],MATCH($C203,Calc_CPI_1[[Cost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MATCH($D$5,Inputs!$H$8:$U$8,0)))/100,"-")</f>
        <v>8.1500000000000003E-2</v>
      </c>
      <c r="K203" s="61" cm="1">
        <f t="array" ref="K203">IFERROR(
(IFERROR(INDEX(Calc_CPI_1[[CPI uplift factor]:[CPI uplift factor]],MATCH($C203,Calc_CPI_1[[Cost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MATCH($D$5,Inputs!$H$8:$U$8,0)))/100,"-")</f>
        <v>7.9899999999999999E-2</v>
      </c>
    </row>
    <row r="204" spans="3:11" outlineLevel="1" x14ac:dyDescent="0.25">
      <c r="C204" s="23" t="s">
        <v>230</v>
      </c>
      <c r="D204" s="23" t="s">
        <v>130</v>
      </c>
      <c r="E204" s="23" t="s">
        <v>282</v>
      </c>
      <c r="F204" s="23" t="s">
        <v>92</v>
      </c>
      <c r="G204" s="61" cm="1">
        <f t="array" ref="G204">IFERROR(
(IFERROR(INDEX(Calc_CPI_1[[CPI uplift factor]:[CPI uplift factor]],MATCH($C204,Calc_CPI_1[[Cost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MATCH($D$5,Inputs!$H$8:$U$8,0)))/100,"-")</f>
        <v>0.20853200000000002</v>
      </c>
      <c r="H204" s="61" cm="1">
        <f t="array" ref="H204">IFERROR(
(IFERROR(INDEX(Calc_CPI_1[[CPI uplift factor]:[CPI uplift factor]],MATCH($C204,Calc_CPI_1[[Cost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MATCH($D$5,Inputs!$H$8:$U$8,0)))/100,"-")</f>
        <v>0.15939999999999999</v>
      </c>
      <c r="I204" s="61" cm="1">
        <f t="array" ref="I204">IFERROR(
(IFERROR(INDEX(Calc_CPI_1[[CPI uplift factor]:[CPI uplift factor]],MATCH($C204,Calc_CPI_1[[Cost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MATCH($D$5,Inputs!$H$8:$U$8,0)))/100,"-")</f>
        <v>0.13492000000000001</v>
      </c>
      <c r="J204" s="61" cm="1">
        <f t="array" ref="J204">IFERROR(
(IFERROR(INDEX(Calc_CPI_1[[CPI uplift factor]:[CPI uplift factor]],MATCH($C204,Calc_CPI_1[[Cost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MATCH($D$5,Inputs!$H$8:$U$8,0)))/100,"-")</f>
        <v>0.15869999999999998</v>
      </c>
      <c r="K204" s="61" cm="1">
        <f t="array" ref="K204">IFERROR(
(IFERROR(INDEX(Calc_CPI_1[[CPI uplift factor]:[CPI uplift factor]],MATCH($C204,Calc_CPI_1[[Cost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MATCH($D$5,Inputs!$H$8:$U$8,0)))/100,"-")</f>
        <v>0.15789999999999998</v>
      </c>
    </row>
    <row r="205" spans="3:11" outlineLevel="1" x14ac:dyDescent="0.25">
      <c r="C205" s="23" t="s">
        <v>609</v>
      </c>
      <c r="D205" s="23" t="s">
        <v>130</v>
      </c>
      <c r="E205" s="23" t="s">
        <v>282</v>
      </c>
      <c r="F205" s="23" t="s">
        <v>92</v>
      </c>
      <c r="G205" s="61" cm="1">
        <f t="array" ref="G205">IFERROR(
(IFERROR(INDEX(Calc_CPI_1[[CPI uplift factor]:[CPI uplift factor]],MATCH($C205,Calc_CPI_1[[Cost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MATCH($D$5,Inputs!$H$8:$U$8,0)))/100,"-")</f>
        <v>4.3418999999999999E-2</v>
      </c>
      <c r="H205" s="61" cm="1">
        <f t="array" ref="H205">IFERROR(
(IFERROR(INDEX(Calc_CPI_1[[CPI uplift factor]:[CPI uplift factor]],MATCH($C205,Calc_CPI_1[[Cost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MATCH($D$5,Inputs!$H$8:$U$8,0)))/100,"-")</f>
        <v>3.9800000000000002E-2</v>
      </c>
      <c r="I205" s="61" cm="1">
        <f t="array" ref="I205">IFERROR(
(IFERROR(INDEX(Calc_CPI_1[[CPI uplift factor]:[CPI uplift factor]],MATCH($C205,Calc_CPI_1[[Cost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MATCH($D$5,Inputs!$H$8:$U$8,0)))/100,"-")</f>
        <v>3.8900000000000004E-2</v>
      </c>
      <c r="J205" s="61" cm="1">
        <f t="array" ref="J205">IFERROR(
(IFERROR(INDEX(Calc_CPI_1[[CPI uplift factor]:[CPI uplift factor]],MATCH($C205,Calc_CPI_1[[Cost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MATCH($D$5,Inputs!$H$8:$U$8,0)))/100,"-")</f>
        <v>3.9599999999999996E-2</v>
      </c>
      <c r="K205" s="61" cm="1">
        <f t="array" ref="K205">IFERROR(
(IFERROR(INDEX(Calc_CPI_1[[CPI uplift factor]:[CPI uplift factor]],MATCH($C205,Calc_CPI_1[[Cost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MATCH($D$5,Inputs!$H$8:$U$8,0)))/100,"-")</f>
        <v>3.95E-2</v>
      </c>
    </row>
    <row r="206" spans="3:11" outlineLevel="1" x14ac:dyDescent="0.25">
      <c r="C206" s="23" t="s">
        <v>287</v>
      </c>
      <c r="D206" s="23" t="s">
        <v>130</v>
      </c>
      <c r="E206" s="23" t="s">
        <v>282</v>
      </c>
      <c r="F206" s="23" t="s">
        <v>92</v>
      </c>
      <c r="G206" s="61" cm="1">
        <f t="array" ref="G206">IFERROR(
(IFERROR(INDEX(Calc_CPI_1[[CPI uplift factor]:[CPI uplift factor]],MATCH($C206,Calc_CPI_1[[Cost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MATCH($D$5,Inputs!$H$8:$U$8,0)))/100,"-")</f>
        <v>4.2622999999999994E-2</v>
      </c>
      <c r="H206" s="61" cm="1">
        <f t="array" ref="H206">IFERROR(
(IFERROR(INDEX(Calc_CPI_1[[CPI uplift factor]:[CPI uplift factor]],MATCH($C206,Calc_CPI_1[[Cost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MATCH($D$5,Inputs!$H$8:$U$8,0)))/100,"-")</f>
        <v>2.4700000000000003E-2</v>
      </c>
      <c r="I206" s="61" cm="1">
        <f t="array" ref="I206">IFERROR(
(IFERROR(INDEX(Calc_CPI_1[[CPI uplift factor]:[CPI uplift factor]],MATCH($C206,Calc_CPI_1[[Cost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MATCH($D$5,Inputs!$H$8:$U$8,0)))/100,"-")</f>
        <v>3.5990000000000001E-2</v>
      </c>
      <c r="J206" s="61" cm="1">
        <f t="array" ref="J206">IFERROR(
(IFERROR(INDEX(Calc_CPI_1[[CPI uplift factor]:[CPI uplift factor]],MATCH($C206,Calc_CPI_1[[Cost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MATCH($D$5,Inputs!$H$8:$U$8,0)))/100,"-")</f>
        <v>2.3900000000000001E-2</v>
      </c>
      <c r="K206" s="61" cm="1">
        <f t="array" ref="K206">IFERROR(
(IFERROR(INDEX(Calc_CPI_1[[CPI uplift factor]:[CPI uplift factor]],MATCH($C206,Calc_CPI_1[[Cost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MATCH($D$5,Inputs!$H$8:$U$8,0)))/100,"-")</f>
        <v>2.1700000000000001E-2</v>
      </c>
    </row>
    <row r="207" spans="3:11" outlineLevel="1" x14ac:dyDescent="0.25">
      <c r="C207" s="23" t="s">
        <v>221</v>
      </c>
      <c r="D207" s="23" t="s">
        <v>130</v>
      </c>
      <c r="E207" s="23" t="s">
        <v>282</v>
      </c>
      <c r="F207" s="23" t="s">
        <v>93</v>
      </c>
      <c r="G207" s="61" cm="1">
        <f t="array" ref="G207">IFERROR(
(IFERROR(INDEX(Calc_CPI_1[[CPI uplift factor]:[CPI uplift factor]],MATCH($C207,Calc_CPI_1[[Cost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MATCH($D$5,Inputs!$H$8:$U$8,0)))/100,"-")</f>
        <v>0.155386</v>
      </c>
      <c r="H207" s="61" t="str" cm="1">
        <f t="array" ref="H207">IFERROR(
(IFERROR(INDEX(Calc_CPI_1[[CPI uplift factor]:[CPI uplift factor]],MATCH($C207,Calc_CPI_1[[Cost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MATCH($D$5,Inputs!$H$8:$U$8,0)))/100,"-")</f>
        <v>-</v>
      </c>
      <c r="I207" s="61" t="str" cm="1">
        <f t="array" ref="I207">IFERROR(
(IFERROR(INDEX(Calc_CPI_1[[CPI uplift factor]:[CPI uplift factor]],MATCH($C207,Calc_CPI_1[[Cost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MATCH($D$5,Inputs!$H$8:$U$8,0)))/100,"-")</f>
        <v>-</v>
      </c>
      <c r="J207" s="61" t="str" cm="1">
        <f t="array" ref="J207">IFERROR(
(IFERROR(INDEX(Calc_CPI_1[[CPI uplift factor]:[CPI uplift factor]],MATCH($C207,Calc_CPI_1[[Cost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MATCH($D$5,Inputs!$H$8:$U$8,0)))/100,"-")</f>
        <v>-</v>
      </c>
      <c r="K207" s="61" t="str" cm="1">
        <f t="array" ref="K207">IFERROR(
(IFERROR(INDEX(Calc_CPI_1[[CPI uplift factor]:[CPI uplift factor]],MATCH($C207,Calc_CPI_1[[Cost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MATCH($D$5,Inputs!$H$8:$U$8,0)))/100,"-")</f>
        <v>-</v>
      </c>
    </row>
    <row r="208" spans="3:11" outlineLevel="1" x14ac:dyDescent="0.25">
      <c r="C208" s="23" t="s">
        <v>228</v>
      </c>
      <c r="D208" s="23" t="s">
        <v>130</v>
      </c>
      <c r="E208" s="23" t="s">
        <v>282</v>
      </c>
      <c r="F208" s="23" t="s">
        <v>93</v>
      </c>
      <c r="G208" s="61" cm="1">
        <f t="array" ref="G208">IFERROR(
(IFERROR(INDEX(Calc_CPI_1[[CPI uplift factor]:[CPI uplift factor]],MATCH($C208,Calc_CPI_1[[Cost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MATCH($D$5,Inputs!$H$8:$U$8,0)))/100,"-")</f>
        <v>0.182667</v>
      </c>
      <c r="H208" s="61" t="str" cm="1">
        <f t="array" ref="H208">IFERROR(
(IFERROR(INDEX(Calc_CPI_1[[CPI uplift factor]:[CPI uplift factor]],MATCH($C208,Calc_CPI_1[[Cost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MATCH($D$5,Inputs!$H$8:$U$8,0)))/100,"-")</f>
        <v>-</v>
      </c>
      <c r="I208" s="61" t="str" cm="1">
        <f t="array" ref="I208">IFERROR(
(IFERROR(INDEX(Calc_CPI_1[[CPI uplift factor]:[CPI uplift factor]],MATCH($C208,Calc_CPI_1[[Cost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MATCH($D$5,Inputs!$H$8:$U$8,0)))/100,"-")</f>
        <v>-</v>
      </c>
      <c r="J208" s="61" t="str" cm="1">
        <f t="array" ref="J208">IFERROR(
(IFERROR(INDEX(Calc_CPI_1[[CPI uplift factor]:[CPI uplift factor]],MATCH($C208,Calc_CPI_1[[Cost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MATCH($D$5,Inputs!$H$8:$U$8,0)))/100,"-")</f>
        <v>-</v>
      </c>
      <c r="K208" s="61" t="str" cm="1">
        <f t="array" ref="K208">IFERROR(
(IFERROR(INDEX(Calc_CPI_1[[CPI uplift factor]:[CPI uplift factor]],MATCH($C208,Calc_CPI_1[[Cost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MATCH($D$5,Inputs!$H$8:$U$8,0)))/100,"-")</f>
        <v>-</v>
      </c>
    </row>
    <row r="209" spans="1:11" ht="15.75" outlineLevel="1" collapsed="1" x14ac:dyDescent="0.25">
      <c r="A209" s="1" t="s">
        <v>23</v>
      </c>
      <c r="C209" s="23" t="s">
        <v>549</v>
      </c>
      <c r="D209" s="23" t="s">
        <v>130</v>
      </c>
      <c r="E209" s="23" t="s">
        <v>282</v>
      </c>
      <c r="F209" s="23" t="s">
        <v>93</v>
      </c>
      <c r="G209" s="61" t="str" cm="1">
        <f t="array" ref="G209">IFERROR(
(IFERROR(INDEX(Calc_CPI_1[[CPI uplift factor]:[CPI uplift factor]],MATCH($C209,Calc_CPI_1[[Cost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MATCH($D$5,Inputs!$H$8:$U$8,0)))/100,"-")</f>
        <v>-</v>
      </c>
      <c r="H209" s="61" cm="1">
        <f t="array" ref="H209">IFERROR(
(IFERROR(INDEX(Calc_CPI_1[[CPI uplift factor]:[CPI uplift factor]],MATCH($C209,Calc_CPI_1[[Cost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MATCH($D$5,Inputs!$H$8:$U$8,0)))/100,"-")</f>
        <v>8.2100000000000006E-2</v>
      </c>
      <c r="I209" s="61" cm="1">
        <f t="array" ref="I209">IFERROR(
(IFERROR(INDEX(Calc_CPI_1[[CPI uplift factor]:[CPI uplift factor]],MATCH($C209,Calc_CPI_1[[Cost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MATCH($D$5,Inputs!$H$8:$U$8,0)))/100,"-")</f>
        <v>0.10973000000000001</v>
      </c>
      <c r="J209" s="61" cm="1">
        <f t="array" ref="J209">IFERROR(
(IFERROR(INDEX(Calc_CPI_1[[CPI uplift factor]:[CPI uplift factor]],MATCH($C209,Calc_CPI_1[[Cost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MATCH($D$5,Inputs!$H$8:$U$8,0)))/100,"-")</f>
        <v>9.2899999999999996E-2</v>
      </c>
      <c r="K209" s="61" cm="1">
        <f t="array" ref="K209">IFERROR(
(IFERROR(INDEX(Calc_CPI_1[[CPI uplift factor]:[CPI uplift factor]],MATCH($C209,Calc_CPI_1[[Cost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MATCH($D$5,Inputs!$H$8:$U$8,0)))/100,"-")</f>
        <v>8.7899999999999992E-2</v>
      </c>
    </row>
    <row r="210" spans="1:11" outlineLevel="1" x14ac:dyDescent="0.25">
      <c r="C210" s="23" t="s">
        <v>230</v>
      </c>
      <c r="D210" s="23" t="s">
        <v>130</v>
      </c>
      <c r="E210" s="23" t="s">
        <v>282</v>
      </c>
      <c r="F210" s="23" t="s">
        <v>93</v>
      </c>
      <c r="G210" s="61" cm="1">
        <f t="array" ref="G210">IFERROR(
(IFERROR(INDEX(Calc_CPI_1[[CPI uplift factor]:[CPI uplift factor]],MATCH($C210,Calc_CPI_1[[Cost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MATCH($D$5,Inputs!$H$8:$U$8,0)))/100,"-")</f>
        <v>0.17508700000000002</v>
      </c>
      <c r="H210" s="61" cm="1">
        <f t="array" ref="H210">IFERROR(
(IFERROR(INDEX(Calc_CPI_1[[CPI uplift factor]:[CPI uplift factor]],MATCH($C210,Calc_CPI_1[[Cost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MATCH($D$5,Inputs!$H$8:$U$8,0)))/100,"-")</f>
        <v>0.13019999999999998</v>
      </c>
      <c r="I210" s="61" cm="1">
        <f t="array" ref="I210">IFERROR(
(IFERROR(INDEX(Calc_CPI_1[[CPI uplift factor]:[CPI uplift factor]],MATCH($C210,Calc_CPI_1[[Cost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MATCH($D$5,Inputs!$H$8:$U$8,0)))/100,"-")</f>
        <v>0.14330999999999999</v>
      </c>
      <c r="J210" s="61" cm="1">
        <f t="array" ref="J210">IFERROR(
(IFERROR(INDEX(Calc_CPI_1[[CPI uplift factor]:[CPI uplift factor]],MATCH($C210,Calc_CPI_1[[Cost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MATCH($D$5,Inputs!$H$8:$U$8,0)))/100,"-")</f>
        <v>0.14749999999999999</v>
      </c>
      <c r="K210" s="61" cm="1">
        <f t="array" ref="K210">IFERROR(
(IFERROR(INDEX(Calc_CPI_1[[CPI uplift factor]:[CPI uplift factor]],MATCH($C210,Calc_CPI_1[[Cost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MATCH($D$5,Inputs!$H$8:$U$8,0)))/100,"-")</f>
        <v>0.1399</v>
      </c>
    </row>
    <row r="211" spans="1:11" outlineLevel="1" x14ac:dyDescent="0.25">
      <c r="C211" s="23" t="s">
        <v>609</v>
      </c>
      <c r="D211" s="44" t="s">
        <v>130</v>
      </c>
      <c r="E211" s="23" t="s">
        <v>282</v>
      </c>
      <c r="F211" s="23" t="s">
        <v>93</v>
      </c>
      <c r="G211" s="61" cm="1">
        <f t="array" ref="G211">IFERROR(
(IFERROR(INDEX(Calc_CPI_1[[CPI uplift factor]:[CPI uplift factor]],MATCH($C211,Calc_CPI_1[[Cost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")&amp;Calc_NetworkV_1[[#Headers],[Ausnet]],Input_ForRateCalc[[Cost item]:[Cost item]],0),
MATCH($D$5,Inputs!$H$8:$U$8,0)))/100,"-")</f>
        <v>4.2655999999999999E-2</v>
      </c>
      <c r="H211" s="61" cm="1">
        <f t="array" ref="H211">IFERROR(
(IFERROR(INDEX(Calc_CPI_1[[CPI uplift factor]:[CPI uplift factor]],MATCH($C211,Calc_CPI_1[[Cost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")&amp;Calc_NetworkV_1[[#Headers],[Citipower]],Input_ForRateCalc[[Cost item]:[Cost item]],0),
MATCH($D$5,Inputs!$H$8:$U$8,0)))/100,"-")</f>
        <v>2.8900000000000002E-2</v>
      </c>
      <c r="I211" s="61" cm="1">
        <f t="array" ref="I211">IFERROR(
(IFERROR(INDEX(Calc_CPI_1[[CPI uplift factor]:[CPI uplift factor]],MATCH($C211,Calc_CPI_1[[Cost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")&amp;Calc_NetworkV_1[[#Headers],[Jemena]],Input_ForRateCalc[[Cost item]:[Cost item]],0),
MATCH($D$5,Inputs!$H$8:$U$8,0)))/100,"-")</f>
        <v>3.0520000000000002E-2</v>
      </c>
      <c r="J211" s="61" cm="1">
        <f t="array" ref="J211">IFERROR(
(IFERROR(INDEX(Calc_CPI_1[[CPI uplift factor]:[CPI uplift factor]],MATCH($C211,Calc_CPI_1[[Cost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")&amp;Calc_NetworkV_1[[#Headers],[Powercor]],Input_ForRateCalc[[Cost item]:[Cost item]],0),
MATCH($D$5,Inputs!$H$8:$U$8,0)))/100,"-")</f>
        <v>3.2799999999999996E-2</v>
      </c>
      <c r="K211" s="61" cm="1">
        <f t="array" ref="K211">IFERROR(
(IFERROR(INDEX(Calc_CPI_1[[CPI uplift factor]:[CPI uplift factor]],MATCH($C211,Calc_CPI_1[[Cost item]:[Cost item]],0),1),0)+
INDEX(Input_ForRateCalc[[F-PreviousVDO_InputDate]:[F-NextVDO_Input]],
MATCH(IF(OR(Calc_NetworkV_1[[#This Row],[Cost item]:[Cost item]]="Single rate",Calc_NetworkV_1[[#This Row],[Cost item]:[Cost item]]="Block 1",Calc_NetworkV_1[[#This Row],[Cost item]:[Cost item]]="Balance"),"Anytime - ",IF(Calc_NetworkV_1[[#This Row],[Cost item]:[Cost item]]&lt;&gt;"Controlled load","TOU - ",""))&amp;Calc_NetworkV_1[[#This Row],[Cost item]:[Cost item]]&amp;" - "&amp;IF(Calc_NetworkV_1[[#This Row],[Customer type]:[Customer type]]="Residential","RES - ","SME - ")&amp;Calc_NetworkV_1[[#Headers],[United Energy]],Input_ForRateCalc[[Cost item]:[Cost item]],0),
MATCH($D$5,Inputs!$H$8:$U$8,0)))/100,"-")</f>
        <v>3.1099999999999999E-2</v>
      </c>
    </row>
    <row r="213" spans="1:11" ht="16.5" thickBot="1" x14ac:dyDescent="0.3">
      <c r="B213" s="9">
        <f ca="1">MAX(B$3:B212)+0.1</f>
        <v>12.599999999999998</v>
      </c>
      <c r="C213" s="28" t="s">
        <v>128</v>
      </c>
      <c r="D213" s="28"/>
      <c r="E213" s="28"/>
      <c r="F213" s="28"/>
      <c r="G213" s="28"/>
      <c r="H213" s="28"/>
      <c r="I213" s="28"/>
      <c r="J213" s="28"/>
      <c r="K213" s="28"/>
    </row>
    <row r="214" spans="1:11" outlineLevel="1" x14ac:dyDescent="0.25"/>
    <row r="215" spans="1:11" ht="15.75" outlineLevel="1" x14ac:dyDescent="0.25">
      <c r="C215" s="29" t="s">
        <v>299</v>
      </c>
    </row>
    <row r="216" spans="1:11" ht="15.75" outlineLevel="1" x14ac:dyDescent="0.25">
      <c r="C216" s="43" t="s">
        <v>46</v>
      </c>
      <c r="D216" s="43" t="s">
        <v>102</v>
      </c>
      <c r="E216" s="43" t="s">
        <v>103</v>
      </c>
      <c r="F216" s="43" t="s">
        <v>91</v>
      </c>
      <c r="G216" s="60" t="s">
        <v>268</v>
      </c>
      <c r="H216" s="60" t="s">
        <v>269</v>
      </c>
      <c r="I216" s="60" t="s">
        <v>270</v>
      </c>
      <c r="J216" s="60" t="s">
        <v>271</v>
      </c>
      <c r="K216" s="60" t="s">
        <v>272</v>
      </c>
    </row>
    <row r="217" spans="1:11" outlineLevel="1" x14ac:dyDescent="0.25">
      <c r="C217" s="23" t="s">
        <v>300</v>
      </c>
      <c r="D217" s="23" t="s">
        <v>130</v>
      </c>
      <c r="E217" s="23" t="s">
        <v>282</v>
      </c>
      <c r="F217" s="23" t="s">
        <v>92</v>
      </c>
      <c r="G217" s="61" cm="1">
        <f t="array" ref="G217">IFERROR(
(IFERROR(INDEX(Calc_CPI_1[[CPI uplift factor]:[CPI uplift factor]],MATCH($C217,Calc_CPI_1[[Cost item]:[Cost item]],0),1),0)+
INDEX(Input_ForRateCalc[[F-PreviousVDO_InputDate]:[F-NextVDO_Input]],MATCH(Calc_WholesaleRES_1[[#This Row],[Cost item]:[Cost item]]&amp;" - "&amp;Calc_WholesaleRES_1[[#Headers],[Ausnet]],Input_ForRateCalc[[Cost item]:[Cost item]],0),MATCH($D$5,Inputs!$H$8:$U$8,0)))/1000,"-")</f>
        <v>7.6810000000000003E-2</v>
      </c>
      <c r="H217" s="61" cm="1">
        <f t="array" ref="H217">IFERROR(
(IFERROR(INDEX(Calc_CPI_1[[CPI uplift factor]:[CPI uplift factor]],MATCH($C217,Calc_CPI_1[[Cost item]:[Cost item]],0),1),0)+
INDEX(Input_ForRateCalc[[F-PreviousVDO_InputDate]:[F-NextVDO_Input]],MATCH(Calc_WholesaleRES_1[[#This Row],[Cost item]:[Cost item]]&amp;" - "&amp;Calc_WholesaleRES_1[[#Headers],[Citipower]],Input_ForRateCalc[[Cost item]:[Cost item]],0),MATCH($D$5,Inputs!$H$8:$U$8,0)))/1000,"-")</f>
        <v>7.0639999999999994E-2</v>
      </c>
      <c r="I217" s="61" cm="1">
        <f t="array" ref="I217">IFERROR(
(IFERROR(INDEX(Calc_CPI_1[[CPI uplift factor]:[CPI uplift factor]],MATCH($C217,Calc_CPI_1[[Cost item]:[Cost item]],0),1),0)+
INDEX(Input_ForRateCalc[[F-PreviousVDO_InputDate]:[F-NextVDO_Input]],MATCH(Calc_WholesaleRES_1[[#This Row],[Cost item]:[Cost item]]&amp;" - "&amp;Calc_WholesaleRES_1[[#Headers],[Jemena]],Input_ForRateCalc[[Cost item]:[Cost item]],0),MATCH($D$5,Inputs!$H$8:$U$8,0)))/1000,"-")</f>
        <v>7.7590000000000006E-2</v>
      </c>
      <c r="J217" s="61" cm="1">
        <f t="array" ref="J217">IFERROR(
(IFERROR(INDEX(Calc_CPI_1[[CPI uplift factor]:[CPI uplift factor]],MATCH($C217,Calc_CPI_1[[Cost item]:[Cost item]],0),1),0)+
INDEX(Input_ForRateCalc[[F-PreviousVDO_InputDate]:[F-NextVDO_Input]],MATCH(Calc_WholesaleRES_1[[#This Row],[Cost item]:[Cost item]]&amp;" - "&amp;Calc_WholesaleRES_1[[#Headers],[Powercor]],Input_ForRateCalc[[Cost item]:[Cost item]],0),MATCH($D$5,Inputs!$H$8:$U$8,0)))/1000,"-")</f>
        <v>7.5069999999999998E-2</v>
      </c>
      <c r="K217" s="61" cm="1">
        <f t="array" ref="K217">IFERROR(
(IFERROR(INDEX(Calc_CPI_1[[CPI uplift factor]:[CPI uplift factor]],MATCH($C217,Calc_CPI_1[[Cost item]:[Cost item]],0),1),0)+
INDEX(Input_ForRateCalc[[F-PreviousVDO_InputDate]:[F-NextVDO_Input]],MATCH(Calc_WholesaleRES_1[[#This Row],[Cost item]:[Cost item]]&amp;" - "&amp;Calc_WholesaleRES_1[[#Headers],[United Energy]],Input_ForRateCalc[[Cost item]:[Cost item]],0),MATCH($D$5,Inputs!$H$8:$U$8,0)))/1000,"-")</f>
        <v>7.690000000000001E-2</v>
      </c>
    </row>
    <row r="218" spans="1:11" outlineLevel="1" x14ac:dyDescent="0.25">
      <c r="C218" s="23" t="s">
        <v>301</v>
      </c>
      <c r="D218" s="23" t="s">
        <v>130</v>
      </c>
      <c r="E218" s="23" t="s">
        <v>282</v>
      </c>
      <c r="F218" s="23" t="s">
        <v>92</v>
      </c>
      <c r="G218" s="61" cm="1">
        <f t="array" ref="G218">IFERROR(
(IFERROR(INDEX(Calc_CPI_1[[CPI uplift factor]:[CPI uplift factor]],MATCH($C218,Calc_CPI_1[[Cost item]:[Cost item]],0),1),0)+
INDEX(Input_ForRateCalc[[F-PreviousVDO_InputDate]:[F-NextVDO_Input]],MATCH(Calc_WholesaleRES_1[[#This Row],[Cost item]:[Cost item]]&amp;" - "&amp;Calc_WholesaleRES_1[[#Headers],[Ausnet]],Input_ForRateCalc[[Cost item]:[Cost item]],0),MATCH($D$5,Inputs!$H$8:$U$8,0)))/1000,"-")</f>
        <v>2.7E-4</v>
      </c>
      <c r="H218" s="61" cm="1">
        <f t="array" ref="H218">IFERROR(
(IFERROR(INDEX(Calc_CPI_1[[CPI uplift factor]:[CPI uplift factor]],MATCH($C218,Calc_CPI_1[[Cost item]:[Cost item]],0),1),0)+
INDEX(Input_ForRateCalc[[F-PreviousVDO_InputDate]:[F-NextVDO_Input]],MATCH(Calc_WholesaleRES_1[[#This Row],[Cost item]:[Cost item]]&amp;" - "&amp;Calc_WholesaleRES_1[[#Headers],[Citipower]],Input_ForRateCalc[[Cost item]:[Cost item]],0),MATCH($D$5,Inputs!$H$8:$U$8,0)))/1000,"-")</f>
        <v>3.1E-4</v>
      </c>
      <c r="I218" s="61" cm="1">
        <f t="array" ref="I218">IFERROR(
(IFERROR(INDEX(Calc_CPI_1[[CPI uplift factor]:[CPI uplift factor]],MATCH($C218,Calc_CPI_1[[Cost item]:[Cost item]],0),1),0)+
INDEX(Input_ForRateCalc[[F-PreviousVDO_InputDate]:[F-NextVDO_Input]],MATCH(Calc_WholesaleRES_1[[#This Row],[Cost item]:[Cost item]]&amp;" - "&amp;Calc_WholesaleRES_1[[#Headers],[Jemena]],Input_ForRateCalc[[Cost item]:[Cost item]],0),MATCH($D$5,Inputs!$H$8:$U$8,0)))/1000,"-")</f>
        <v>2.5000000000000001E-4</v>
      </c>
      <c r="J218" s="61" cm="1">
        <f t="array" ref="J218">IFERROR(
(IFERROR(INDEX(Calc_CPI_1[[CPI uplift factor]:[CPI uplift factor]],MATCH($C218,Calc_CPI_1[[Cost item]:[Cost item]],0),1),0)+
INDEX(Input_ForRateCalc[[F-PreviousVDO_InputDate]:[F-NextVDO_Input]],MATCH(Calc_WholesaleRES_1[[#This Row],[Cost item]:[Cost item]]&amp;" - "&amp;Calc_WholesaleRES_1[[#Headers],[Powercor]],Input_ForRateCalc[[Cost item]:[Cost item]],0),MATCH($D$5,Inputs!$H$8:$U$8,0)))/1000,"-")</f>
        <v>3.2000000000000003E-4</v>
      </c>
      <c r="K218" s="61" cm="1">
        <f t="array" ref="K218">IFERROR(
(IFERROR(INDEX(Calc_CPI_1[[CPI uplift factor]:[CPI uplift factor]],MATCH($C218,Calc_CPI_1[[Cost item]:[Cost item]],0),1),0)+
INDEX(Input_ForRateCalc[[F-PreviousVDO_InputDate]:[F-NextVDO_Input]],MATCH(Calc_WholesaleRES_1[[#This Row],[Cost item]:[Cost item]]&amp;" - "&amp;Calc_WholesaleRES_1[[#Headers],[United Energy]],Input_ForRateCalc[[Cost item]:[Cost item]],0),MATCH($D$5,Inputs!$H$8:$U$8,0)))/1000,"-")</f>
        <v>3.1E-4</v>
      </c>
    </row>
    <row r="219" spans="1:11" outlineLevel="1" x14ac:dyDescent="0.25">
      <c r="C219" s="44" t="s">
        <v>283</v>
      </c>
      <c r="D219" s="44" t="s">
        <v>130</v>
      </c>
      <c r="E219" s="44" t="s">
        <v>282</v>
      </c>
      <c r="F219" s="23" t="s">
        <v>92</v>
      </c>
      <c r="G219" s="72">
        <f>IFERROR(G217+G218,"-")</f>
        <v>7.708000000000001E-2</v>
      </c>
      <c r="H219" s="72">
        <f t="shared" ref="H219:K219" si="44">IFERROR(H217+H218,"-")</f>
        <v>7.0949999999999999E-2</v>
      </c>
      <c r="I219" s="72">
        <f t="shared" si="44"/>
        <v>7.7840000000000006E-2</v>
      </c>
      <c r="J219" s="72">
        <f t="shared" si="44"/>
        <v>7.5389999999999999E-2</v>
      </c>
      <c r="K219" s="72">
        <f t="shared" si="44"/>
        <v>7.7210000000000015E-2</v>
      </c>
    </row>
    <row r="220" spans="1:11" outlineLevel="1" x14ac:dyDescent="0.25"/>
    <row r="221" spans="1:11" ht="15.75" outlineLevel="1" x14ac:dyDescent="0.25">
      <c r="C221" s="29" t="s">
        <v>302</v>
      </c>
    </row>
    <row r="222" spans="1:11" ht="15.75" outlineLevel="1" x14ac:dyDescent="0.25">
      <c r="C222" s="43" t="s">
        <v>46</v>
      </c>
      <c r="D222" s="43" t="s">
        <v>102</v>
      </c>
      <c r="E222" s="43" t="s">
        <v>103</v>
      </c>
      <c r="F222" s="43" t="s">
        <v>91</v>
      </c>
      <c r="G222" s="60" t="s">
        <v>268</v>
      </c>
      <c r="H222" s="60" t="s">
        <v>269</v>
      </c>
      <c r="I222" s="60" t="s">
        <v>270</v>
      </c>
      <c r="J222" s="60" t="s">
        <v>271</v>
      </c>
      <c r="K222" s="60" t="s">
        <v>272</v>
      </c>
    </row>
    <row r="223" spans="1:11" ht="15.75" outlineLevel="1" collapsed="1" x14ac:dyDescent="0.25">
      <c r="A223" s="1" t="s">
        <v>23</v>
      </c>
      <c r="C223" s="23" t="s">
        <v>303</v>
      </c>
      <c r="D223" s="23" t="s">
        <v>130</v>
      </c>
      <c r="E223" s="23" t="s">
        <v>282</v>
      </c>
      <c r="F223" s="23" t="s">
        <v>93</v>
      </c>
      <c r="G223" s="61" cm="1">
        <f t="array" ref="G223">IFERROR(
(IFERROR(INDEX(Calc_CPI_1[[CPI uplift factor]:[CPI uplift factor]],MATCH($C223,Calc_CPI_1[[Cost item]:[Cost item]],0),1),0)+
INDEX(Input_ForRateCalc[[F-PreviousVDO_InputDate]:[F-NextVDO_Input]],MATCH(Calc_WholesaleSME_1[[#This Row],[Cost item]:[Cost item]]&amp;" - "&amp;Calc_WholesaleSME_1[[#Headers],[Ausnet]],Input_ForRateCalc[[Cost item]:[Cost item]],0),MATCH($D$5,Inputs!$H$8:$U$8,0)))/1000,"-")</f>
        <v>6.4870000000000011E-2</v>
      </c>
      <c r="H223" s="61" cm="1">
        <f t="array" ref="H223">IFERROR(
(IFERROR(INDEX(Calc_CPI_1[[CPI uplift factor]:[CPI uplift factor]],MATCH($C223,Calc_CPI_1[[Cost item]:[Cost item]],0),1),0)+
INDEX(Input_ForRateCalc[[F-PreviousVDO_InputDate]:[F-NextVDO_Input]],MATCH(Calc_WholesaleSME_1[[#This Row],[Cost item]:[Cost item]]&amp;" - "&amp;Calc_WholesaleSME_1[[#Headers],[Citipower]],Input_ForRateCalc[[Cost item]:[Cost item]],0),MATCH($D$5,Inputs!$H$8:$U$8,0)))/1000,"-")</f>
        <v>6.6540000000000002E-2</v>
      </c>
      <c r="I223" s="61" cm="1">
        <f t="array" ref="I223">IFERROR(
(IFERROR(INDEX(Calc_CPI_1[[CPI uplift factor]:[CPI uplift factor]],MATCH($C223,Calc_CPI_1[[Cost item]:[Cost item]],0),1),0)+
INDEX(Input_ForRateCalc[[F-PreviousVDO_InputDate]:[F-NextVDO_Input]],MATCH(Calc_WholesaleSME_1[[#This Row],[Cost item]:[Cost item]]&amp;" - "&amp;Calc_WholesaleSME_1[[#Headers],[Jemena]],Input_ForRateCalc[[Cost item]:[Cost item]],0),MATCH($D$5,Inputs!$H$8:$U$8,0)))/1000,"-")</f>
        <v>6.5700000000000008E-2</v>
      </c>
      <c r="J223" s="61" cm="1">
        <f t="array" ref="J223">IFERROR(
(IFERROR(INDEX(Calc_CPI_1[[CPI uplift factor]:[CPI uplift factor]],MATCH($C223,Calc_CPI_1[[Cost item]:[Cost item]],0),1),0)+
INDEX(Input_ForRateCalc[[F-PreviousVDO_InputDate]:[F-NextVDO_Input]],MATCH(Calc_WholesaleSME_1[[#This Row],[Cost item]:[Cost item]]&amp;" - "&amp;Calc_WholesaleSME_1[[#Headers],[Powercor]],Input_ForRateCalc[[Cost item]:[Cost item]],0),MATCH($D$5,Inputs!$H$8:$U$8,0)))/1000,"-")</f>
        <v>6.368E-2</v>
      </c>
      <c r="K223" s="61" cm="1">
        <f t="array" ref="K223">IFERROR(
(IFERROR(INDEX(Calc_CPI_1[[CPI uplift factor]:[CPI uplift factor]],MATCH($C223,Calc_CPI_1[[Cost item]:[Cost item]],0),1),0)+
INDEX(Input_ForRateCalc[[F-PreviousVDO_InputDate]:[F-NextVDO_Input]],MATCH(Calc_WholesaleSME_1[[#This Row],[Cost item]:[Cost item]]&amp;" - "&amp;Calc_WholesaleSME_1[[#Headers],[United Energy]],Input_ForRateCalc[[Cost item]:[Cost item]],0),MATCH($D$5,Inputs!$H$8:$U$8,0)))/1000,"-")</f>
        <v>6.6549999999999998E-2</v>
      </c>
    </row>
    <row r="224" spans="1:11" outlineLevel="1" x14ac:dyDescent="0.25">
      <c r="C224" s="23" t="s">
        <v>304</v>
      </c>
      <c r="D224" s="23" t="s">
        <v>130</v>
      </c>
      <c r="E224" s="23" t="s">
        <v>282</v>
      </c>
      <c r="F224" s="23" t="s">
        <v>93</v>
      </c>
      <c r="G224" s="61" cm="1">
        <f t="array" ref="G224">IFERROR(
(IFERROR(INDEX(Calc_CPI_1[[CPI uplift factor]:[CPI uplift factor]],MATCH($C224,Calc_CPI_1[[Cost item]:[Cost item]],0),1),0)+
INDEX(Input_ForRateCalc[[F-PreviousVDO_InputDate]:[F-NextVDO_Input]],MATCH(Calc_WholesaleSME_1[[#This Row],[Cost item]:[Cost item]]&amp;" - "&amp;Calc_WholesaleSME_1[[#Headers],[Ausnet]],Input_ForRateCalc[[Cost item]:[Cost item]],0),MATCH($D$5,Inputs!$H$8:$U$8,0)))/1000,"-")</f>
        <v>3.2000000000000003E-4</v>
      </c>
      <c r="H224" s="61" cm="1">
        <f t="array" ref="H224">IFERROR(
(IFERROR(INDEX(Calc_CPI_1[[CPI uplift factor]:[CPI uplift factor]],MATCH($C224,Calc_CPI_1[[Cost item]:[Cost item]],0),1),0)+
INDEX(Input_ForRateCalc[[F-PreviousVDO_InputDate]:[F-NextVDO_Input]],MATCH(Calc_WholesaleSME_1[[#This Row],[Cost item]:[Cost item]]&amp;" - "&amp;Calc_WholesaleSME_1[[#Headers],[Citipower]],Input_ForRateCalc[[Cost item]:[Cost item]],0),MATCH($D$5,Inputs!$H$8:$U$8,0)))/1000,"-")</f>
        <v>4.4000000000000002E-4</v>
      </c>
      <c r="I224" s="61" cm="1">
        <f t="array" ref="I224">IFERROR(
(IFERROR(INDEX(Calc_CPI_1[[CPI uplift factor]:[CPI uplift factor]],MATCH($C224,Calc_CPI_1[[Cost item]:[Cost item]],0),1),0)+
INDEX(Input_ForRateCalc[[F-PreviousVDO_InputDate]:[F-NextVDO_Input]],MATCH(Calc_WholesaleSME_1[[#This Row],[Cost item]:[Cost item]]&amp;" - "&amp;Calc_WholesaleSME_1[[#Headers],[Jemena]],Input_ForRateCalc[[Cost item]:[Cost item]],0),MATCH($D$5,Inputs!$H$8:$U$8,0)))/1000,"-")</f>
        <v>4.0999999999999999E-4</v>
      </c>
      <c r="J224" s="61" cm="1">
        <f t="array" ref="J224">IFERROR(
(IFERROR(INDEX(Calc_CPI_1[[CPI uplift factor]:[CPI uplift factor]],MATCH($C224,Calc_CPI_1[[Cost item]:[Cost item]],0),1),0)+
INDEX(Input_ForRateCalc[[F-PreviousVDO_InputDate]:[F-NextVDO_Input]],MATCH(Calc_WholesaleSME_1[[#This Row],[Cost item]:[Cost item]]&amp;" - "&amp;Calc_WholesaleSME_1[[#Headers],[Powercor]],Input_ForRateCalc[[Cost item]:[Cost item]],0),MATCH($D$5,Inputs!$H$8:$U$8,0)))/1000,"-")</f>
        <v>3.1E-4</v>
      </c>
      <c r="K224" s="61" cm="1">
        <f t="array" ref="K224">IFERROR(
(IFERROR(INDEX(Calc_CPI_1[[CPI uplift factor]:[CPI uplift factor]],MATCH($C224,Calc_CPI_1[[Cost item]:[Cost item]],0),1),0)+
INDEX(Input_ForRateCalc[[F-PreviousVDO_InputDate]:[F-NextVDO_Input]],MATCH(Calc_WholesaleSME_1[[#This Row],[Cost item]:[Cost item]]&amp;" - "&amp;Calc_WholesaleSME_1[[#Headers],[United Energy]],Input_ForRateCalc[[Cost item]:[Cost item]],0),MATCH($D$5,Inputs!$H$8:$U$8,0)))/1000,"-")</f>
        <v>4.4999999999999999E-4</v>
      </c>
    </row>
    <row r="225" spans="2:14" outlineLevel="1" x14ac:dyDescent="0.25">
      <c r="C225" s="44" t="s">
        <v>283</v>
      </c>
      <c r="D225" s="44" t="s">
        <v>130</v>
      </c>
      <c r="E225" s="44" t="s">
        <v>282</v>
      </c>
      <c r="F225" s="23" t="s">
        <v>93</v>
      </c>
      <c r="G225" s="72">
        <f>IFERROR(G223+G224,"-")</f>
        <v>6.5190000000000012E-2</v>
      </c>
      <c r="H225" s="72">
        <f t="shared" ref="H225:K225" si="45">IFERROR(H223+H224,"-")</f>
        <v>6.6979999999999998E-2</v>
      </c>
      <c r="I225" s="72">
        <f t="shared" si="45"/>
        <v>6.6110000000000002E-2</v>
      </c>
      <c r="J225" s="72">
        <f t="shared" si="45"/>
        <v>6.3990000000000005E-2</v>
      </c>
      <c r="K225" s="72">
        <f t="shared" si="45"/>
        <v>6.7000000000000004E-2</v>
      </c>
    </row>
    <row r="227" spans="2:14" ht="16.5" thickBot="1" x14ac:dyDescent="0.3">
      <c r="B227" s="9">
        <f ca="1">MAX(B$3:B226)+0.1</f>
        <v>12.699999999999998</v>
      </c>
      <c r="C227" s="28" t="s">
        <v>305</v>
      </c>
      <c r="D227" s="28"/>
      <c r="E227" s="28"/>
      <c r="F227" s="28"/>
      <c r="G227" s="28"/>
      <c r="H227" s="28"/>
      <c r="I227" s="28"/>
      <c r="J227" s="28"/>
      <c r="K227" s="28"/>
    </row>
    <row r="228" spans="2:14" outlineLevel="1" x14ac:dyDescent="0.25"/>
    <row r="229" spans="2:14" ht="15.75" outlineLevel="1" x14ac:dyDescent="0.25">
      <c r="C229" s="29" t="s">
        <v>306</v>
      </c>
    </row>
    <row r="230" spans="2:14" ht="15.75" outlineLevel="1" x14ac:dyDescent="0.25">
      <c r="C230" s="43" t="s">
        <v>46</v>
      </c>
      <c r="D230" s="43" t="s">
        <v>102</v>
      </c>
      <c r="E230" s="43" t="s">
        <v>103</v>
      </c>
      <c r="F230" s="43" t="s">
        <v>91</v>
      </c>
      <c r="G230" s="60" t="s">
        <v>268</v>
      </c>
      <c r="H230" s="60" t="s">
        <v>269</v>
      </c>
      <c r="I230" s="60" t="s">
        <v>270</v>
      </c>
      <c r="J230" s="60" t="s">
        <v>271</v>
      </c>
      <c r="K230" s="60" t="s">
        <v>272</v>
      </c>
    </row>
    <row r="231" spans="2:14" outlineLevel="1" x14ac:dyDescent="0.25">
      <c r="C231" s="23" t="s">
        <v>152</v>
      </c>
      <c r="D231" s="23" t="s">
        <v>130</v>
      </c>
      <c r="E231" s="23" t="s">
        <v>153</v>
      </c>
      <c r="F231" s="23" t="s">
        <v>110</v>
      </c>
      <c r="G231" s="61" cm="1">
        <f t="array" ref="G231">IFERROR(
(IFERROR(INDEX(Calc_CPI_1[[CPI uplift factor]:[CPI uplift factor]],MATCH($C231,Calc_CPI_1[[Cost item]:[Cost item]],0),1),0)+
INDEX(Input_ForRateCalc[[F-PreviousVDO_InputDate]:[F-NextVDO_Input]],MATCH(Calc_EnviroVEU_1[[#This Row],[Cost item]:[Cost item]],Input_ForRateCalc[[Cost item]:[Cost item]],0),MATCH($D$5,Inputs!$H$8:$U$8,0))),"-")</f>
        <v>74.135088797592729</v>
      </c>
      <c r="H231" s="61" cm="1">
        <f t="array" ref="H231">IFERROR(
(IFERROR(INDEX(Calc_CPI_1[[CPI uplift factor]:[CPI uplift factor]],MATCH($C231,Calc_CPI_1[[Cost item]:[Cost item]],0),1),0)+
INDEX(Input_ForRateCalc[[F-PreviousVDO_InputDate]:[F-NextVDO_Input]],MATCH(Calc_EnviroVEU_1[[#This Row],[Cost item]:[Cost item]],Input_ForRateCalc[[Cost item]:[Cost item]],0),MATCH($D$5,Inputs!$H$8:$U$8,0))),"-")</f>
        <v>74.135088797592729</v>
      </c>
      <c r="I231" s="61" cm="1">
        <f t="array" ref="I231">IFERROR(
(IFERROR(INDEX(Calc_CPI_1[[CPI uplift factor]:[CPI uplift factor]],MATCH($C231,Calc_CPI_1[[Cost item]:[Cost item]],0),1),0)+
INDEX(Input_ForRateCalc[[F-PreviousVDO_InputDate]:[F-NextVDO_Input]],MATCH(Calc_EnviroVEU_1[[#This Row],[Cost item]:[Cost item]],Input_ForRateCalc[[Cost item]:[Cost item]],0),MATCH($D$5,Inputs!$H$8:$U$8,0))),"-")</f>
        <v>74.135088797592729</v>
      </c>
      <c r="J231" s="61" cm="1">
        <f t="array" ref="J231">IFERROR(
(IFERROR(INDEX(Calc_CPI_1[[CPI uplift factor]:[CPI uplift factor]],MATCH($C231,Calc_CPI_1[[Cost item]:[Cost item]],0),1),0)+
INDEX(Input_ForRateCalc[[F-PreviousVDO_InputDate]:[F-NextVDO_Input]],MATCH(Calc_EnviroVEU_1[[#This Row],[Cost item]:[Cost item]],Input_ForRateCalc[[Cost item]:[Cost item]],0),MATCH($D$5,Inputs!$H$8:$U$8,0))),"-")</f>
        <v>74.135088797592729</v>
      </c>
      <c r="K231" s="61" cm="1">
        <f t="array" ref="K231">IFERROR(
(IFERROR(INDEX(Calc_CPI_1[[CPI uplift factor]:[CPI uplift factor]],MATCH($C231,Calc_CPI_1[[Cost item]:[Cost item]],0),1),0)+
INDEX(Input_ForRateCalc[[F-PreviousVDO_InputDate]:[F-NextVDO_Input]],MATCH(Calc_EnviroVEU_1[[#This Row],[Cost item]:[Cost item]],Input_ForRateCalc[[Cost item]:[Cost item]],0),MATCH($D$5,Inputs!$H$8:$U$8,0))),"-")</f>
        <v>74.135088797592729</v>
      </c>
    </row>
    <row r="232" spans="2:14" outlineLevel="1" x14ac:dyDescent="0.25">
      <c r="C232" s="23" t="s">
        <v>156</v>
      </c>
      <c r="D232" s="23" t="s">
        <v>130</v>
      </c>
      <c r="E232" s="23" t="s">
        <v>157</v>
      </c>
      <c r="F232" s="23" t="s">
        <v>110</v>
      </c>
      <c r="G232" s="56" cm="1">
        <f t="array" ref="G232">IFERROR(
(IFERROR(INDEX(Calc_CPI_1[[CPI uplift factor]:[CPI uplift factor]],MATCH($C232,Calc_CPI_1[[Cost item]:[Cost item]],0),1),0)+
INDEX(Input_ForRateCalc[[F-PreviousVDO_InputDate]:[F-NextVDO_Input]],MATCH(Calc_EnviroVEU_1[[#This Row],[Cost item]:[Cost item]],Input_ForRateCalc[[Cost item]:[Cost item]],0),MATCH($D$5,Inputs!$H$8:$U$8,0))),"-")</f>
        <v>0.16113</v>
      </c>
      <c r="H232" s="56" cm="1">
        <f t="array" ref="H232">IFERROR(
(IFERROR(INDEX(Calc_CPI_1[[CPI uplift factor]:[CPI uplift factor]],MATCH($C232,Calc_CPI_1[[Cost item]:[Cost item]],0),1),0)+
INDEX(Input_ForRateCalc[[F-PreviousVDO_InputDate]:[F-NextVDO_Input]],MATCH(Calc_EnviroVEU_1[[#This Row],[Cost item]:[Cost item]],Input_ForRateCalc[[Cost item]:[Cost item]],0),MATCH($D$5,Inputs!$H$8:$U$8,0))),"-")</f>
        <v>0.16113</v>
      </c>
      <c r="I232" s="56" cm="1">
        <f t="array" ref="I232">IFERROR(
(IFERROR(INDEX(Calc_CPI_1[[CPI uplift factor]:[CPI uplift factor]],MATCH($C232,Calc_CPI_1[[Cost item]:[Cost item]],0),1),0)+
INDEX(Input_ForRateCalc[[F-PreviousVDO_InputDate]:[F-NextVDO_Input]],MATCH(Calc_EnviroVEU_1[[#This Row],[Cost item]:[Cost item]],Input_ForRateCalc[[Cost item]:[Cost item]],0),MATCH($D$5,Inputs!$H$8:$U$8,0))),"-")</f>
        <v>0.16113</v>
      </c>
      <c r="J232" s="56" cm="1">
        <f t="array" ref="J232">IFERROR(
(IFERROR(INDEX(Calc_CPI_1[[CPI uplift factor]:[CPI uplift factor]],MATCH($C232,Calc_CPI_1[[Cost item]:[Cost item]],0),1),0)+
INDEX(Input_ForRateCalc[[F-PreviousVDO_InputDate]:[F-NextVDO_Input]],MATCH(Calc_EnviroVEU_1[[#This Row],[Cost item]:[Cost item]],Input_ForRateCalc[[Cost item]:[Cost item]],0),MATCH($D$5,Inputs!$H$8:$U$8,0))),"-")</f>
        <v>0.16113</v>
      </c>
      <c r="K232" s="56" cm="1">
        <f t="array" ref="K232">IFERROR(
(IFERROR(INDEX(Calc_CPI_1[[CPI uplift factor]:[CPI uplift factor]],MATCH($C232,Calc_CPI_1[[Cost item]:[Cost item]],0),1),0)+
INDEX(Input_ForRateCalc[[F-PreviousVDO_InputDate]:[F-NextVDO_Input]],MATCH(Calc_EnviroVEU_1[[#This Row],[Cost item]:[Cost item]],Input_ForRateCalc[[Cost item]:[Cost item]],0),MATCH($D$5,Inputs!$H$8:$U$8,0))),"-")</f>
        <v>0.16113</v>
      </c>
    </row>
    <row r="233" spans="2:14" outlineLevel="1" x14ac:dyDescent="0.25">
      <c r="C233" s="44" t="s">
        <v>307</v>
      </c>
      <c r="D233" s="44" t="s">
        <v>130</v>
      </c>
      <c r="E233" s="44" t="s">
        <v>282</v>
      </c>
      <c r="F233" s="23" t="s">
        <v>110</v>
      </c>
      <c r="G233" s="72">
        <f>IFERROR(
IFERROR(INDEX(Calc_CPI_1[[CPI uplift factor]:[CPI uplift factor]],MATCH($C233,Calc_CPI_1[[Cost item]:[Cost item]],0),1),0)+(G231*G232)/1000,"-")</f>
        <v>1.1945386857956116E-2</v>
      </c>
      <c r="H233" s="72">
        <f>IFERROR(
IFERROR(INDEX(Calc_CPI_1[[CPI uplift factor]:[CPI uplift factor]],MATCH($C233,Calc_CPI_1[[Cost item]:[Cost item]],0),1),0)+(H231*H232)/1000,"-")</f>
        <v>1.1945386857956116E-2</v>
      </c>
      <c r="I233" s="72">
        <f>IFERROR(
IFERROR(INDEX(Calc_CPI_1[[CPI uplift factor]:[CPI uplift factor]],MATCH($C233,Calc_CPI_1[[Cost item]:[Cost item]],0),1),0)+(I231*I232)/1000,"-")</f>
        <v>1.1945386857956116E-2</v>
      </c>
      <c r="J233" s="72">
        <f>IFERROR(
IFERROR(INDEX(Calc_CPI_1[[CPI uplift factor]:[CPI uplift factor]],MATCH($C233,Calc_CPI_1[[Cost item]:[Cost item]],0),1),0)+(J231*J232)/1000,"-")</f>
        <v>1.1945386857956116E-2</v>
      </c>
      <c r="K233" s="72">
        <f>IFERROR(
IFERROR(INDEX(Calc_CPI_1[[CPI uplift factor]:[CPI uplift factor]],MATCH($C233,Calc_CPI_1[[Cost item]:[Cost item]],0),1),0)+(K231*K232)/1000,"-")</f>
        <v>1.1945386857956116E-2</v>
      </c>
      <c r="M233" s="78"/>
      <c r="N233" s="78"/>
    </row>
    <row r="234" spans="2:14" outlineLevel="1" x14ac:dyDescent="0.25">
      <c r="G234" s="78"/>
    </row>
    <row r="235" spans="2:14" ht="15.75" outlineLevel="1" x14ac:dyDescent="0.25">
      <c r="C235" s="29" t="s">
        <v>308</v>
      </c>
      <c r="N235" s="78"/>
    </row>
    <row r="236" spans="2:14" ht="15.75" outlineLevel="1" x14ac:dyDescent="0.25">
      <c r="C236" s="43" t="s">
        <v>46</v>
      </c>
      <c r="D236" s="43" t="s">
        <v>102</v>
      </c>
      <c r="E236" s="43" t="s">
        <v>103</v>
      </c>
      <c r="F236" s="43" t="s">
        <v>91</v>
      </c>
      <c r="G236" s="60" t="s">
        <v>268</v>
      </c>
      <c r="H236" s="60" t="s">
        <v>269</v>
      </c>
      <c r="I236" s="60" t="s">
        <v>270</v>
      </c>
      <c r="J236" s="60" t="s">
        <v>271</v>
      </c>
      <c r="K236" s="60" t="s">
        <v>272</v>
      </c>
    </row>
    <row r="237" spans="2:14" outlineLevel="1" x14ac:dyDescent="0.25">
      <c r="C237" s="23" t="s">
        <v>154</v>
      </c>
      <c r="D237" s="23" t="s">
        <v>130</v>
      </c>
      <c r="E237" s="23" t="s">
        <v>153</v>
      </c>
      <c r="F237" s="23" t="s">
        <v>110</v>
      </c>
      <c r="G237" s="61" cm="1">
        <f t="array" ref="G237">IFERROR(
(IFERROR(INDEX(Calc_CPI_1[[CPI uplift factor]:[CPI uplift factor]],MATCH($C237,Calc_CPI_1[[Cost item]:[Cost item]],0),1),0)+
INDEX(Input_ForRateCalc[[F-PreviousVDO_InputDate]:[F-NextVDO_Input]],MATCH(Calc_EnviroLRET_1[[#This Row],[Cost item]:[Cost item]],Input_ForRateCalc[[Cost item]:[Cost item]],0),MATCH($D$5,Inputs!$H$8:$U$8,0))),"-")</f>
        <v>40.28</v>
      </c>
      <c r="H237" s="61" cm="1">
        <f t="array" ref="H237">IFERROR(
(IFERROR(INDEX(Calc_CPI_1[[CPI uplift factor]:[CPI uplift factor]],MATCH($C237,Calc_CPI_1[[Cost item]:[Cost item]],0),1),0)+
INDEX(Input_ForRateCalc[[F-PreviousVDO_InputDate]:[F-NextVDO_Input]],MATCH(Calc_EnviroLRET_1[[#This Row],[Cost item]:[Cost item]],Input_ForRateCalc[[Cost item]:[Cost item]],0),MATCH($D$5,Inputs!$H$8:$U$8,0))),"-")</f>
        <v>40.28</v>
      </c>
      <c r="I237" s="61" cm="1">
        <f t="array" ref="I237">IFERROR(
(IFERROR(INDEX(Calc_CPI_1[[CPI uplift factor]:[CPI uplift factor]],MATCH($C237,Calc_CPI_1[[Cost item]:[Cost item]],0),1),0)+
INDEX(Input_ForRateCalc[[F-PreviousVDO_InputDate]:[F-NextVDO_Input]],MATCH(Calc_EnviroLRET_1[[#This Row],[Cost item]:[Cost item]],Input_ForRateCalc[[Cost item]:[Cost item]],0),MATCH($D$5,Inputs!$H$8:$U$8,0))),"-")</f>
        <v>40.28</v>
      </c>
      <c r="J237" s="61" cm="1">
        <f t="array" ref="J237">IFERROR(
(IFERROR(INDEX(Calc_CPI_1[[CPI uplift factor]:[CPI uplift factor]],MATCH($C237,Calc_CPI_1[[Cost item]:[Cost item]],0),1),0)+
INDEX(Input_ForRateCalc[[F-PreviousVDO_InputDate]:[F-NextVDO_Input]],MATCH(Calc_EnviroLRET_1[[#This Row],[Cost item]:[Cost item]],Input_ForRateCalc[[Cost item]:[Cost item]],0),MATCH($D$5,Inputs!$H$8:$U$8,0))),"-")</f>
        <v>40.28</v>
      </c>
      <c r="K237" s="61" cm="1">
        <f t="array" ref="K237">IFERROR(
(IFERROR(INDEX(Calc_CPI_1[[CPI uplift factor]:[CPI uplift factor]],MATCH($C237,Calc_CPI_1[[Cost item]:[Cost item]],0),1),0)+
INDEX(Input_ForRateCalc[[F-PreviousVDO_InputDate]:[F-NextVDO_Input]],MATCH(Calc_EnviroLRET_1[[#This Row],[Cost item]:[Cost item]],Input_ForRateCalc[[Cost item]:[Cost item]],0),MATCH($D$5,Inputs!$H$8:$U$8,0))),"-")</f>
        <v>40.28</v>
      </c>
    </row>
    <row r="238" spans="2:14" outlineLevel="1" x14ac:dyDescent="0.25">
      <c r="C238" s="23" t="s">
        <v>158</v>
      </c>
      <c r="D238" s="23" t="s">
        <v>130</v>
      </c>
      <c r="E238" s="23" t="s">
        <v>157</v>
      </c>
      <c r="F238" s="23" t="s">
        <v>110</v>
      </c>
      <c r="G238" s="56" cm="1">
        <f t="array" ref="G238">IFERROR(
(IFERROR(INDEX(Calc_CPI_1[[CPI uplift factor]:[CPI uplift factor]],MATCH($C238,Calc_CPI_1[[Cost item]:[Cost item]],0),1),0)+
IF(OR($D$5="VDO 2021 - Final",$D$5="VDO 2021 - Variation draft",$D$5="VDO 2021 - Variation final"),
INDEX(Input_ForRateCalc[[F-PreviousVDO_InputDate]:[F-NextVDO_Input]],MATCH(Calc_EnviroLRET_1[[#This Row],[Cost item]:[Cost item]]&amp;" true up (2021 only)",Input_ForRateCalc[[Cost item]:[Cost item]],0),MATCH($D$5,Inputs!$H$8:$U$8,0))+
INDEX(Input_ForRateCalc[[F-PreviousVDO_InputDate]:[F-NextVDO_Input]],MATCH(Calc_EnviroLRET_1[[#This Row],[Cost item]:[Cost item]],Input_ForRateCalc[[Cost item]:[Cost item]],0),MATCH($D$5,Inputs!$H$8:$U$8,0)),
INDEX(Input_ForRateCalc[[F-PreviousVDO_InputDate]:[F-NextVDO_Input]],MATCH(Calc_EnviroLRET_1[[#This Row],[Cost item]:[Cost item]],Input_ForRateCalc[[Cost item]:[Cost item]],0),MATCH($D$5,Inputs!$H$8:$U$8,0)))),"-")</f>
        <v>0.18640000000000001</v>
      </c>
      <c r="H238" s="56" cm="1">
        <f t="array" ref="H238">IFERROR(
(IFERROR(INDEX(Calc_CPI_1[[CPI uplift factor]:[CPI uplift factor]],MATCH($C238,Calc_CPI_1[[Cost item]:[Cost item]],0),1),0)+
IF(OR($D$5="VDO 2021 - Final",$D$5="VDO 2021 - Variation draft",$D$5="VDO 2021 - Variation final"),
INDEX(Input_ForRateCalc[[F-PreviousVDO_InputDate]:[F-NextVDO_Input]],MATCH(Calc_EnviroLRET_1[[#This Row],[Cost item]:[Cost item]]&amp;" true up (2021 only)",Input_ForRateCalc[[Cost item]:[Cost item]],0),MATCH($D$5,Inputs!$H$8:$U$8,0))+
INDEX(Input_ForRateCalc[[F-PreviousVDO_InputDate]:[F-NextVDO_Input]],MATCH(Calc_EnviroLRET_1[[#This Row],[Cost item]:[Cost item]],Input_ForRateCalc[[Cost item]:[Cost item]],0),MATCH($D$5,Inputs!$H$8:$U$8,0)),
INDEX(Input_ForRateCalc[[F-PreviousVDO_InputDate]:[F-NextVDO_Input]],MATCH(Calc_EnviroLRET_1[[#This Row],[Cost item]:[Cost item]],Input_ForRateCalc[[Cost item]:[Cost item]],0),MATCH($D$5,Inputs!$H$8:$U$8,0)))),"-")</f>
        <v>0.18640000000000001</v>
      </c>
      <c r="I238" s="56" cm="1">
        <f t="array" ref="I238">IFERROR(
(IFERROR(INDEX(Calc_CPI_1[[CPI uplift factor]:[CPI uplift factor]],MATCH($C238,Calc_CPI_1[[Cost item]:[Cost item]],0),1),0)+
IF(OR($D$5="VDO 2021 - Final",$D$5="VDO 2021 - Variation draft",$D$5="VDO 2021 - Variation final"),
INDEX(Input_ForRateCalc[[F-PreviousVDO_InputDate]:[F-NextVDO_Input]],MATCH(Calc_EnviroLRET_1[[#This Row],[Cost item]:[Cost item]]&amp;" true up (2021 only)",Input_ForRateCalc[[Cost item]:[Cost item]],0),MATCH($D$5,Inputs!$H$8:$U$8,0))+
INDEX(Input_ForRateCalc[[F-PreviousVDO_InputDate]:[F-NextVDO_Input]],MATCH(Calc_EnviroLRET_1[[#This Row],[Cost item]:[Cost item]],Input_ForRateCalc[[Cost item]:[Cost item]],0),MATCH($D$5,Inputs!$H$8:$U$8,0)),
INDEX(Input_ForRateCalc[[F-PreviousVDO_InputDate]:[F-NextVDO_Input]],MATCH(Calc_EnviroLRET_1[[#This Row],[Cost item]:[Cost item]],Input_ForRateCalc[[Cost item]:[Cost item]],0),MATCH($D$5,Inputs!$H$8:$U$8,0)))),"-")</f>
        <v>0.18640000000000001</v>
      </c>
      <c r="J238" s="56" cm="1">
        <f t="array" ref="J238">IFERROR(
(IFERROR(INDEX(Calc_CPI_1[[CPI uplift factor]:[CPI uplift factor]],MATCH($C238,Calc_CPI_1[[Cost item]:[Cost item]],0),1),0)+
IF(OR($D$5="VDO 2021 - Final",$D$5="VDO 2021 - Variation draft",$D$5="VDO 2021 - Variation final"),
INDEX(Input_ForRateCalc[[F-PreviousVDO_InputDate]:[F-NextVDO_Input]],MATCH(Calc_EnviroLRET_1[[#This Row],[Cost item]:[Cost item]]&amp;" true up (2021 only)",Input_ForRateCalc[[Cost item]:[Cost item]],0),MATCH($D$5,Inputs!$H$8:$U$8,0))+
INDEX(Input_ForRateCalc[[F-PreviousVDO_InputDate]:[F-NextVDO_Input]],MATCH(Calc_EnviroLRET_1[[#This Row],[Cost item]:[Cost item]],Input_ForRateCalc[[Cost item]:[Cost item]],0),MATCH($D$5,Inputs!$H$8:$U$8,0)),
INDEX(Input_ForRateCalc[[F-PreviousVDO_InputDate]:[F-NextVDO_Input]],MATCH(Calc_EnviroLRET_1[[#This Row],[Cost item]:[Cost item]],Input_ForRateCalc[[Cost item]:[Cost item]],0),MATCH($D$5,Inputs!$H$8:$U$8,0)))),"-")</f>
        <v>0.18640000000000001</v>
      </c>
      <c r="K238" s="56" cm="1">
        <f t="array" ref="K238">IFERROR(
(IFERROR(INDEX(Calc_CPI_1[[CPI uplift factor]:[CPI uplift factor]],MATCH($C238,Calc_CPI_1[[Cost item]:[Cost item]],0),1),0)+
IF(OR($D$5="VDO 2021 - Final",$D$5="VDO 2021 - Variation draft",$D$5="VDO 2021 - Variation final"),
INDEX(Input_ForRateCalc[[F-PreviousVDO_InputDate]:[F-NextVDO_Input]],MATCH(Calc_EnviroLRET_1[[#This Row],[Cost item]:[Cost item]]&amp;" true up (2021 only)",Input_ForRateCalc[[Cost item]:[Cost item]],0),MATCH($D$5,Inputs!$H$8:$U$8,0))+
INDEX(Input_ForRateCalc[[F-PreviousVDO_InputDate]:[F-NextVDO_Input]],MATCH(Calc_EnviroLRET_1[[#This Row],[Cost item]:[Cost item]],Input_ForRateCalc[[Cost item]:[Cost item]],0),MATCH($D$5,Inputs!$H$8:$U$8,0)),
INDEX(Input_ForRateCalc[[F-PreviousVDO_InputDate]:[F-NextVDO_Input]],MATCH(Calc_EnviroLRET_1[[#This Row],[Cost item]:[Cost item]],Input_ForRateCalc[[Cost item]:[Cost item]],0),MATCH($D$5,Inputs!$H$8:$U$8,0)))),"-")</f>
        <v>0.18640000000000001</v>
      </c>
    </row>
    <row r="239" spans="2:14" outlineLevel="1" x14ac:dyDescent="0.25">
      <c r="C239" s="44" t="s">
        <v>309</v>
      </c>
      <c r="D239" s="44" t="s">
        <v>130</v>
      </c>
      <c r="E239" s="44" t="s">
        <v>282</v>
      </c>
      <c r="F239" s="23" t="s">
        <v>110</v>
      </c>
      <c r="G239" s="72">
        <f>IFERROR(
IFERROR(INDEX(Calc_CPI_1[[CPI uplift factor]:[CPI uplift factor]],MATCH($C239,Calc_CPI_1[[Cost item]:[Cost item]],0),1),0)+(G237*G238)/1000,"-")</f>
        <v>7.5081920000000003E-3</v>
      </c>
      <c r="H239" s="72">
        <f>IFERROR(
IFERROR(INDEX(Calc_CPI_1[[CPI uplift factor]:[CPI uplift factor]],MATCH($C239,Calc_CPI_1[[Cost item]:[Cost item]],0),1),0)+(H237*H238)/1000,"-")</f>
        <v>7.5081920000000003E-3</v>
      </c>
      <c r="I239" s="72">
        <f>IFERROR(
IFERROR(INDEX(Calc_CPI_1[[CPI uplift factor]:[CPI uplift factor]],MATCH($C239,Calc_CPI_1[[Cost item]:[Cost item]],0),1),0)+(I237*I238)/1000,"-")</f>
        <v>7.5081920000000003E-3</v>
      </c>
      <c r="J239" s="72">
        <f>IFERROR(
IFERROR(INDEX(Calc_CPI_1[[CPI uplift factor]:[CPI uplift factor]],MATCH($C239,Calc_CPI_1[[Cost item]:[Cost item]],0),1),0)+(J237*J238)/1000,"-")</f>
        <v>7.5081920000000003E-3</v>
      </c>
      <c r="K239" s="72">
        <f>IFERROR(
IFERROR(INDEX(Calc_CPI_1[[CPI uplift factor]:[CPI uplift factor]],MATCH($C239,Calc_CPI_1[[Cost item]:[Cost item]],0),1),0)+(K237*K238)/1000,"-")</f>
        <v>7.5081920000000003E-3</v>
      </c>
      <c r="M239" s="78"/>
    </row>
    <row r="240" spans="2:14" outlineLevel="1" x14ac:dyDescent="0.25"/>
    <row r="241" spans="1:13" ht="15.75" outlineLevel="1" x14ac:dyDescent="0.25">
      <c r="C241" s="29" t="s">
        <v>310</v>
      </c>
    </row>
    <row r="242" spans="1:13" ht="15.75" outlineLevel="1" x14ac:dyDescent="0.25">
      <c r="C242" s="43" t="s">
        <v>46</v>
      </c>
      <c r="D242" s="43" t="s">
        <v>102</v>
      </c>
      <c r="E242" s="43" t="s">
        <v>103</v>
      </c>
      <c r="F242" s="43" t="s">
        <v>91</v>
      </c>
      <c r="G242" s="60" t="s">
        <v>268</v>
      </c>
      <c r="H242" s="60" t="s">
        <v>269</v>
      </c>
      <c r="I242" s="60" t="s">
        <v>270</v>
      </c>
      <c r="J242" s="60" t="s">
        <v>271</v>
      </c>
      <c r="K242" s="60" t="s">
        <v>272</v>
      </c>
    </row>
    <row r="243" spans="1:13" outlineLevel="1" x14ac:dyDescent="0.25">
      <c r="C243" s="23" t="s">
        <v>155</v>
      </c>
      <c r="D243" s="23" t="s">
        <v>130</v>
      </c>
      <c r="E243" s="23" t="s">
        <v>153</v>
      </c>
      <c r="F243" s="23" t="s">
        <v>110</v>
      </c>
      <c r="G243" s="61" cm="1">
        <f t="array" ref="G243">IFERROR(
(IFERROR(INDEX(Calc_CPI_1[[CPI uplift factor]:[CPI uplift factor]],MATCH($C243,Calc_CPI_1[[Cost item]:[Cost item]],0),1),0)+
INDEX(Input_ForRateCalc[[F-PreviousVDO_InputDate]:[F-NextVDO_Input]],MATCH(Calc_EnviroSRES_1[[#This Row],[Cost item]:[Cost item]],Input_ForRateCalc[[Cost item]:[Cost item]],0),MATCH($D$5,Inputs!$H$8:$U$8,0))),"-")</f>
        <v>40</v>
      </c>
      <c r="H243" s="61" cm="1">
        <f t="array" ref="H243">IFERROR(
(IFERROR(INDEX(Calc_CPI_1[[CPI uplift factor]:[CPI uplift factor]],MATCH($C243,Calc_CPI_1[[Cost item]:[Cost item]],0),1),0)+
INDEX(Input_ForRateCalc[[F-PreviousVDO_InputDate]:[F-NextVDO_Input]],MATCH(Calc_EnviroSRES_1[[#This Row],[Cost item]:[Cost item]],Input_ForRateCalc[[Cost item]:[Cost item]],0),MATCH($D$5,Inputs!$H$8:$U$8,0))),"-")</f>
        <v>40</v>
      </c>
      <c r="I243" s="61" cm="1">
        <f t="array" ref="I243">IFERROR(
(IFERROR(INDEX(Calc_CPI_1[[CPI uplift factor]:[CPI uplift factor]],MATCH($C243,Calc_CPI_1[[Cost item]:[Cost item]],0),1),0)+
INDEX(Input_ForRateCalc[[F-PreviousVDO_InputDate]:[F-NextVDO_Input]],MATCH(Calc_EnviroSRES_1[[#This Row],[Cost item]:[Cost item]],Input_ForRateCalc[[Cost item]:[Cost item]],0),MATCH($D$5,Inputs!$H$8:$U$8,0))),"-")</f>
        <v>40</v>
      </c>
      <c r="J243" s="61" cm="1">
        <f t="array" ref="J243">IFERROR(
(IFERROR(INDEX(Calc_CPI_1[[CPI uplift factor]:[CPI uplift factor]],MATCH($C243,Calc_CPI_1[[Cost item]:[Cost item]],0),1),0)+
INDEX(Input_ForRateCalc[[F-PreviousVDO_InputDate]:[F-NextVDO_Input]],MATCH(Calc_EnviroSRES_1[[#This Row],[Cost item]:[Cost item]],Input_ForRateCalc[[Cost item]:[Cost item]],0),MATCH($D$5,Inputs!$H$8:$U$8,0))),"-")</f>
        <v>40</v>
      </c>
      <c r="K243" s="61" cm="1">
        <f t="array" ref="K243">IFERROR(
(IFERROR(INDEX(Calc_CPI_1[[CPI uplift factor]:[CPI uplift factor]],MATCH($C243,Calc_CPI_1[[Cost item]:[Cost item]],0),1),0)+
INDEX(Input_ForRateCalc[[F-PreviousVDO_InputDate]:[F-NextVDO_Input]],MATCH(Calc_EnviroSRES_1[[#This Row],[Cost item]:[Cost item]],Input_ForRateCalc[[Cost item]:[Cost item]],0),MATCH($D$5,Inputs!$H$8:$U$8,0))),"-")</f>
        <v>40</v>
      </c>
    </row>
    <row r="244" spans="1:13" outlineLevel="1" x14ac:dyDescent="0.25">
      <c r="C244" s="23" t="s">
        <v>159</v>
      </c>
      <c r="D244" s="23" t="s">
        <v>130</v>
      </c>
      <c r="E244" s="23" t="s">
        <v>157</v>
      </c>
      <c r="F244" s="23" t="s">
        <v>110</v>
      </c>
      <c r="G244" s="56" cm="1">
        <f t="array" ref="G244">IFERROR(
(IFERROR(INDEX(Calc_CPI_1[[CPI uplift factor]:[CPI uplift factor]],MATCH($C244,Calc_CPI_1[[Cost item]:[Cost item]],0),1),0)+
IF(OR($D$5="VDO 2021 - Final",$D$5="VDO 2021 - Variation draft",$D$5="VDO 2021 - Variation final"),
INDEX(Input_ForRateCalc[[F-PreviousVDO_InputDate]:[F-NextVDO_Input]],MATCH(Calc_EnviroSRES_1[[#This Row],[Cost item]:[Cost item]]&amp;" true up (2021 only)",Input_ForRateCalc[[Cost item]:[Cost item]],0),MATCH($D$5,Inputs!$H$8:$U$8,0))+
INDEX(Input_ForRateCalc[[F-PreviousVDO_InputDate]:[F-NextVDO_Input]],MATCH(Calc_EnviroSRES_1[[#This Row],[Cost item]:[Cost item]],Input_ForRateCalc[[Cost item]:[Cost item]],0),MATCH($D$5,Inputs!$H$8:$U$8,0)),
INDEX(Input_ForRateCalc[[F-PreviousVDO_InputDate]:[F-NextVDO_Input]],MATCH(Calc_EnviroSRES_1[[#This Row],[Cost item]:[Cost item]],Input_ForRateCalc[[Cost item]:[Cost item]],0),MATCH($D$5,Inputs!$H$8:$U$8,0)))),"-")</f>
        <v>0.248</v>
      </c>
      <c r="H244" s="56" cm="1">
        <f t="array" ref="H244">IFERROR(
(IFERROR(INDEX(Calc_CPI_1[[CPI uplift factor]:[CPI uplift factor]],MATCH($C244,Calc_CPI_1[[Cost item]:[Cost item]],0),1),0)+
IF(OR($D$5="VDO 2021 - Final",$D$5="VDO 2021 - Variation draft",$D$5="VDO 2021 - Variation final"),
INDEX(Input_ForRateCalc[[F-PreviousVDO_InputDate]:[F-NextVDO_Input]],MATCH(Calc_EnviroSRES_1[[#This Row],[Cost item]:[Cost item]]&amp;" true up (2021 only)",Input_ForRateCalc[[Cost item]:[Cost item]],0),MATCH($D$5,Inputs!$H$8:$U$8,0))+
INDEX(Input_ForRateCalc[[F-PreviousVDO_InputDate]:[F-NextVDO_Input]],MATCH(Calc_EnviroSRES_1[[#This Row],[Cost item]:[Cost item]],Input_ForRateCalc[[Cost item]:[Cost item]],0),MATCH($D$5,Inputs!$H$8:$U$8,0)),
INDEX(Input_ForRateCalc[[F-PreviousVDO_InputDate]:[F-NextVDO_Input]],MATCH(Calc_EnviroSRES_1[[#This Row],[Cost item]:[Cost item]],Input_ForRateCalc[[Cost item]:[Cost item]],0),MATCH($D$5,Inputs!$H$8:$U$8,0)))),"-")</f>
        <v>0.248</v>
      </c>
      <c r="I244" s="56" cm="1">
        <f t="array" ref="I244">IFERROR(
(IFERROR(INDEX(Calc_CPI_1[[CPI uplift factor]:[CPI uplift factor]],MATCH($C244,Calc_CPI_1[[Cost item]:[Cost item]],0),1),0)+
IF(OR($D$5="VDO 2021 - Final",$D$5="VDO 2021 - Variation draft",$D$5="VDO 2021 - Variation final"),
INDEX(Input_ForRateCalc[[F-PreviousVDO_InputDate]:[F-NextVDO_Input]],MATCH(Calc_EnviroSRES_1[[#This Row],[Cost item]:[Cost item]]&amp;" true up (2021 only)",Input_ForRateCalc[[Cost item]:[Cost item]],0),MATCH($D$5,Inputs!$H$8:$U$8,0))+
INDEX(Input_ForRateCalc[[F-PreviousVDO_InputDate]:[F-NextVDO_Input]],MATCH(Calc_EnviroSRES_1[[#This Row],[Cost item]:[Cost item]],Input_ForRateCalc[[Cost item]:[Cost item]],0),MATCH($D$5,Inputs!$H$8:$U$8,0)),
INDEX(Input_ForRateCalc[[F-PreviousVDO_InputDate]:[F-NextVDO_Input]],MATCH(Calc_EnviroSRES_1[[#This Row],[Cost item]:[Cost item]],Input_ForRateCalc[[Cost item]:[Cost item]],0),MATCH($D$5,Inputs!$H$8:$U$8,0)))),"-")</f>
        <v>0.248</v>
      </c>
      <c r="J244" s="56" cm="1">
        <f t="array" ref="J244">IFERROR(
(IFERROR(INDEX(Calc_CPI_1[[CPI uplift factor]:[CPI uplift factor]],MATCH($C244,Calc_CPI_1[[Cost item]:[Cost item]],0),1),0)+
IF(OR($D$5="VDO 2021 - Final",$D$5="VDO 2021 - Variation draft",$D$5="VDO 2021 - Variation final"),
INDEX(Input_ForRateCalc[[F-PreviousVDO_InputDate]:[F-NextVDO_Input]],MATCH(Calc_EnviroSRES_1[[#This Row],[Cost item]:[Cost item]]&amp;" true up (2021 only)",Input_ForRateCalc[[Cost item]:[Cost item]],0),MATCH($D$5,Inputs!$H$8:$U$8,0))+
INDEX(Input_ForRateCalc[[F-PreviousVDO_InputDate]:[F-NextVDO_Input]],MATCH(Calc_EnviroSRES_1[[#This Row],[Cost item]:[Cost item]],Input_ForRateCalc[[Cost item]:[Cost item]],0),MATCH($D$5,Inputs!$H$8:$U$8,0)),
INDEX(Input_ForRateCalc[[F-PreviousVDO_InputDate]:[F-NextVDO_Input]],MATCH(Calc_EnviroSRES_1[[#This Row],[Cost item]:[Cost item]],Input_ForRateCalc[[Cost item]:[Cost item]],0),MATCH($D$5,Inputs!$H$8:$U$8,0)))),"-")</f>
        <v>0.248</v>
      </c>
      <c r="K244" s="56" cm="1">
        <f t="array" ref="K244">IFERROR(
(IFERROR(INDEX(Calc_CPI_1[[CPI uplift factor]:[CPI uplift factor]],MATCH($C244,Calc_CPI_1[[Cost item]:[Cost item]],0),1),0)+
IF(OR($D$5="VDO 2021 - Final",$D$5="VDO 2021 - Variation draft",$D$5="VDO 2021 - Variation final"),
INDEX(Input_ForRateCalc[[F-PreviousVDO_InputDate]:[F-NextVDO_Input]],MATCH(Calc_EnviroSRES_1[[#This Row],[Cost item]:[Cost item]]&amp;" true up (2021 only)",Input_ForRateCalc[[Cost item]:[Cost item]],0),MATCH($D$5,Inputs!$H$8:$U$8,0))+
INDEX(Input_ForRateCalc[[F-PreviousVDO_InputDate]:[F-NextVDO_Input]],MATCH(Calc_EnviroSRES_1[[#This Row],[Cost item]:[Cost item]],Input_ForRateCalc[[Cost item]:[Cost item]],0),MATCH($D$5,Inputs!$H$8:$U$8,0)),
INDEX(Input_ForRateCalc[[F-PreviousVDO_InputDate]:[F-NextVDO_Input]],MATCH(Calc_EnviroSRES_1[[#This Row],[Cost item]:[Cost item]],Input_ForRateCalc[[Cost item]:[Cost item]],0),MATCH($D$5,Inputs!$H$8:$U$8,0)))),"-")</f>
        <v>0.248</v>
      </c>
    </row>
    <row r="245" spans="1:13" outlineLevel="1" x14ac:dyDescent="0.25">
      <c r="C245" s="44" t="s">
        <v>311</v>
      </c>
      <c r="D245" s="44" t="s">
        <v>130</v>
      </c>
      <c r="E245" s="44" t="s">
        <v>282</v>
      </c>
      <c r="F245" s="23" t="s">
        <v>110</v>
      </c>
      <c r="G245" s="72">
        <f>IFERROR(
IFERROR(INDEX(Calc_CPI_1[[CPI uplift factor]:[CPI uplift factor]],MATCH($C245,Calc_CPI_1[[Cost item]:[Cost item]],0),1),0)+(G243*G244)/1000,"-")</f>
        <v>9.92E-3</v>
      </c>
      <c r="H245" s="72">
        <f>IFERROR(
IFERROR(INDEX(Calc_CPI_1[[CPI uplift factor]:[CPI uplift factor]],MATCH($C245,Calc_CPI_1[[Cost item]:[Cost item]],0),1),0)+(H243*H244)/1000,"-")</f>
        <v>9.92E-3</v>
      </c>
      <c r="I245" s="72">
        <f>IFERROR(
IFERROR(INDEX(Calc_CPI_1[[CPI uplift factor]:[CPI uplift factor]],MATCH($C245,Calc_CPI_1[[Cost item]:[Cost item]],0),1),0)+(I243*I244)/1000,"-")</f>
        <v>9.92E-3</v>
      </c>
      <c r="J245" s="72">
        <f>IFERROR(
IFERROR(INDEX(Calc_CPI_1[[CPI uplift factor]:[CPI uplift factor]],MATCH($C245,Calc_CPI_1[[Cost item]:[Cost item]],0),1),0)+(J243*J244)/1000,"-")</f>
        <v>9.92E-3</v>
      </c>
      <c r="K245" s="72">
        <f>IFERROR(
IFERROR(INDEX(Calc_CPI_1[[CPI uplift factor]:[CPI uplift factor]],MATCH($C245,Calc_CPI_1[[Cost item]:[Cost item]],0),1),0)+(K243*K244)/1000,"-")</f>
        <v>9.92E-3</v>
      </c>
      <c r="M245" s="78"/>
    </row>
    <row r="246" spans="1:13" outlineLevel="1" x14ac:dyDescent="0.25"/>
    <row r="247" spans="1:13" ht="15.75" outlineLevel="1" collapsed="1" x14ac:dyDescent="0.25">
      <c r="A247" s="1" t="s">
        <v>23</v>
      </c>
      <c r="C247" s="29" t="s">
        <v>312</v>
      </c>
    </row>
    <row r="248" spans="1:13" ht="15.75" outlineLevel="1" x14ac:dyDescent="0.25">
      <c r="C248" s="43" t="s">
        <v>46</v>
      </c>
      <c r="D248" s="43" t="s">
        <v>102</v>
      </c>
      <c r="E248" s="43" t="s">
        <v>103</v>
      </c>
      <c r="F248" s="43" t="s">
        <v>91</v>
      </c>
      <c r="G248" s="60" t="s">
        <v>268</v>
      </c>
      <c r="H248" s="60" t="s">
        <v>269</v>
      </c>
      <c r="I248" s="60" t="s">
        <v>270</v>
      </c>
      <c r="J248" s="60" t="s">
        <v>271</v>
      </c>
      <c r="K248" s="60" t="s">
        <v>272</v>
      </c>
    </row>
    <row r="249" spans="1:13" outlineLevel="1" x14ac:dyDescent="0.25">
      <c r="C249" s="44" t="s">
        <v>116</v>
      </c>
      <c r="D249" s="44" t="s">
        <v>108</v>
      </c>
      <c r="E249" s="23" t="s">
        <v>109</v>
      </c>
      <c r="F249" s="23" t="s">
        <v>110</v>
      </c>
      <c r="G249" s="61" cm="1">
        <f t="array" ref="G249">IFERROR(
(IFERROR(INDEX(Calc_CPI_1[[CPI uplift factor]:[CPI uplift factor]],MATCH($C249,Calc_CPI_1[[Cost item]:[Cost item]],0),1),0)+
INDEX(Input_ForRateCalc[[F-PreviousVDO_InputDate]:[F-NextVDO_Input]],MATCH(Calc_FiT_1[[#This Row],[Cost item]:[Cost item]],Input_ForRateCalc[[Cost item]:[Cost item]],0),MATCH($D$5,Inputs!$H$8:$U$8,0))),"-")</f>
        <v>13.337821545021233</v>
      </c>
      <c r="H249" s="61" cm="1">
        <f t="array" ref="H249">IFERROR(
(IFERROR(INDEX(Calc_CPI_1[[CPI uplift factor]:[CPI uplift factor]],MATCH($C249,Calc_CPI_1[[Cost item]:[Cost item]],0),1),0)+
INDEX(Input_ForRateCalc[[F-PreviousVDO_InputDate]:[F-NextVDO_Input]],MATCH(Calc_FiT_1[[#This Row],[Cost item]:[Cost item]],Input_ForRateCalc[[Cost item]:[Cost item]],0),MATCH($D$5,Inputs!$H$8:$U$8,0))),"-")</f>
        <v>13.337821545021233</v>
      </c>
      <c r="I249" s="61" cm="1">
        <f t="array" ref="I249">IFERROR(
(IFERROR(INDEX(Calc_CPI_1[[CPI uplift factor]:[CPI uplift factor]],MATCH($C249,Calc_CPI_1[[Cost item]:[Cost item]],0),1),0)+
INDEX(Input_ForRateCalc[[F-PreviousVDO_InputDate]:[F-NextVDO_Input]],MATCH(Calc_FiT_1[[#This Row],[Cost item]:[Cost item]],Input_ForRateCalc[[Cost item]:[Cost item]],0),MATCH($D$5,Inputs!$H$8:$U$8,0))),"-")</f>
        <v>13.337821545021233</v>
      </c>
      <c r="J249" s="61" cm="1">
        <f t="array" ref="J249">IFERROR(
(IFERROR(INDEX(Calc_CPI_1[[CPI uplift factor]:[CPI uplift factor]],MATCH($C249,Calc_CPI_1[[Cost item]:[Cost item]],0),1),0)+
INDEX(Input_ForRateCalc[[F-PreviousVDO_InputDate]:[F-NextVDO_Input]],MATCH(Calc_FiT_1[[#This Row],[Cost item]:[Cost item]],Input_ForRateCalc[[Cost item]:[Cost item]],0),MATCH($D$5,Inputs!$H$8:$U$8,0))),"-")</f>
        <v>13.337821545021233</v>
      </c>
      <c r="K249" s="61" cm="1">
        <f t="array" ref="K249">IFERROR(
(IFERROR(INDEX(Calc_CPI_1[[CPI uplift factor]:[CPI uplift factor]],MATCH($C249,Calc_CPI_1[[Cost item]:[Cost item]],0),1),0)+
INDEX(Input_ForRateCalc[[F-PreviousVDO_InputDate]:[F-NextVDO_Input]],MATCH(Calc_FiT_1[[#This Row],[Cost item]:[Cost item]],Input_ForRateCalc[[Cost item]:[Cost item]],0),MATCH($D$5,Inputs!$H$8:$U$8,0))),"-")</f>
        <v>13.337821545021233</v>
      </c>
    </row>
    <row r="252" spans="1:13" ht="15.75" x14ac:dyDescent="0.25">
      <c r="A252" s="1" t="s">
        <v>23</v>
      </c>
    </row>
    <row r="254" spans="1:13" ht="15.75" x14ac:dyDescent="0.25">
      <c r="B254"/>
      <c r="C254" s="54" t="s">
        <v>101</v>
      </c>
      <c r="D254" s="97" t="s">
        <v>259</v>
      </c>
    </row>
    <row r="255" spans="1:13" collapsed="1" x14ac:dyDescent="0.25">
      <c r="B255"/>
    </row>
    <row r="256" spans="1:13" ht="16.5" hidden="1" outlineLevel="1" thickBot="1" x14ac:dyDescent="0.3">
      <c r="B256" s="9">
        <f ca="1">MAX(B$3:B255)+0.1</f>
        <v>12.799999999999997</v>
      </c>
      <c r="C256" s="28" t="s">
        <v>266</v>
      </c>
      <c r="D256" s="28"/>
      <c r="E256" s="28"/>
      <c r="F256" s="28"/>
      <c r="G256" s="28"/>
      <c r="H256" s="28"/>
      <c r="I256" s="28"/>
      <c r="J256" s="28"/>
      <c r="K256" s="28"/>
    </row>
    <row r="257" spans="2:16" hidden="1" outlineLevel="1" x14ac:dyDescent="0.25">
      <c r="B257"/>
      <c r="I257" s="87"/>
    </row>
    <row r="258" spans="2:16" ht="15.75" hidden="1" outlineLevel="1" x14ac:dyDescent="0.25">
      <c r="B258"/>
      <c r="C258" s="43" t="s">
        <v>267</v>
      </c>
      <c r="D258" s="43" t="s">
        <v>102</v>
      </c>
      <c r="E258" s="43" t="s">
        <v>103</v>
      </c>
      <c r="F258" s="43" t="s">
        <v>91</v>
      </c>
      <c r="G258" s="60" t="s">
        <v>268</v>
      </c>
      <c r="H258" s="60" t="s">
        <v>269</v>
      </c>
      <c r="I258" s="60" t="s">
        <v>270</v>
      </c>
      <c r="J258" s="60" t="s">
        <v>271</v>
      </c>
      <c r="K258" s="60" t="s">
        <v>272</v>
      </c>
    </row>
    <row r="259" spans="2:16" hidden="1" outlineLevel="1" x14ac:dyDescent="0.25">
      <c r="B259"/>
      <c r="C259" s="23" t="s">
        <v>106</v>
      </c>
      <c r="D259" s="23" t="s">
        <v>108</v>
      </c>
      <c r="E259" s="23" t="s">
        <v>109</v>
      </c>
      <c r="F259" s="23" t="s">
        <v>110</v>
      </c>
      <c r="G259" s="73">
        <f>SUMIFS(Calc_Retail_2[Ausnet],Calc_Retail_2[[Fixed/Variable]:[Fixed/Variable]],$D259,Calc_Retail_2[[Customer type]:[Customer type]],$F259)</f>
        <v>181.37562065040649</v>
      </c>
      <c r="H259" s="73">
        <f>SUMIFS(Calc_Retail_2[Citipower],Calc_Retail_2[[Fixed/Variable]:[Fixed/Variable]],$D259,Calc_Retail_2[[Customer type]:[Customer type]],$F259)</f>
        <v>181.37562065040649</v>
      </c>
      <c r="I259" s="73">
        <f>SUMIFS(Calc_Retail_2[Jemena],Calc_Retail_2[[Fixed/Variable]:[Fixed/Variable]],$D259,Calc_Retail_2[[Customer type]:[Customer type]],$F259)</f>
        <v>181.37562065040649</v>
      </c>
      <c r="J259" s="73">
        <f>SUMIFS(Calc_Retail_2[Powercor],Calc_Retail_2[[Fixed/Variable]:[Fixed/Variable]],$D259,Calc_Retail_2[[Customer type]:[Customer type]],$F259)</f>
        <v>181.37562065040649</v>
      </c>
      <c r="K259" s="73">
        <f>SUMIFS(Calc_Retail_2[United Energy],Calc_Retail_2[[Fixed/Variable]:[Fixed/Variable]],$D259,Calc_Retail_2[[Customer type]:[Customer type]],$F259)</f>
        <v>181.37562065040649</v>
      </c>
    </row>
    <row r="260" spans="2:16" hidden="1" outlineLevel="1" x14ac:dyDescent="0.25">
      <c r="B260"/>
      <c r="C260" s="23" t="s">
        <v>273</v>
      </c>
      <c r="D260" s="23" t="s">
        <v>108</v>
      </c>
      <c r="E260" s="23" t="s">
        <v>109</v>
      </c>
      <c r="F260" s="23" t="s">
        <v>110</v>
      </c>
      <c r="G260" s="77">
        <f>SUMIFS(Calc_OtherCosts_2[Ausnet],Calc_OtherCosts_2[[Fixed/Variable]:[Fixed/Variable]],$D260,Calc_OtherCosts_2[[Customer type]:[Customer type]],$F260)</f>
        <v>4.1198525061118714</v>
      </c>
      <c r="H260" s="73">
        <f>SUMIFS(Calc_OtherCosts_2[Citipower],Calc_OtherCosts_2[[Fixed/Variable]:[Fixed/Variable]],$D260,Calc_OtherCosts_2[[Customer type]:[Customer type]],$F260)</f>
        <v>4.1198525061118714</v>
      </c>
      <c r="I260" s="73">
        <f>SUMIFS(Calc_OtherCosts_2[Jemena],Calc_OtherCosts_2[[Fixed/Variable]:[Fixed/Variable]],$D260,Calc_OtherCosts_2[[Customer type]:[Customer type]],$F260)</f>
        <v>4.1198525061118714</v>
      </c>
      <c r="J260" s="73">
        <f>SUMIFS(Calc_OtherCosts_2[Powercor],Calc_OtherCosts_2[[Fixed/Variable]:[Fixed/Variable]],$D260,Calc_OtherCosts_2[[Customer type]:[Customer type]],$F260)</f>
        <v>4.1198525061118714</v>
      </c>
      <c r="K260" s="73">
        <f>SUMIFS(Calc_OtherCosts_2[United Energy],Calc_OtherCosts_2[[Fixed/Variable]:[Fixed/Variable]],$D260,Calc_OtherCosts_2[[Customer type]:[Customer type]],$F260)</f>
        <v>4.1198525061118714</v>
      </c>
    </row>
    <row r="261" spans="2:16" hidden="1" outlineLevel="1" x14ac:dyDescent="0.25">
      <c r="B261"/>
      <c r="C261" s="23" t="s">
        <v>274</v>
      </c>
      <c r="D261" s="23" t="s">
        <v>108</v>
      </c>
      <c r="E261" s="23" t="s">
        <v>109</v>
      </c>
      <c r="F261" s="23" t="s">
        <v>110</v>
      </c>
      <c r="G261" s="73">
        <f>SUMIFS(Calc_FiT_2[Ausnet],Calc_FiT_2[[Fixed/Variable]:[Fixed/Variable]],$D261,Calc_FiT_2[[Customer type]:[Customer type]],$F261)</f>
        <v>13.337821545021233</v>
      </c>
      <c r="H261" s="73">
        <f>SUMIFS(Calc_FiT_2[Citipower],Calc_FiT_2[[Fixed/Variable]:[Fixed/Variable]],$D261,Calc_FiT_2[[Customer type]:[Customer type]],$F261)</f>
        <v>13.337821545021233</v>
      </c>
      <c r="I261" s="73">
        <f>SUMIFS(Calc_FiT_2[Jemena],Calc_FiT_2[[Fixed/Variable]:[Fixed/Variable]],$D261,Calc_FiT_2[[Customer type]:[Customer type]],$F261)</f>
        <v>13.337821545021233</v>
      </c>
      <c r="J261" s="73">
        <f>SUMIFS(Calc_FiT_2[Powercor],Calc_FiT_2[[Fixed/Variable]:[Fixed/Variable]],$D261,Calc_FiT_2[[Customer type]:[Customer type]],$F261)</f>
        <v>13.337821545021233</v>
      </c>
      <c r="K261" s="73">
        <f>SUMIFS(Calc_FiT_2[United Energy],Calc_FiT_2[[Fixed/Variable]:[Fixed/Variable]],$D261,Calc_FiT_2[[Customer type]:[Customer type]],$F261)</f>
        <v>13.337821545021233</v>
      </c>
      <c r="P261" s="342"/>
    </row>
    <row r="262" spans="2:16" hidden="1" outlineLevel="1" x14ac:dyDescent="0.25">
      <c r="B262"/>
      <c r="C262" s="23" t="s">
        <v>275</v>
      </c>
      <c r="D262" s="23" t="s">
        <v>108</v>
      </c>
      <c r="E262" s="23" t="s">
        <v>109</v>
      </c>
      <c r="F262" s="23" t="s">
        <v>110</v>
      </c>
      <c r="G262" s="73">
        <f>SUMIFS(Calc_NetworkF_2[Ausnet],Calc_NetworkF_2[[Fixed/Variable]:[Fixed/Variable]],$D262,Calc_NetworkF_2[[Customer type]:[Customer type]],$F262)</f>
        <v>63.7</v>
      </c>
      <c r="H262" s="73">
        <f>SUMIFS(Calc_NetworkF_2[Citipower],Calc_NetworkF_2[[Fixed/Variable]:[Fixed/Variable]],$D262,Calc_NetworkF_2[[Customer type]:[Customer type]],$F262)</f>
        <v>59.4</v>
      </c>
      <c r="I262" s="73">
        <f>SUMIFS(Calc_NetworkF_2[Jemena],Calc_NetworkF_2[[Fixed/Variable]:[Fixed/Variable]],$D262,Calc_NetworkF_2[[Customer type]:[Customer type]],$F262)</f>
        <v>54.19</v>
      </c>
      <c r="J262" s="73">
        <f>SUMIFS(Calc_NetworkF_2[Powercor],Calc_NetworkF_2[[Fixed/Variable]:[Fixed/Variable]],$D262,Calc_NetworkF_2[[Customer type]:[Customer type]],$F262)</f>
        <v>58</v>
      </c>
      <c r="K262" s="73">
        <f>SUMIFS(Calc_NetworkF_2[United Energy],Calc_NetworkF_2[[Fixed/Variable]:[Fixed/Variable]],$D262,Calc_NetworkF_2[[Customer type]:[Customer type]],$F262)</f>
        <v>42.92</v>
      </c>
    </row>
    <row r="263" spans="2:16" hidden="1" outlineLevel="1" x14ac:dyDescent="0.25">
      <c r="B263"/>
    </row>
    <row r="264" spans="2:16" ht="15.75" hidden="1" outlineLevel="1" collapsed="1" x14ac:dyDescent="0.25">
      <c r="B264"/>
      <c r="C264" s="29" t="s">
        <v>276</v>
      </c>
    </row>
    <row r="265" spans="2:16" ht="15.75" hidden="1" outlineLevel="2" x14ac:dyDescent="0.25">
      <c r="B265"/>
      <c r="C265" s="81" t="s">
        <v>550</v>
      </c>
    </row>
    <row r="266" spans="2:16" hidden="1" outlineLevel="2" x14ac:dyDescent="0.25">
      <c r="B266"/>
      <c r="C266" s="23" t="s">
        <v>286</v>
      </c>
      <c r="D266" s="23" t="s">
        <v>9</v>
      </c>
      <c r="E266" s="23" t="s">
        <v>109</v>
      </c>
      <c r="F266" s="23" t="s">
        <v>92</v>
      </c>
      <c r="G266" s="61">
        <f>SUMIFS(Calc_NetworkF_2[Ausnet],Calc_NetworkF_2[[Cost item]:[Cost item]],$C265,Calc_NetworkF_2[[Customer type]:[Customer type]],$F266)</f>
        <v>111.11</v>
      </c>
      <c r="H266" s="61">
        <f>SUMIFS(Calc_NetworkF_2[Citipower],Calc_NetworkF_2[[Cost item]:[Cost item]],$C265,Calc_NetworkF_2[[Customer type]:[Customer type]],$F266)</f>
        <v>90.009</v>
      </c>
      <c r="I266" s="61">
        <f>SUMIFS(Calc_NetworkF_2[Jemena],Calc_NetworkF_2[[Cost item]:[Cost item]],$C265,Calc_NetworkF_2[[Customer type]:[Customer type]],$F266)</f>
        <v>82.195999999999998</v>
      </c>
      <c r="J266" s="61">
        <f>SUMIFS(Calc_NetworkF_2[Powercor],Calc_NetworkF_2[[Cost item]:[Cost item]],$C265,Calc_NetworkF_2[[Customer type]:[Customer type]],$F266)</f>
        <v>139.97749999999999</v>
      </c>
      <c r="K266" s="61">
        <f>SUMIFS(Calc_NetworkF_2[United Energy],Calc_NetworkF_2[[Cost item]:[Cost item]],$C265,Calc_NetworkF_2[[Customer type]:[Customer type]],$F266)</f>
        <v>80.007999999999996</v>
      </c>
    </row>
    <row r="267" spans="2:16" hidden="1" outlineLevel="2" x14ac:dyDescent="0.25">
      <c r="B267"/>
      <c r="C267" s="23" t="s">
        <v>267</v>
      </c>
      <c r="D267" s="23" t="s">
        <v>9</v>
      </c>
      <c r="E267" s="23" t="s">
        <v>109</v>
      </c>
      <c r="F267" s="23" t="s">
        <v>92</v>
      </c>
      <c r="G267" s="73">
        <f>IF(G266=0,"-",SUMIFS(Calc_Fixed_2[Ausnet],Calc_Fixed_2[Customer type],"All")+SUMIFS(Calc_Fixed_2[Ausnet],Calc_Fixed_2[Customer type],$F267))</f>
        <v>262.5332947015396</v>
      </c>
      <c r="H267" s="73">
        <f>IF(H266=0,"-",SUMIFS(Calc_Fixed_2[Citipower],Calc_Fixed_2[[Customer type]:[Customer type]],"All")+SUMIFS(Calc_Fixed_2[Citipower],Calc_Fixed_2[[Customer type]:[Customer type]],$F268))</f>
        <v>258.23329470153959</v>
      </c>
      <c r="I267" s="73">
        <f>IF(I266=0,"-",SUMIFS(Calc_Fixed_2[Jemena],Calc_Fixed_2[[Customer type]:[Customer type]],"All")+SUMIFS(Calc_Fixed_2[Jemena],Calc_Fixed_2[[Customer type]:[Customer type]],$F268))</f>
        <v>253.02329470153958</v>
      </c>
      <c r="J267" s="73">
        <f>IF(J266=0,"-",SUMIFS(Calc_Fixed_2[Powercor],Calc_Fixed_2[[Customer type]:[Customer type]],"All")+SUMIFS(Calc_Fixed_2[Powercor],Calc_Fixed_2[[Customer type]:[Customer type]],$F268))</f>
        <v>256.83329470153956</v>
      </c>
      <c r="K267" s="73">
        <f>IF(K266=0,"-",SUMIFS(Calc_Fixed_2[United Energy],Calc_Fixed_2[[Customer type]:[Customer type]],"All")+SUMIFS(Calc_Fixed_2[United Energy],Calc_Fixed_2[[Customer type]:[Customer type]],$F268))</f>
        <v>241.75329470153957</v>
      </c>
    </row>
    <row r="268" spans="2:16" hidden="1" outlineLevel="2" x14ac:dyDescent="0.25">
      <c r="B268"/>
      <c r="C268" s="23" t="s">
        <v>203</v>
      </c>
      <c r="D268" s="23" t="s">
        <v>9</v>
      </c>
      <c r="E268" s="23" t="s">
        <v>109</v>
      </c>
      <c r="F268" s="23" t="s">
        <v>92</v>
      </c>
      <c r="G268" s="73" cm="1">
        <f t="array" ref="G268">IF(G266=0,"-",(G266+G267)*Calc_ROM_2[Ausnet])</f>
        <v>22.568054999972993</v>
      </c>
      <c r="H268" s="73" cm="1">
        <f t="array" ref="H268">IF(H266=0,"-",(H266+H267)*Calc_ROM_2[Citipower])</f>
        <v>21.033834599972995</v>
      </c>
      <c r="I268" s="73" cm="1">
        <f t="array" ref="I268">IF(I266=0,"-",(I266+I267)*Calc_ROM_2[Jemena])</f>
        <v>20.247245399972993</v>
      </c>
      <c r="J268" s="73" cm="1">
        <f t="array" ref="J268">IF(J266=0,"-",(J266+J267)*Calc_ROM_2[Powercor])</f>
        <v>23.96737199997299</v>
      </c>
      <c r="K268" s="73" cm="1">
        <f t="array" ref="K268">IF(K266=0,"-",(K266+K267)*Calc_ROM_2[United Energy])</f>
        <v>19.43438219997299</v>
      </c>
    </row>
    <row r="269" spans="2:16" hidden="1" outlineLevel="2" x14ac:dyDescent="0.25">
      <c r="B269"/>
      <c r="C269" s="23" t="s">
        <v>277</v>
      </c>
      <c r="D269" s="23" t="s">
        <v>9</v>
      </c>
      <c r="E269" s="23" t="s">
        <v>109</v>
      </c>
      <c r="F269" s="23" t="s">
        <v>92</v>
      </c>
      <c r="G269" s="73">
        <f>IF(G266=0,"-",(G266+G267+G268)*GST)</f>
        <v>39.621134970151267</v>
      </c>
      <c r="H269" s="73">
        <f>IF(H266=0,"-",(H266+H267+H268)*GST)</f>
        <v>36.927612930151263</v>
      </c>
      <c r="I269" s="73">
        <f>IF(I266=0,"-",(I266+I267+I268)*GST)</f>
        <v>35.546654010151258</v>
      </c>
      <c r="J269" s="73">
        <f>IF(J266=0,"-",(J266+J267+J268)*GST)</f>
        <v>42.077816670151257</v>
      </c>
      <c r="K269" s="73">
        <f>IF(K266=0,"-",(K266+K267+K268)*GST)</f>
        <v>34.119567690151257</v>
      </c>
    </row>
    <row r="270" spans="2:16" hidden="1" outlineLevel="2" x14ac:dyDescent="0.25">
      <c r="B270"/>
      <c r="C270" s="23" t="s">
        <v>278</v>
      </c>
      <c r="D270" s="23" t="s">
        <v>9</v>
      </c>
      <c r="E270" s="23" t="s">
        <v>109</v>
      </c>
      <c r="F270" s="23" t="s">
        <v>92</v>
      </c>
      <c r="G270" s="73">
        <f>IF(G266=0,"-",G266+G267+G268+G269)</f>
        <v>435.83248467166391</v>
      </c>
      <c r="H270" s="73">
        <f t="shared" ref="H270" si="46">IF(H266=0,"-",H266+H267+H268+H269)</f>
        <v>406.20374223166385</v>
      </c>
      <c r="I270" s="73">
        <f t="shared" ref="I270" si="47">IF(I266=0,"-",I266+I267+I268+I269)</f>
        <v>391.01319411166384</v>
      </c>
      <c r="J270" s="73">
        <f t="shared" ref="J270" si="48">IF(J266=0,"-",J266+J267+J268+J269)</f>
        <v>462.8559833716638</v>
      </c>
      <c r="K270" s="73">
        <f t="shared" ref="K270" si="49">IF(K266=0,"-",K266+K267+K268+K269)</f>
        <v>375.31524459166383</v>
      </c>
    </row>
    <row r="271" spans="2:16" hidden="1" outlineLevel="2" x14ac:dyDescent="0.25">
      <c r="B271"/>
      <c r="C271" s="23" t="str">
        <f>C265</f>
        <v>Anytime - supply</v>
      </c>
      <c r="D271" s="23" t="s">
        <v>9</v>
      </c>
      <c r="E271" s="23" t="s">
        <v>109</v>
      </c>
      <c r="F271" s="23" t="s">
        <v>92</v>
      </c>
      <c r="G271" s="74">
        <f>IF(G266=0,"-",G270/DiY)</f>
        <v>1.1940616018401751</v>
      </c>
      <c r="H271" s="74">
        <f>IF(H266=0,"-",H270/DiY)</f>
        <v>1.1128869650182571</v>
      </c>
      <c r="I271" s="74">
        <f>IF(I266=0,"-",I270/DiY)</f>
        <v>1.0712690249634627</v>
      </c>
      <c r="J271" s="74">
        <f>IF(J266=0,"-",J270/DiY)</f>
        <v>1.2680985845799009</v>
      </c>
      <c r="K271" s="74">
        <f>IF(K266=0,"-",K270/DiY)</f>
        <v>1.0282609440867503</v>
      </c>
    </row>
    <row r="272" spans="2:16" hidden="1" outlineLevel="2" x14ac:dyDescent="0.25">
      <c r="B272"/>
      <c r="G272" s="110" cm="1">
        <f t="array" ref="G272">IF(G266=0,"-",
IF($D$254='Lookup refs'!$D$25,
IF(G271=INDEX(RateCheck_VDO2021F[[Ausnet]:[United Energy]],MATCH(Calc_Rates!$C271&amp;"_"&amp;Calc_Rates!$F271,RateCheck_VDO2021F[Rate],0),MATCH(Calc_Rates!G$9,RateCheck_VDO2021F[[#Headers],[Ausnet]:[United Energy]],0)),0,1),
IF(ROUND(G271,8)=ROUND((((
SUMIFS(Calc_NetworkF_2[Ausnet],Calc_NetworkF_2[Cost item],$C265,Calc_NetworkF_2[Customer type],$F266)+
SUMIFS(Calc_Fixed_2[Ausnet],Calc_Fixed_2[Customer type],Calc_Rates!$F271)+
SUMIFS(Calc_Fixed_2[Ausnet],Calc_Fixed_2[Customer type],"All"))*(1+Calc_ROM_2[Ausnet]))*(1+GST))/DiY,8),0,1)))</f>
        <v>0</v>
      </c>
      <c r="H272" s="110" cm="1">
        <f t="array" ref="H272">IF(H266=0,"-",
IF($D$254='Lookup refs'!$D$25,
IF(H271=INDEX(RateCheck_VDO2021F[[Ausnet]:[United Energy]],MATCH(Calc_Rates!$C271&amp;"_"&amp;Calc_Rates!$F271,RateCheck_VDO2021F[Rate],0),MATCH(Calc_Rates!H$9,RateCheck_VDO2021F[[#Headers],[Ausnet]:[United Energy]],0)),0,1),
IF(ROUND(H271,8)=ROUND((((
SUMIFS(Calc_NetworkF_2[Citipower],Calc_NetworkF_2[Cost item],$C265,Calc_NetworkF_2[Customer type],$F266)+
SUMIFS(Calc_Fixed_2[Citipower],Calc_Fixed_2[Customer type],Calc_Rates!$F271)+
SUMIFS(Calc_Fixed_2[Citipower],Calc_Fixed_2[Customer type],"All"))*(1+Calc_ROM_2[Citipower]))*(1+GST))/DiY,8),0,1)))</f>
        <v>0</v>
      </c>
      <c r="I272" s="110" cm="1">
        <f t="array" ref="I272">IF(I266=0,"-",
IF($D$254='Lookup refs'!$D$25,
IF(I271=INDEX(RateCheck_VDO2021F[[Ausnet]:[United Energy]],MATCH(Calc_Rates!$C271&amp;"_"&amp;Calc_Rates!$F271,RateCheck_VDO2021F[Rate],0),MATCH(Calc_Rates!I$9,RateCheck_VDO2021F[[#Headers],[Ausnet]:[United Energy]],0)),0,1),
IF(ROUND(I271,8)=ROUND((((
SUMIFS(Calc_NetworkF_2[Jemena],Calc_NetworkF_2[Cost item],$C265,Calc_NetworkF_2[Customer type],$F266)+
SUMIFS(Calc_Fixed_2[Jemena],Calc_Fixed_2[Customer type],Calc_Rates!$F271)+
SUMIFS(Calc_Fixed_2[Jemena],Calc_Fixed_2[Customer type],"All"))*(1+Calc_ROM_2[Jemena]))*(1+GST))/DiY,8),0,1)))</f>
        <v>0</v>
      </c>
      <c r="J272" s="110" cm="1">
        <f t="array" ref="J272">IF(J266=0,"-",
IF($D$254='Lookup refs'!$D$25,
IF(J271=INDEX(RateCheck_VDO2021F[[Ausnet]:[United Energy]],MATCH(Calc_Rates!$C271&amp;"_"&amp;Calc_Rates!$F271,RateCheck_VDO2021F[[Rate]:[Rate]],0),MATCH(Calc_Rates!J$9,RateCheck_VDO2021F[[#Headers],[Ausnet]:[United Energy]],0)),0,1),
IF(ROUND(J271,8)=ROUND((((
SUMIFS(Calc_NetworkF_2[Powercor],Calc_NetworkF_2[[Cost item]:[Cost item]],$C265,Calc_NetworkF_2[[Customer type]:[Customer type]],$F266)+
SUMIFS(Calc_Fixed_2[Powercor],Calc_Fixed_2[[Customer type]:[Customer type]],Calc_Rates!$F271)+
SUMIFS(Calc_Fixed_2[Powercor],Calc_Fixed_2[[Customer type]:[Customer type]],"All"))*(1+Calc_ROM_2[Powercor]))*(1+GST))/DiY,8),0,1)))</f>
        <v>0</v>
      </c>
      <c r="K272" s="110" cm="1">
        <f t="array" ref="K272">IF(K266=0,"-",
IF($D$254='Lookup refs'!$D$25,
IF(K271=INDEX(RateCheck_VDO2021F[[Ausnet]:[United Energy]],MATCH(Calc_Rates!$C271&amp;"_"&amp;Calc_Rates!$F271,RateCheck_VDO2021F[[Rate]:[Rate]],0),MATCH(Calc_Rates!K$9,RateCheck_VDO2021F[[#Headers],[Ausnet]:[United Energy]],0)),0,1),
IF(ROUND(K271,8)=ROUND((((
SUMIFS(Calc_NetworkF_2[United Energy],Calc_NetworkF_2[[Cost item]:[Cost item]],$C265,Calc_NetworkF_2[[Customer type]:[Customer type]],$F266)+
SUMIFS(Calc_Fixed_2[United Energy],Calc_Fixed_2[[Customer type]:[Customer type]],Calc_Rates!$F271)+
SUMIFS(Calc_Fixed_2[United Energy],Calc_Fixed_2[[Customer type]:[Customer type]],"All"))*(1+Calc_ROM_2[United Energy]))*(1+GST))/DiY,8),0,1)))</f>
        <v>0</v>
      </c>
    </row>
    <row r="273" spans="2:11" ht="15.75" hidden="1" outlineLevel="2" x14ac:dyDescent="0.25">
      <c r="B273"/>
      <c r="C273" s="81" t="s">
        <v>551</v>
      </c>
    </row>
    <row r="274" spans="2:11" hidden="1" outlineLevel="2" x14ac:dyDescent="0.25">
      <c r="B274"/>
      <c r="C274" s="23" t="s">
        <v>286</v>
      </c>
      <c r="D274" s="23" t="s">
        <v>9</v>
      </c>
      <c r="E274" s="23" t="s">
        <v>109</v>
      </c>
      <c r="F274" s="23" t="s">
        <v>92</v>
      </c>
      <c r="G274" s="61">
        <f>SUMIFS(Calc_NetworkF_2[Ausnet],Calc_NetworkF_2[[Cost item]:[Cost item]],$C273,Calc_NetworkF_2[[Customer type]:[Customer type]],$F274)</f>
        <v>111.11</v>
      </c>
      <c r="H274" s="61">
        <f>SUMIFS(Calc_NetworkF_2[Citipower],Calc_NetworkF_2[[Cost item]:[Cost item]],$C273,Calc_NetworkF_2[[Customer type]:[Customer type]],$F274)</f>
        <v>90.009</v>
      </c>
      <c r="I274" s="61">
        <f>SUMIFS(Calc_NetworkF_2[Jemena],Calc_NetworkF_2[[Cost item]:[Cost item]],$C273,Calc_NetworkF_2[[Customer type]:[Customer type]],$F274)</f>
        <v>82.195999999999998</v>
      </c>
      <c r="J274" s="61">
        <f>SUMIFS(Calc_NetworkF_2[Powercor],Calc_NetworkF_2[[Cost item]:[Cost item]],$C273,Calc_NetworkF_2[[Customer type]:[Customer type]],$F274)</f>
        <v>139.97749999999999</v>
      </c>
      <c r="K274" s="61">
        <f>SUMIFS(Calc_NetworkF_2[United Energy],Calc_NetworkF_2[[Cost item]:[Cost item]],$C273,Calc_NetworkF_2[[Customer type]:[Customer type]],$F274)</f>
        <v>80.007999999999996</v>
      </c>
    </row>
    <row r="275" spans="2:11" hidden="1" outlineLevel="2" x14ac:dyDescent="0.25">
      <c r="B275"/>
      <c r="C275" s="23" t="s">
        <v>267</v>
      </c>
      <c r="D275" s="23" t="s">
        <v>9</v>
      </c>
      <c r="E275" s="23" t="s">
        <v>109</v>
      </c>
      <c r="F275" s="23" t="s">
        <v>92</v>
      </c>
      <c r="G275" s="73">
        <f>IF(G274=0,"-",SUMIFS(Calc_Fixed_2[Ausnet],Calc_Fixed_2[[Customer type]:[Customer type]],"All")+SUMIFS(Calc_Fixed_2[Ausnet],Calc_Fixed_2[[Customer type]:[Customer type]],$F275))</f>
        <v>262.5332947015396</v>
      </c>
      <c r="H275" s="73">
        <f>IF(H274=0,"-",SUMIFS(Calc_Fixed_2[Citipower],Calc_Fixed_2[[Customer type]:[Customer type]],"All")+SUMIFS(Calc_Fixed_2[Citipower],Calc_Fixed_2[[Customer type]:[Customer type]],$F276))</f>
        <v>258.23329470153959</v>
      </c>
      <c r="I275" s="73">
        <f>IF(I274=0,"-",SUMIFS(Calc_Fixed_2[Jemena],Calc_Fixed_2[[Customer type]:[Customer type]],"All")+SUMIFS(Calc_Fixed_2[Jemena],Calc_Fixed_2[[Customer type]:[Customer type]],$F276))</f>
        <v>253.02329470153958</v>
      </c>
      <c r="J275" s="73">
        <f>IF(J274=0,"-",SUMIFS(Calc_Fixed_2[Powercor],Calc_Fixed_2[[Customer type]:[Customer type]],"All")+SUMIFS(Calc_Fixed_2[Powercor],Calc_Fixed_2[[Customer type]:[Customer type]],$F276))</f>
        <v>256.83329470153956</v>
      </c>
      <c r="K275" s="73">
        <f>IF(K274=0,"-",SUMIFS(Calc_Fixed_2[United Energy],Calc_Fixed_2[[Customer type]:[Customer type]],"All")+SUMIFS(Calc_Fixed_2[United Energy],Calc_Fixed_2[[Customer type]:[Customer type]],$F276))</f>
        <v>241.75329470153957</v>
      </c>
    </row>
    <row r="276" spans="2:11" hidden="1" outlineLevel="2" x14ac:dyDescent="0.25">
      <c r="B276"/>
      <c r="C276" s="23" t="s">
        <v>203</v>
      </c>
      <c r="D276" s="23" t="s">
        <v>9</v>
      </c>
      <c r="E276" s="23" t="s">
        <v>109</v>
      </c>
      <c r="F276" s="23" t="s">
        <v>92</v>
      </c>
      <c r="G276" s="73" cm="1">
        <f t="array" ref="G276">IF(G274=0,"-",(G274+G275)*Calc_ROM_2[Ausnet])</f>
        <v>22.568054999972993</v>
      </c>
      <c r="H276" s="73" cm="1">
        <f t="array" ref="H276">IF(H274=0,"-",(H274+H275)*Calc_ROM_2[Citipower])</f>
        <v>21.033834599972995</v>
      </c>
      <c r="I276" s="73" cm="1">
        <f t="array" ref="I276">IF(I274=0,"-",(I274+I275)*Calc_ROM_2[Jemena])</f>
        <v>20.247245399972993</v>
      </c>
      <c r="J276" s="73" cm="1">
        <f t="array" ref="J276">IF(J274=0,"-",(J274+J275)*Calc_ROM_2[Powercor])</f>
        <v>23.96737199997299</v>
      </c>
      <c r="K276" s="73" cm="1">
        <f t="array" ref="K276">IF(K274=0,"-",(K274+K275)*Calc_ROM_2[United Energy])</f>
        <v>19.43438219997299</v>
      </c>
    </row>
    <row r="277" spans="2:11" hidden="1" outlineLevel="2" x14ac:dyDescent="0.25">
      <c r="B277"/>
      <c r="C277" s="23" t="s">
        <v>277</v>
      </c>
      <c r="D277" s="23" t="s">
        <v>9</v>
      </c>
      <c r="E277" s="23" t="s">
        <v>109</v>
      </c>
      <c r="F277" s="23" t="s">
        <v>92</v>
      </c>
      <c r="G277" s="73">
        <f>IF(G274=0,"-",(G274+G275+G276)*GST)</f>
        <v>39.621134970151267</v>
      </c>
      <c r="H277" s="73">
        <f>IF(H274=0,"-",(H274+H275+H276)*GST)</f>
        <v>36.927612930151263</v>
      </c>
      <c r="I277" s="73">
        <f>IF(I274=0,"-",(I274+I275+I276)*GST)</f>
        <v>35.546654010151258</v>
      </c>
      <c r="J277" s="73">
        <f>IF(J274=0,"-",(J274+J275+J276)*GST)</f>
        <v>42.077816670151257</v>
      </c>
      <c r="K277" s="73">
        <f>IF(K274=0,"-",(K274+K275+K276)*GST)</f>
        <v>34.119567690151257</v>
      </c>
    </row>
    <row r="278" spans="2:11" hidden="1" outlineLevel="2" x14ac:dyDescent="0.25">
      <c r="B278"/>
      <c r="C278" s="23" t="s">
        <v>278</v>
      </c>
      <c r="D278" s="23" t="s">
        <v>9</v>
      </c>
      <c r="E278" s="23" t="s">
        <v>109</v>
      </c>
      <c r="F278" s="23" t="s">
        <v>92</v>
      </c>
      <c r="G278" s="73">
        <f>IF(G274=0,"-",G274+G275+G276+G277)</f>
        <v>435.83248467166391</v>
      </c>
      <c r="H278" s="73">
        <f t="shared" ref="H278" si="50">IF(H274=0,"-",H274+H275+H276+H277)</f>
        <v>406.20374223166385</v>
      </c>
      <c r="I278" s="73">
        <f t="shared" ref="I278" si="51">IF(I274=0,"-",I274+I275+I276+I277)</f>
        <v>391.01319411166384</v>
      </c>
      <c r="J278" s="73">
        <f t="shared" ref="J278" si="52">IF(J274=0,"-",J274+J275+J276+J277)</f>
        <v>462.8559833716638</v>
      </c>
      <c r="K278" s="73">
        <f t="shared" ref="K278" si="53">IF(K274=0,"-",K274+K275+K276+K277)</f>
        <v>375.31524459166383</v>
      </c>
    </row>
    <row r="279" spans="2:11" hidden="1" outlineLevel="2" x14ac:dyDescent="0.25">
      <c r="B279"/>
      <c r="C279" s="23" t="str">
        <f>C273</f>
        <v>TOU - supply</v>
      </c>
      <c r="D279" s="23" t="s">
        <v>9</v>
      </c>
      <c r="E279" s="23" t="s">
        <v>109</v>
      </c>
      <c r="F279" s="23" t="s">
        <v>92</v>
      </c>
      <c r="G279" s="74">
        <f>IF(G274=0,"-",G278/DiY)</f>
        <v>1.1940616018401751</v>
      </c>
      <c r="H279" s="74">
        <f>IF(H274=0,"-",H278/DiY)</f>
        <v>1.1128869650182571</v>
      </c>
      <c r="I279" s="74">
        <f>IF(I274=0,"-",I278/DiY)</f>
        <v>1.0712690249634627</v>
      </c>
      <c r="J279" s="74">
        <f>IF(J274=0,"-",J278/DiY)</f>
        <v>1.2680985845799009</v>
      </c>
      <c r="K279" s="74">
        <f>IF(K274=0,"-",K278/DiY)</f>
        <v>1.0282609440867503</v>
      </c>
    </row>
    <row r="280" spans="2:11" hidden="1" outlineLevel="2" x14ac:dyDescent="0.25">
      <c r="B280"/>
      <c r="G280" s="110" cm="1">
        <f t="array" ref="G280">IF(G274=0,"-",
IF($D$254='Lookup refs'!$D$25,
IF(G279=INDEX(RateCheck_VDO2021F[[Ausnet]:[United Energy]],MATCH(Calc_Rates!$C279&amp;"_"&amp;Calc_Rates!$F279,RateCheck_VDO2021F[Rate],0),MATCH(Calc_Rates!G$9,RateCheck_VDO2021F[[#Headers],[Ausnet]:[United Energy]],0)),0,1),
IF(ROUND(G279,8)=ROUND((((
SUMIFS(Calc_NetworkF_2[Ausnet],Calc_NetworkF_2[Cost item],$C273,Calc_NetworkF_2[Customer type],$F274)+
SUMIFS(Calc_Fixed_2[Ausnet],Calc_Fixed_2[Customer type],Calc_Rates!$F279)+
SUMIFS(Calc_Fixed_2[Ausnet],Calc_Fixed_2[Customer type],"All"))*(1+Calc_ROM_2[Ausnet]))*(1+GST))/DiY,8),0,1)))</f>
        <v>0</v>
      </c>
      <c r="H280" s="110" cm="1">
        <f t="array" ref="H280">IF(H274=0,"-",
IF($D$254='Lookup refs'!$D$25,
IF(H279=INDEX(RateCheck_VDO2021F[[Ausnet]:[United Energy]],MATCH(Calc_Rates!$C279&amp;"_"&amp;Calc_Rates!$F279,RateCheck_VDO2021F[Rate],0),MATCH(Calc_Rates!H$9,RateCheck_VDO2021F[[#Headers],[Ausnet]:[United Energy]],0)),0,1),
IF(ROUND(H279,8)=ROUND((((
SUMIFS(Calc_NetworkF_2[Citipower],Calc_NetworkF_2[Cost item],$C273,Calc_NetworkF_2[Customer type],$F274)+
SUMIFS(Calc_Fixed_2[Citipower],Calc_Fixed_2[Customer type],Calc_Rates!$F279)+
SUMIFS(Calc_Fixed_2[Citipower],Calc_Fixed_2[Customer type],"All"))*(1+Calc_ROM_2[Citipower]))*(1+GST))/DiY,8),0,1)))</f>
        <v>0</v>
      </c>
      <c r="I280" s="110" cm="1">
        <f t="array" ref="I280">IF(I274=0,"-",
IF($D$254='Lookup refs'!$D$25,
IF(I279=INDEX(RateCheck_VDO2021F[[Ausnet]:[United Energy]],MATCH(Calc_Rates!$C279&amp;"_"&amp;Calc_Rates!$F279,RateCheck_VDO2021F[[Rate]:[Rate]],0),MATCH(Calc_Rates!I$9,RateCheck_VDO2021F[[#Headers],[Ausnet]:[United Energy]],0)),0,1),
IF(ROUND(I279,8)=ROUND((((
SUMIFS(Calc_NetworkF_2[Jemena],Calc_NetworkF_2[[Cost item]:[Cost item]],$C273,Calc_NetworkF_2[[Customer type]:[Customer type]],$F274)+
SUMIFS(Calc_Fixed_2[Jemena],Calc_Fixed_2[[Customer type]:[Customer type]],Calc_Rates!$F279)+
SUMIFS(Calc_Fixed_2[Jemena],Calc_Fixed_2[[Customer type]:[Customer type]],"All"))*(1+Calc_ROM_2[Jemena]))*(1+GST))/DiY,8),0,1)))</f>
        <v>0</v>
      </c>
      <c r="J280" s="110" cm="1">
        <f t="array" ref="J280">IF(J274=0,"-",
IF($D$254='Lookup refs'!$D$25,
IF(J279=INDEX(RateCheck_VDO2021F[[Ausnet]:[United Energy]],MATCH(Calc_Rates!$C279&amp;"_"&amp;Calc_Rates!$F279,RateCheck_VDO2021F[[Rate]:[Rate]],0),MATCH(Calc_Rates!J$9,RateCheck_VDO2021F[[#Headers],[Ausnet]:[United Energy]],0)),0,1),
IF(ROUND(J279,8)=ROUND((((
SUMIFS(Calc_NetworkF_2[Powercor],Calc_NetworkF_2[[Cost item]:[Cost item]],$C273,Calc_NetworkF_2[[Customer type]:[Customer type]],$F274)+
SUMIFS(Calc_Fixed_2[Powercor],Calc_Fixed_2[[Customer type]:[Customer type]],Calc_Rates!$F279)+
SUMIFS(Calc_Fixed_2[Powercor],Calc_Fixed_2[[Customer type]:[Customer type]],"All"))*(1+Calc_ROM_2[Powercor]))*(1+GST))/DiY,8),0,1)))</f>
        <v>0</v>
      </c>
      <c r="K280" s="110" cm="1">
        <f t="array" ref="K280">IF(K274=0,"-",
IF($D$254='Lookup refs'!$D$25,
IF(K279=INDEX(RateCheck_VDO2021F[[Ausnet]:[United Energy]],MATCH(Calc_Rates!$C279&amp;"_"&amp;Calc_Rates!$F279,RateCheck_VDO2021F[[Rate]:[Rate]],0),MATCH(Calc_Rates!K$9,RateCheck_VDO2021F[[#Headers],[Ausnet]:[United Energy]],0)),0,1),
IF(ROUND(K279,8)=ROUND((((
SUMIFS(Calc_NetworkF_2[United Energy],Calc_NetworkF_2[[Cost item]:[Cost item]],$C273,Calc_NetworkF_2[[Customer type]:[Customer type]],$F274)+
SUMIFS(Calc_Fixed_2[United Energy],Calc_Fixed_2[[Customer type]:[Customer type]],Calc_Rates!$F279)+
SUMIFS(Calc_Fixed_2[United Energy],Calc_Fixed_2[[Customer type]:[Customer type]],"All"))*(1+Calc_ROM_2[United Energy]))*(1+GST))/DiY,8),0,1)))</f>
        <v>0</v>
      </c>
    </row>
    <row r="281" spans="2:11" ht="15.75" hidden="1" outlineLevel="1" collapsed="1" x14ac:dyDescent="0.25">
      <c r="B281"/>
      <c r="C281" s="29" t="s">
        <v>279</v>
      </c>
    </row>
    <row r="282" spans="2:11" ht="15.75" hidden="1" outlineLevel="2" x14ac:dyDescent="0.25">
      <c r="B282"/>
      <c r="C282" s="81" t="s">
        <v>550</v>
      </c>
    </row>
    <row r="283" spans="2:11" hidden="1" outlineLevel="2" x14ac:dyDescent="0.25">
      <c r="B283"/>
      <c r="C283" s="23" t="s">
        <v>286</v>
      </c>
      <c r="D283" s="23" t="s">
        <v>9</v>
      </c>
      <c r="E283" s="23" t="s">
        <v>109</v>
      </c>
      <c r="F283" s="23" t="s">
        <v>93</v>
      </c>
      <c r="G283" s="61">
        <f>SUMIFS(Calc_NetworkF_2[Ausnet],Calc_NetworkF_2[[Cost item]:[Cost item]],$C282,Calc_NetworkF_2[[Customer type]:[Customer type]],$F283)</f>
        <v>111.11</v>
      </c>
      <c r="H283" s="61">
        <f>SUMIFS(Calc_NetworkF_2[Citipower],Calc_NetworkF_2[[Cost item]:[Cost item]],$C282,Calc_NetworkF_2[[Customer type]:[Customer type]],$F283)</f>
        <v>160.01599999999999</v>
      </c>
      <c r="I283" s="61">
        <f>SUMIFS(Calc_NetworkF_2[Jemena],Calc_NetworkF_2[[Cost item]:[Cost item]],$C282,Calc_NetworkF_2[[Customer type]:[Customer type]],$F283)</f>
        <v>134.46600000000001</v>
      </c>
      <c r="J283" s="61">
        <f>SUMIFS(Calc_NetworkF_2[Powercor],Calc_NetworkF_2[[Cost item]:[Cost item]],$C282,Calc_NetworkF_2[[Customer type]:[Customer type]],$F283)</f>
        <v>179.98150000000001</v>
      </c>
      <c r="K283" s="61">
        <f>SUMIFS(Calc_NetworkF_2[United Energy],Calc_NetworkF_2[[Cost item]:[Cost item]],$C282,Calc_NetworkF_2[[Customer type]:[Customer type]],$F283)</f>
        <v>120.01199999999999</v>
      </c>
    </row>
    <row r="284" spans="2:11" hidden="1" outlineLevel="2" x14ac:dyDescent="0.25">
      <c r="B284"/>
      <c r="C284" s="23" t="s">
        <v>267</v>
      </c>
      <c r="D284" s="23" t="s">
        <v>9</v>
      </c>
      <c r="E284" s="23" t="s">
        <v>109</v>
      </c>
      <c r="F284" s="23" t="s">
        <v>93</v>
      </c>
      <c r="G284" s="73">
        <f>IF(G283=0,"-",SUMIFS(Calc_Fixed_2[Ausnet],Calc_Fixed_2[[Customer type]:[Customer type]],"All")+SUMIFS(Calc_Fixed_2[Ausnet],Calc_Fixed_2[[Customer type]:[Customer type]],$F284))</f>
        <v>262.5332947015396</v>
      </c>
      <c r="H284" s="73">
        <f>IF(H283=0,"-",SUMIFS(Calc_Fixed_2[Citipower],Calc_Fixed_2[[Customer type]:[Customer type]],"All")+SUMIFS(Calc_Fixed_2[Citipower],Calc_Fixed_2[[Customer type]:[Customer type]],$F285))</f>
        <v>258.23329470153959</v>
      </c>
      <c r="I284" s="73">
        <f>IF(I283=0,"-",SUMIFS(Calc_Fixed_2[Jemena],Calc_Fixed_2[[Customer type]:[Customer type]],"All")+SUMIFS(Calc_Fixed_2[Jemena],Calc_Fixed_2[[Customer type]:[Customer type]],$F285))</f>
        <v>253.02329470153958</v>
      </c>
      <c r="J284" s="73">
        <f>IF(J283=0,"-",SUMIFS(Calc_Fixed_2[Powercor],Calc_Fixed_2[[Customer type]:[Customer type]],"All")+SUMIFS(Calc_Fixed_2[Powercor],Calc_Fixed_2[[Customer type]:[Customer type]],$F285))</f>
        <v>256.83329470153956</v>
      </c>
      <c r="K284" s="73">
        <f>IF(K283=0,"-",SUMIFS(Calc_Fixed_2[United Energy],Calc_Fixed_2[[Customer type]:[Customer type]],"All")+SUMIFS(Calc_Fixed_2[United Energy],Calc_Fixed_2[[Customer type]:[Customer type]],$F285))</f>
        <v>241.75329470153957</v>
      </c>
    </row>
    <row r="285" spans="2:11" hidden="1" outlineLevel="2" x14ac:dyDescent="0.25">
      <c r="B285"/>
      <c r="C285" s="23" t="s">
        <v>203</v>
      </c>
      <c r="D285" s="23" t="s">
        <v>9</v>
      </c>
      <c r="E285" s="23" t="s">
        <v>109</v>
      </c>
      <c r="F285" s="23" t="s">
        <v>93</v>
      </c>
      <c r="G285" s="73" cm="1">
        <f t="array" ref="G285">IF(G283=0,"-",(G283+G284)*Calc_ROM_2[Ausnet])</f>
        <v>22.568054999972993</v>
      </c>
      <c r="H285" s="73" cm="1">
        <f t="array" ref="H285">IF(H283=0,"-",(H283+H284)*Calc_ROM_2[Citipower])</f>
        <v>25.262257399972995</v>
      </c>
      <c r="I285" s="73" cm="1">
        <f t="array" ref="I285">IF(I283=0,"-",(I283+I284)*Calc_ROM_2[Jemena])</f>
        <v>23.404353399972994</v>
      </c>
      <c r="J285" s="73" cm="1">
        <f t="array" ref="J285">IF(J283=0,"-",(J283+J284)*Calc_ROM_2[Powercor])</f>
        <v>26.383613599972989</v>
      </c>
      <c r="K285" s="73" cm="1">
        <f t="array" ref="K285">IF(K283=0,"-",(K283+K284)*Calc_ROM_2[United Energy])</f>
        <v>21.85062379997299</v>
      </c>
    </row>
    <row r="286" spans="2:11" hidden="1" outlineLevel="2" x14ac:dyDescent="0.25">
      <c r="B286"/>
      <c r="C286" s="23" t="s">
        <v>277</v>
      </c>
      <c r="D286" s="23" t="s">
        <v>9</v>
      </c>
      <c r="E286" s="23" t="s">
        <v>109</v>
      </c>
      <c r="F286" s="23" t="s">
        <v>93</v>
      </c>
      <c r="G286" s="73">
        <f>IF(G283=0,"-",(G283+G284+G285)*GST)</f>
        <v>39.621134970151267</v>
      </c>
      <c r="H286" s="73">
        <f>IF(H283=0,"-",(H283+H284+H285)*GST)</f>
        <v>44.351155210151262</v>
      </c>
      <c r="I286" s="73">
        <f>IF(I283=0,"-",(I283+I284+I285)*GST)</f>
        <v>41.089364810151267</v>
      </c>
      <c r="J286" s="73">
        <f>IF(J283=0,"-",(J283+J284+J285)*GST)</f>
        <v>46.319840830151257</v>
      </c>
      <c r="K286" s="73">
        <f>IF(K283=0,"-",(K283+K284+K285)*GST)</f>
        <v>38.361591850151257</v>
      </c>
    </row>
    <row r="287" spans="2:11" hidden="1" outlineLevel="2" x14ac:dyDescent="0.25">
      <c r="B287"/>
      <c r="C287" s="23" t="s">
        <v>278</v>
      </c>
      <c r="D287" s="23" t="s">
        <v>9</v>
      </c>
      <c r="E287" s="23" t="s">
        <v>109</v>
      </c>
      <c r="F287" s="23" t="s">
        <v>93</v>
      </c>
      <c r="G287" s="73">
        <f>IF(G283=0,"-",G283+G284+G285+G286)</f>
        <v>435.83248467166391</v>
      </c>
      <c r="H287" s="73">
        <f t="shared" ref="H287" si="54">IF(H283=0,"-",H283+H284+H285+H286)</f>
        <v>487.86270731166388</v>
      </c>
      <c r="I287" s="73">
        <f t="shared" ref="I287" si="55">IF(I283=0,"-",I283+I284+I285+I286)</f>
        <v>451.98301291166388</v>
      </c>
      <c r="J287" s="73">
        <f t="shared" ref="J287" si="56">IF(J283=0,"-",J283+J284+J285+J286)</f>
        <v>509.51824913166377</v>
      </c>
      <c r="K287" s="73">
        <f t="shared" ref="K287" si="57">IF(K283=0,"-",K283+K284+K285+K286)</f>
        <v>421.9775103516638</v>
      </c>
    </row>
    <row r="288" spans="2:11" hidden="1" outlineLevel="2" x14ac:dyDescent="0.25">
      <c r="B288"/>
      <c r="C288" s="23" t="str">
        <f>C282</f>
        <v>Anytime - supply</v>
      </c>
      <c r="D288" s="23" t="s">
        <v>9</v>
      </c>
      <c r="E288" s="23" t="s">
        <v>109</v>
      </c>
      <c r="F288" s="23" t="s">
        <v>93</v>
      </c>
      <c r="G288" s="74">
        <f>IF(G283=0,"-",G287/DiY)</f>
        <v>1.1940616018401751</v>
      </c>
      <c r="H288" s="74">
        <f>IF(H283=0,"-",H287/DiY)</f>
        <v>1.3366101570182571</v>
      </c>
      <c r="I288" s="74">
        <f>IF(I283=0,"-",I287/DiY)</f>
        <v>1.2383096244155174</v>
      </c>
      <c r="J288" s="74">
        <f>IF(J283=0,"-",J287/DiY)</f>
        <v>1.3959404085799008</v>
      </c>
      <c r="K288" s="74">
        <f>IF(K283=0,"-",K287/DiY)</f>
        <v>1.1561027680867502</v>
      </c>
    </row>
    <row r="289" spans="2:14" hidden="1" outlineLevel="2" x14ac:dyDescent="0.25">
      <c r="B289"/>
      <c r="G289" s="110" cm="1">
        <f t="array" ref="G289">IF(G283=0,"-",
IF($D$254='Lookup refs'!$D$25,
IF(G288=INDEX(RateCheck_VDO2021F[[Ausnet]:[United Energy]],MATCH(Calc_Rates!$C288&amp;"_"&amp;Calc_Rates!$F288,RateCheck_VDO2021F[Rate],0),MATCH(Calc_Rates!G$9,RateCheck_VDO2021F[[#Headers],[Ausnet]:[United Energy]],0)),0,1),
IF(ROUND(G288,8)=ROUND((((
SUMIFS(Calc_NetworkF_2[Ausnet],Calc_NetworkF_2[Cost item],$C282,Calc_NetworkF_2[Customer type],$F283)+
SUMIFS(Calc_Fixed_2[Ausnet],Calc_Fixed_2[Customer type],Calc_Rates!$F288)+
SUMIFS(Calc_Fixed_2[Ausnet],Calc_Fixed_2[Customer type],"All"))*(1+Calc_ROM_2[Ausnet]))*(1+GST))/DiY,8),0,1)))</f>
        <v>0</v>
      </c>
      <c r="H289" s="110" cm="1">
        <f t="array" ref="H289">IF(H283=0,"-",
IF($D$254='Lookup refs'!$D$25,
IF(H288=INDEX(RateCheck_VDO2021F[[Ausnet]:[United Energy]],MATCH(Calc_Rates!$C288&amp;"_"&amp;Calc_Rates!$F288,RateCheck_VDO2021F[Rate],0),MATCH(Calc_Rates!H$9,RateCheck_VDO2021F[[#Headers],[Ausnet]:[United Energy]],0)),0,1),
IF(ROUND(H288,8)=ROUND((((
SUMIFS(Calc_NetworkF_2[Citipower],Calc_NetworkF_2[Cost item],$C282,Calc_NetworkF_2[Customer type],$F283)+
SUMIFS(Calc_Fixed_2[Citipower],Calc_Fixed_2[Customer type],Calc_Rates!$F288)+
SUMIFS(Calc_Fixed_2[Citipower],Calc_Fixed_2[Customer type],"All"))*(1+Calc_ROM_2[Citipower]))*(1+GST))/DiY,8),0,1)))</f>
        <v>0</v>
      </c>
      <c r="I289" s="110" cm="1">
        <f t="array" ref="I289">IF(I283=0,"-",
IF($D$254='Lookup refs'!$D$25,
IF(I288=INDEX(RateCheck_VDO2021F[[Ausnet]:[United Energy]],MATCH(Calc_Rates!$C288&amp;"_"&amp;Calc_Rates!$F288,RateCheck_VDO2021F[[Rate]:[Rate]],0),MATCH(Calc_Rates!I$9,RateCheck_VDO2021F[[#Headers],[Ausnet]:[United Energy]],0)),0,1),
IF(ROUND(I288,8)=ROUND((((
SUMIFS(Calc_NetworkF_2[Jemena],Calc_NetworkF_2[[Cost item]:[Cost item]],$C282,Calc_NetworkF_2[[Customer type]:[Customer type]],$F283)+
SUMIFS(Calc_Fixed_2[Jemena],Calc_Fixed_2[[Customer type]:[Customer type]],Calc_Rates!$F288)+
SUMIFS(Calc_Fixed_2[Jemena],Calc_Fixed_2[[Customer type]:[Customer type]],"All"))*(1+Calc_ROM_2[Jemena]))*(1+GST))/DiY,8),0,1)))</f>
        <v>0</v>
      </c>
      <c r="J289" s="110" cm="1">
        <f t="array" ref="J289">IF(J283=0,"-",
IF($D$254='Lookup refs'!$D$25,
IF(J288=INDEX(RateCheck_VDO2021F[[Ausnet]:[United Energy]],MATCH(Calc_Rates!$C288&amp;"_"&amp;Calc_Rates!$F288,RateCheck_VDO2021F[[Rate]:[Rate]],0),MATCH(Calc_Rates!J$9,RateCheck_VDO2021F[[#Headers],[Ausnet]:[United Energy]],0)),0,1),
IF(ROUND(J288,8)=ROUND((((
SUMIFS(Calc_NetworkF_2[Powercor],Calc_NetworkF_2[[Cost item]:[Cost item]],$C282,Calc_NetworkF_2[[Customer type]:[Customer type]],$F283)+
SUMIFS(Calc_Fixed_2[Powercor],Calc_Fixed_2[[Customer type]:[Customer type]],Calc_Rates!$F288)+
SUMIFS(Calc_Fixed_2[Powercor],Calc_Fixed_2[[Customer type]:[Customer type]],"All"))*(1+Calc_ROM_2[Powercor]))*(1+GST))/DiY,8),0,1)))</f>
        <v>0</v>
      </c>
      <c r="K289" s="110" cm="1">
        <f t="array" ref="K289">IF(K283=0,"-",
IF($D$254='Lookup refs'!$D$25,
IF(K288=INDEX(RateCheck_VDO2021F[[Ausnet]:[United Energy]],MATCH(Calc_Rates!$C288&amp;"_"&amp;Calc_Rates!$F288,RateCheck_VDO2021F[[Rate]:[Rate]],0),MATCH(Calc_Rates!K$9,RateCheck_VDO2021F[[#Headers],[Ausnet]:[United Energy]],0)),0,1),
IF(ROUND(K288,8)=ROUND((((
SUMIFS(Calc_NetworkF_2[United Energy],Calc_NetworkF_2[[Cost item]:[Cost item]],$C282,Calc_NetworkF_2[[Customer type]:[Customer type]],$F283)+
SUMIFS(Calc_Fixed_2[United Energy],Calc_Fixed_2[[Customer type]:[Customer type]],Calc_Rates!$F288)+
SUMIFS(Calc_Fixed_2[United Energy],Calc_Fixed_2[[Customer type]:[Customer type]],"All"))*(1+Calc_ROM_2[United Energy]))*(1+GST))/DiY,8),0,1)))</f>
        <v>0</v>
      </c>
    </row>
    <row r="290" spans="2:14" ht="15.75" hidden="1" outlineLevel="2" x14ac:dyDescent="0.25">
      <c r="B290"/>
      <c r="C290" s="81" t="s">
        <v>551</v>
      </c>
    </row>
    <row r="291" spans="2:14" hidden="1" outlineLevel="2" x14ac:dyDescent="0.25">
      <c r="B291"/>
      <c r="C291" s="23" t="s">
        <v>286</v>
      </c>
      <c r="D291" s="23" t="s">
        <v>9</v>
      </c>
      <c r="E291" s="23" t="s">
        <v>109</v>
      </c>
      <c r="F291" s="23" t="s">
        <v>93</v>
      </c>
      <c r="G291" s="61">
        <f>SUMIFS(Calc_NetworkF_2[Ausnet],Calc_NetworkF_2[[Cost item]:[Cost item]],$C290,Calc_NetworkF_2[[Customer type]:[Customer type]],$F291)</f>
        <v>111.11</v>
      </c>
      <c r="H291" s="61">
        <f>SUMIFS(Calc_NetworkF_2[Citipower],Calc_NetworkF_2[[Cost item]:[Cost item]],$C290,Calc_NetworkF_2[[Customer type]:[Customer type]],$F291)</f>
        <v>160.01599999999999</v>
      </c>
      <c r="I291" s="61">
        <f>SUMIFS(Calc_NetworkF_2[Jemena],Calc_NetworkF_2[[Cost item]:[Cost item]],$C290,Calc_NetworkF_2[[Customer type]:[Customer type]],$F291)</f>
        <v>242.124</v>
      </c>
      <c r="J291" s="61">
        <f>SUMIFS(Calc_NetworkF_2[Powercor],Calc_NetworkF_2[[Cost item]:[Cost item]],$C290,Calc_NetworkF_2[[Customer type]:[Customer type]],$F291)</f>
        <v>179.98150000000001</v>
      </c>
      <c r="K291" s="61">
        <f>SUMIFS(Calc_NetworkF_2[United Energy],Calc_NetworkF_2[[Cost item]:[Cost item]],$C290,Calc_NetworkF_2[[Customer type]:[Customer type]],$F291)</f>
        <v>120.01199999999999</v>
      </c>
    </row>
    <row r="292" spans="2:14" hidden="1" outlineLevel="2" x14ac:dyDescent="0.25">
      <c r="B292"/>
      <c r="C292" s="23" t="s">
        <v>267</v>
      </c>
      <c r="D292" s="23" t="s">
        <v>9</v>
      </c>
      <c r="E292" s="23" t="s">
        <v>109</v>
      </c>
      <c r="F292" s="23" t="s">
        <v>93</v>
      </c>
      <c r="G292" s="73">
        <f>IF(G291=0,"-",SUMIFS(Calc_Fixed_2[Ausnet],Calc_Fixed_2[[Customer type]:[Customer type]],"All")+SUMIFS(Calc_Fixed_2[Ausnet],Calc_Fixed_2[[Customer type]:[Customer type]],$F292))</f>
        <v>262.5332947015396</v>
      </c>
      <c r="H292" s="73">
        <f>IF(H291=0,"-",SUMIFS(Calc_Fixed_2[Citipower],Calc_Fixed_2[[Customer type]:[Customer type]],"All")+SUMIFS(Calc_Fixed_2[Citipower],Calc_Fixed_2[[Customer type]:[Customer type]],$F293))</f>
        <v>258.23329470153959</v>
      </c>
      <c r="I292" s="73">
        <f>IF(I291=0,"-",SUMIFS(Calc_Fixed_2[Jemena],Calc_Fixed_2[[Customer type]:[Customer type]],"All")+SUMIFS(Calc_Fixed_2[Jemena],Calc_Fixed_2[[Customer type]:[Customer type]],$F293))</f>
        <v>253.02329470153958</v>
      </c>
      <c r="J292" s="73">
        <f>IF(J291=0,"-",SUMIFS(Calc_Fixed_2[Powercor],Calc_Fixed_2[[Customer type]:[Customer type]],"All")+SUMIFS(Calc_Fixed_2[Powercor],Calc_Fixed_2[[Customer type]:[Customer type]],$F293))</f>
        <v>256.83329470153956</v>
      </c>
      <c r="K292" s="73">
        <f>IF(K291=0,"-",SUMIFS(Calc_Fixed_2[United Energy],Calc_Fixed_2[[Customer type]:[Customer type]],"All")+SUMIFS(Calc_Fixed_2[United Energy],Calc_Fixed_2[[Customer type]:[Customer type]],$F293))</f>
        <v>241.75329470153957</v>
      </c>
    </row>
    <row r="293" spans="2:14" hidden="1" outlineLevel="2" x14ac:dyDescent="0.25">
      <c r="B293"/>
      <c r="C293" s="23" t="s">
        <v>203</v>
      </c>
      <c r="D293" s="23" t="s">
        <v>9</v>
      </c>
      <c r="E293" s="23" t="s">
        <v>109</v>
      </c>
      <c r="F293" s="23" t="s">
        <v>93</v>
      </c>
      <c r="G293" s="73" cm="1">
        <f t="array" ref="G293">IF(G291=0,"-",(G291+G292)*Calc_ROM_2[Ausnet])</f>
        <v>22.568054999972993</v>
      </c>
      <c r="H293" s="73" cm="1">
        <f t="array" ref="H293">IF(H291=0,"-",(H291+H292)*Calc_ROM_2[Citipower])</f>
        <v>25.262257399972995</v>
      </c>
      <c r="I293" s="73" cm="1">
        <f t="array" ref="I293">IF(I291=0,"-",(I291+I292)*Calc_ROM_2[Jemena])</f>
        <v>29.906896599972992</v>
      </c>
      <c r="J293" s="73" cm="1">
        <f t="array" ref="J293">IF(J291=0,"-",(J291+J292)*Calc_ROM_2[Powercor])</f>
        <v>26.383613599972989</v>
      </c>
      <c r="K293" s="73" cm="1">
        <f t="array" ref="K293">IF(K291=0,"-",(K291+K292)*Calc_ROM_2[United Energy])</f>
        <v>21.85062379997299</v>
      </c>
    </row>
    <row r="294" spans="2:14" hidden="1" outlineLevel="2" x14ac:dyDescent="0.25">
      <c r="B294"/>
      <c r="C294" s="23" t="s">
        <v>277</v>
      </c>
      <c r="D294" s="23" t="s">
        <v>9</v>
      </c>
      <c r="E294" s="23" t="s">
        <v>109</v>
      </c>
      <c r="F294" s="23" t="s">
        <v>93</v>
      </c>
      <c r="G294" s="73">
        <f>IF(G291=0,"-",(G291+G292+G293)*GST)</f>
        <v>39.621134970151267</v>
      </c>
      <c r="H294" s="73">
        <f>IF(H291=0,"-",(H291+H292+H293)*GST)</f>
        <v>44.351155210151262</v>
      </c>
      <c r="I294" s="73">
        <f>IF(I291=0,"-",(I291+I292+I293)*GST)</f>
        <v>52.50541913015126</v>
      </c>
      <c r="J294" s="73">
        <f>IF(J291=0,"-",(J291+J292+J293)*GST)</f>
        <v>46.319840830151257</v>
      </c>
      <c r="K294" s="73">
        <f>IF(K291=0,"-",(K291+K292+K293)*GST)</f>
        <v>38.361591850151257</v>
      </c>
    </row>
    <row r="295" spans="2:14" hidden="1" outlineLevel="2" x14ac:dyDescent="0.25">
      <c r="B295"/>
      <c r="C295" s="23" t="s">
        <v>278</v>
      </c>
      <c r="D295" s="23" t="s">
        <v>9</v>
      </c>
      <c r="E295" s="23" t="s">
        <v>109</v>
      </c>
      <c r="F295" s="23" t="s">
        <v>93</v>
      </c>
      <c r="G295" s="73">
        <f>IF(G291=0,"-",G291+G292+G293+G294)</f>
        <v>435.83248467166391</v>
      </c>
      <c r="H295" s="73">
        <f t="shared" ref="H295" si="58">IF(H291=0,"-",H291+H292+H293+H294)</f>
        <v>487.86270731166388</v>
      </c>
      <c r="I295" s="73">
        <f t="shared" ref="I295" si="59">IF(I291=0,"-",I291+I292+I293+I294)</f>
        <v>577.55961043166383</v>
      </c>
      <c r="J295" s="73">
        <f t="shared" ref="J295" si="60">IF(J291=0,"-",J291+J292+J293+J294)</f>
        <v>509.51824913166377</v>
      </c>
      <c r="K295" s="73">
        <f t="shared" ref="K295" si="61">IF(K291=0,"-",K291+K292+K293+K294)</f>
        <v>421.9775103516638</v>
      </c>
    </row>
    <row r="296" spans="2:14" hidden="1" outlineLevel="2" x14ac:dyDescent="0.25">
      <c r="B296"/>
      <c r="C296" s="23" t="str">
        <f>C290</f>
        <v>TOU - supply</v>
      </c>
      <c r="D296" s="23" t="s">
        <v>9</v>
      </c>
      <c r="E296" s="23" t="s">
        <v>109</v>
      </c>
      <c r="F296" s="23" t="s">
        <v>93</v>
      </c>
      <c r="G296" s="74">
        <f>IF(G291=0,"-",G295/DiY)</f>
        <v>1.1940616018401751</v>
      </c>
      <c r="H296" s="74">
        <f>IF(H291=0,"-",H295/DiY)</f>
        <v>1.3366101570182571</v>
      </c>
      <c r="I296" s="74">
        <f>IF(I291=0,"-",I295/DiY)</f>
        <v>1.5823550970730516</v>
      </c>
      <c r="J296" s="74">
        <f>IF(J291=0,"-",J295/DiY)</f>
        <v>1.3959404085799008</v>
      </c>
      <c r="K296" s="74">
        <f>IF(K291=0,"-",K295/DiY)</f>
        <v>1.1561027680867502</v>
      </c>
    </row>
    <row r="297" spans="2:14" hidden="1" outlineLevel="2" x14ac:dyDescent="0.25">
      <c r="B297"/>
      <c r="G297" s="110" cm="1">
        <f t="array" ref="G297">IF(G291=0,"-",
IF($D$254='Lookup refs'!$D$25,
IF(G296=INDEX(RateCheck_VDO2021F[[Ausnet]:[United Energy]],MATCH(Calc_Rates!$C296&amp;"_"&amp;Calc_Rates!$F296,RateCheck_VDO2021F[Rate],0),MATCH(Calc_Rates!G$9,RateCheck_VDO2021F[[#Headers],[Ausnet]:[United Energy]],0)),0,1),
IF(ROUND(G296,8)=ROUND((((
SUMIFS(Calc_NetworkF_2[Ausnet],Calc_NetworkF_2[Cost item],$C290,Calc_NetworkF_2[Customer type],$F291)+
SUMIFS(Calc_Fixed_2[Ausnet],Calc_Fixed_2[Customer type],Calc_Rates!$F296)+
SUMIFS(Calc_Fixed_2[Ausnet],Calc_Fixed_2[Customer type],"All"))*(1+Calc_ROM_2[Ausnet]))*(1+GST))/DiY,8),0,1)))</f>
        <v>0</v>
      </c>
      <c r="H297" s="110" cm="1">
        <f t="array" ref="H297">IF(H291=0,"-",
IF($D$254='Lookup refs'!$D$25,
IF(H296=INDEX(RateCheck_VDO2021F[[Ausnet]:[United Energy]],MATCH(Calc_Rates!$C296&amp;"_"&amp;Calc_Rates!$F296,RateCheck_VDO2021F[Rate],0),MATCH(Calc_Rates!H$9,RateCheck_VDO2021F[[#Headers],[Ausnet]:[United Energy]],0)),0,1),
IF(ROUND(H296,8)=ROUND((((
SUMIFS(Calc_NetworkF_2[Citipower],Calc_NetworkF_2[Cost item],$C290,Calc_NetworkF_2[Customer type],$F291)+
SUMIFS(Calc_Fixed_2[Citipower],Calc_Fixed_2[Customer type],Calc_Rates!$F296)+
SUMIFS(Calc_Fixed_2[Citipower],Calc_Fixed_2[Customer type],"All"))*(1+Calc_ROM_2[Citipower]))*(1+GST))/DiY,8),0,1)))</f>
        <v>0</v>
      </c>
      <c r="I297" s="110" cm="1">
        <f t="array" ref="I297">IF(I291=0,"-",
IF($D$254='Lookup refs'!$D$25,
IF(I296=INDEX(RateCheck_VDO2021F[[Ausnet]:[United Energy]],MATCH(Calc_Rates!$C296&amp;"_"&amp;Calc_Rates!$F296,RateCheck_VDO2021F[[Rate]:[Rate]],0),MATCH(Calc_Rates!I$9,RateCheck_VDO2021F[[#Headers],[Ausnet]:[United Energy]],0)),0,1),
IF(ROUND(I296,8)=ROUND((((
SUMIFS(Calc_NetworkF_2[Jemena],Calc_NetworkF_2[[Cost item]:[Cost item]],$C290,Calc_NetworkF_2[[Customer type]:[Customer type]],$F291)+
SUMIFS(Calc_Fixed_2[Jemena],Calc_Fixed_2[[Customer type]:[Customer type]],Calc_Rates!$F296)+
SUMIFS(Calc_Fixed_2[Jemena],Calc_Fixed_2[[Customer type]:[Customer type]],"All"))*(1+Calc_ROM_2[Jemena]))*(1+GST))/DiY,8),0,1)))</f>
        <v>0</v>
      </c>
      <c r="J297" s="110" cm="1">
        <f t="array" ref="J297">IF(J291=0,"-",
IF($D$254='Lookup refs'!$D$25,
IF(J296=INDEX(RateCheck_VDO2021F[[Ausnet]:[United Energy]],MATCH(Calc_Rates!$C296&amp;"_"&amp;Calc_Rates!$F296,RateCheck_VDO2021F[[Rate]:[Rate]],0),MATCH(Calc_Rates!J$9,RateCheck_VDO2021F[[#Headers],[Ausnet]:[United Energy]],0)),0,1),
IF(ROUND(J296,8)=ROUND((((
SUMIFS(Calc_NetworkF_2[Powercor],Calc_NetworkF_2[[Cost item]:[Cost item]],$C290,Calc_NetworkF_2[[Customer type]:[Customer type]],$F291)+
SUMIFS(Calc_Fixed_2[Powercor],Calc_Fixed_2[[Customer type]:[Customer type]],Calc_Rates!$F296)+
SUMIFS(Calc_Fixed_2[Powercor],Calc_Fixed_2[[Customer type]:[Customer type]],"All"))*(1+Calc_ROM_2[Powercor]))*(1+GST))/DiY,8),0,1)))</f>
        <v>0</v>
      </c>
      <c r="K297" s="110" cm="1">
        <f t="array" ref="K297">IF(K291=0,"-",
IF($D$254='Lookup refs'!$D$25,
IF(K296=INDEX(RateCheck_VDO2021F[[Ausnet]:[United Energy]],MATCH(Calc_Rates!$C296&amp;"_"&amp;Calc_Rates!$F296,RateCheck_VDO2021F[[Rate]:[Rate]],0),MATCH(Calc_Rates!K$9,RateCheck_VDO2021F[[#Headers],[Ausnet]:[United Energy]],0)),0,1),
IF(ROUND(K296,8)=ROUND((((
SUMIFS(Calc_NetworkF_2[United Energy],Calc_NetworkF_2[[Cost item]:[Cost item]],$C290,Calc_NetworkF_2[[Customer type]:[Customer type]],$F291)+
SUMIFS(Calc_Fixed_2[United Energy],Calc_Fixed_2[[Customer type]:[Customer type]],Calc_Rates!$F296)+
SUMIFS(Calc_Fixed_2[United Energy],Calc_Fixed_2[[Customer type]:[Customer type]],"All"))*(1+Calc_ROM_2[United Energy]))*(1+GST))/DiY,8),0,1)))</f>
        <v>0</v>
      </c>
    </row>
    <row r="298" spans="2:14" hidden="1" outlineLevel="1" x14ac:dyDescent="0.25">
      <c r="B298"/>
    </row>
    <row r="299" spans="2:14" ht="15.75" hidden="1" outlineLevel="1" x14ac:dyDescent="0.25">
      <c r="B299"/>
      <c r="C299" s="43" t="s">
        <v>280</v>
      </c>
      <c r="D299" s="43" t="s">
        <v>102</v>
      </c>
      <c r="E299" s="43" t="s">
        <v>103</v>
      </c>
      <c r="F299" s="43" t="s">
        <v>91</v>
      </c>
      <c r="G299" s="60" t="s">
        <v>268</v>
      </c>
      <c r="H299" s="60" t="s">
        <v>269</v>
      </c>
      <c r="I299" s="60" t="s">
        <v>270</v>
      </c>
      <c r="J299" s="60" t="s">
        <v>271</v>
      </c>
      <c r="K299" s="60" t="s">
        <v>272</v>
      </c>
      <c r="N299" s="79"/>
    </row>
    <row r="300" spans="2:14" hidden="1" outlineLevel="1" x14ac:dyDescent="0.25">
      <c r="B300"/>
      <c r="C300" s="23" t="s">
        <v>281</v>
      </c>
      <c r="D300" s="23" t="s">
        <v>130</v>
      </c>
      <c r="E300" s="23" t="s">
        <v>282</v>
      </c>
      <c r="F300" s="23" t="s">
        <v>110</v>
      </c>
      <c r="G300" s="80">
        <f>SUMIFS(Calc_EnviroVEU_2[Ausnet],Calc_EnviroVEU_2[[Fixed/Variable]:[Fixed/Variable]],$D300,Calc_EnviroVEU_2[[Customer type]:[Customer type]],$F300,Calc_EnviroVEU_2[[Cost item]:[Cost item]],"VEU cost")+
SUMIFS(Calc_EnviroLRET_2[Ausnet],Calc_EnviroLRET_2[[Fixed/Variable]:[Fixed/Variable]],$D300,Calc_EnviroLRET_2[[Customer type]:[Customer type]],$F300,Calc_EnviroLRET_2[[Cost item]:[Cost item]],"LRET cost")+
SUMIFS(Calc_EnviroSRES_2[Ausnet],Calc_EnviroSRES_2[[Fixed/Variable]:[Fixed/Variable]],$D300,Calc_EnviroSRES_2[[Customer type]:[Customer type]],$F300,Calc_EnviroSRES_2[[Cost item]:[Cost item]],"SRES cost")</f>
        <v>2.6450055368152592E-2</v>
      </c>
      <c r="H300" s="80">
        <f>SUMIFS(Calc_EnviroVEU_2[Citipower],Calc_EnviroVEU_2[[Fixed/Variable]:[Fixed/Variable]],$D300,Calc_EnviroVEU_2[[Customer type]:[Customer type]],$F300,Calc_EnviroVEU_2[[Cost item]:[Cost item]],"VEU cost")+
SUMIFS(Calc_EnviroLRET_2[Citipower],Calc_EnviroLRET_2[[Fixed/Variable]:[Fixed/Variable]],$D300,Calc_EnviroLRET_2[[Customer type]:[Customer type]],$F300,Calc_EnviroLRET_2[[Cost item]:[Cost item]],"LRET cost")+
SUMIFS(Calc_EnviroSRES_2[Citipower],Calc_EnviroSRES_2[[Fixed/Variable]:[Fixed/Variable]],$D300,Calc_EnviroSRES_2[[Customer type]:[Customer type]],$F300,Calc_EnviroSRES_2[[Cost item]:[Cost item]],"SRES cost")</f>
        <v>2.6450055368152592E-2</v>
      </c>
      <c r="I300" s="80">
        <f>SUMIFS(Calc_EnviroVEU_2[Jemena],Calc_EnviroVEU_2[[Fixed/Variable]:[Fixed/Variable]],$D300,Calc_EnviroVEU_2[[Customer type]:[Customer type]],$F300,Calc_EnviroVEU_2[[Cost item]:[Cost item]],"VEU cost")+
SUMIFS(Calc_EnviroLRET_2[Jemena],Calc_EnviroLRET_2[[Fixed/Variable]:[Fixed/Variable]],$D300,Calc_EnviroLRET_2[[Customer type]:[Customer type]],$F300,Calc_EnviroLRET_2[[Cost item]:[Cost item]],"LRET cost")+
SUMIFS(Calc_EnviroSRES_2[Jemena],Calc_EnviroSRES_2[[Fixed/Variable]:[Fixed/Variable]],$D300,Calc_EnviroSRES_2[[Customer type]:[Customer type]],$F300,Calc_EnviroSRES_2[[Cost item]:[Cost item]],"SRES cost")</f>
        <v>2.6450055368152592E-2</v>
      </c>
      <c r="J300" s="80">
        <f>SUMIFS(Calc_EnviroVEU_2[Powercor],Calc_EnviroVEU_2[[Fixed/Variable]:[Fixed/Variable]],$D300,Calc_EnviroVEU_2[[Customer type]:[Customer type]],$F300,Calc_EnviroVEU_2[[Cost item]:[Cost item]],"VEU cost")+
SUMIFS(Calc_EnviroLRET_2[Powercor],Calc_EnviroLRET_2[[Fixed/Variable]:[Fixed/Variable]],$D300,Calc_EnviroLRET_2[[Customer type]:[Customer type]],$F300,Calc_EnviroLRET_2[[Cost item]:[Cost item]],"LRET cost")+
SUMIFS(Calc_EnviroSRES_2[Powercor],Calc_EnviroSRES_2[[Fixed/Variable]:[Fixed/Variable]],$D300,Calc_EnviroSRES_2[[Customer type]:[Customer type]],$F300,Calc_EnviroSRES_2[[Cost item]:[Cost item]],"SRES cost")</f>
        <v>2.6450055368152592E-2</v>
      </c>
      <c r="K300" s="80">
        <f>SUMIFS(Calc_EnviroVEU_2[United Energy],Calc_EnviroVEU_2[[Fixed/Variable]:[Fixed/Variable]],$D300,Calc_EnviroVEU_2[[Customer type]:[Customer type]],$F300,Calc_EnviroVEU_2[[Cost item]:[Cost item]],"VEU cost")+
SUMIFS(Calc_EnviroLRET_2[United Energy],Calc_EnviroLRET_2[[Fixed/Variable]:[Fixed/Variable]],$D300,Calc_EnviroLRET_2[[Customer type]:[Customer type]],$F300,Calc_EnviroLRET_2[[Cost item]:[Cost item]],"LRET cost")+
SUMIFS(Calc_EnviroSRES_2[United Energy],Calc_EnviroSRES_2[[Fixed/Variable]:[Fixed/Variable]],$D300,Calc_EnviroSRES_2[[Customer type]:[Customer type]],$F300,Calc_EnviroSRES_2[[Cost item]:[Cost item]],"SRES cost")</f>
        <v>2.6450055368152592E-2</v>
      </c>
    </row>
    <row r="301" spans="2:14" hidden="1" outlineLevel="1" x14ac:dyDescent="0.25">
      <c r="B301"/>
      <c r="C301" s="23" t="s">
        <v>273</v>
      </c>
      <c r="D301" s="23" t="s">
        <v>130</v>
      </c>
      <c r="E301" s="23" t="s">
        <v>282</v>
      </c>
      <c r="F301" s="23" t="s">
        <v>110</v>
      </c>
      <c r="G301" s="80">
        <f>SUMIFS(Calc_OtherCosts_2[Ausnet],Calc_OtherCosts_2[[Fixed/Variable]:[Fixed/Variable]],$D301,Calc_OtherCosts_2[[Customer type]:[Customer type]],$F301)</f>
        <v>8.7547970254075731E-4</v>
      </c>
      <c r="H301" s="80">
        <f>SUMIFS(Calc_OtherCosts_2[Citipower],Calc_OtherCosts_2[[Fixed/Variable]:[Fixed/Variable]],$D301,Calc_OtherCosts_2[[Customer type]:[Customer type]],$F301)</f>
        <v>8.7547970254075731E-4</v>
      </c>
      <c r="I301" s="80">
        <f>SUMIFS(Calc_OtherCosts_2[Jemena],Calc_OtherCosts_2[[Fixed/Variable]:[Fixed/Variable]],$D301,Calc_OtherCosts_2[[Customer type]:[Customer type]],$F301)</f>
        <v>8.7547970254075731E-4</v>
      </c>
      <c r="J301" s="80">
        <f>SUMIFS(Calc_OtherCosts_2[Powercor],Calc_OtherCosts_2[[Fixed/Variable]:[Fixed/Variable]],$D301,Calc_OtherCosts_2[[Customer type]:[Customer type]],$F301)</f>
        <v>8.7547970254075731E-4</v>
      </c>
      <c r="K301" s="80">
        <f>SUMIFS(Calc_OtherCosts_2[United Energy],Calc_OtherCosts_2[[Fixed/Variable]:[Fixed/Variable]],$D301,Calc_OtherCosts_2[[Customer type]:[Customer type]],$F301)</f>
        <v>8.7547970254075731E-4</v>
      </c>
    </row>
    <row r="302" spans="2:14" hidden="1" outlineLevel="1" x14ac:dyDescent="0.25">
      <c r="B302"/>
      <c r="C302" s="23" t="s">
        <v>283</v>
      </c>
      <c r="D302" s="23" t="s">
        <v>130</v>
      </c>
      <c r="E302" s="23" t="s">
        <v>282</v>
      </c>
      <c r="F302" s="23" t="s">
        <v>92</v>
      </c>
      <c r="G302" s="77">
        <f>SUMIFS(Calc_WholesaleRES_2[Ausnet],Calc_WholesaleRES_2[[Fixed/Variable]:[Fixed/Variable]],$D302,Calc_WholesaleRES_2[[Customer type]:[Customer type]],$F302,Calc_WholesaleRES_2[[Cost item]:[Cost item]],$C302)</f>
        <v>7.1690000000000004E-2</v>
      </c>
      <c r="H302" s="77">
        <f>SUMIFS(Calc_WholesaleRES_2[Citipower],Calc_WholesaleRES_2[[Fixed/Variable]:[Fixed/Variable]],$D302,Calc_WholesaleRES_2[[Customer type]:[Customer type]],$F302,Calc_WholesaleRES_2[[Cost item]:[Cost item]],$C302)</f>
        <v>6.8080000000000002E-2</v>
      </c>
      <c r="I302" s="77">
        <f>SUMIFS(Calc_WholesaleRES_2[Jemena],Calc_WholesaleRES_2[[Fixed/Variable]:[Fixed/Variable]],$D302,Calc_WholesaleRES_2[[Customer type]:[Customer type]],$F302,Calc_WholesaleRES_2[[Cost item]:[Cost item]],$C302)</f>
        <v>7.3950000000000016E-2</v>
      </c>
      <c r="J302" s="77">
        <f>SUMIFS(Calc_WholesaleRES_2[Powercor],Calc_WholesaleRES_2[[Fixed/Variable]:[Fixed/Variable]],$D302,Calc_WholesaleRES_2[[Customer type]:[Customer type]],$F302,Calc_WholesaleRES_2[[Cost item]:[Cost item]],$C302)</f>
        <v>7.0059999999999997E-2</v>
      </c>
      <c r="K302" s="77">
        <f>SUMIFS(Calc_WholesaleRES_2[United Energy],Calc_WholesaleRES_2[[Fixed/Variable]:[Fixed/Variable]],$D302,Calc_WholesaleRES_2[[Customer type]:[Customer type]],$F302,Calc_WholesaleRES_2[[Cost item]:[Cost item]],$C302)</f>
        <v>7.4489999999999987E-2</v>
      </c>
    </row>
    <row r="303" spans="2:14" hidden="1" outlineLevel="1" x14ac:dyDescent="0.25">
      <c r="B303"/>
      <c r="C303" s="23" t="s">
        <v>283</v>
      </c>
      <c r="D303" s="23" t="s">
        <v>130</v>
      </c>
      <c r="E303" s="23" t="s">
        <v>282</v>
      </c>
      <c r="F303" s="23" t="s">
        <v>93</v>
      </c>
      <c r="G303" s="77">
        <f>SUMIFS(Calc_WholesaleSME_2[Ausnet],Calc_WholesaleSME_2[[Fixed/Variable]:[Fixed/Variable]],$D303,Calc_WholesaleSME_2[[Customer type]:[Customer type]],$F303,Calc_WholesaleSME_2[[Cost item]:[Cost item]],$C303)</f>
        <v>6.298999999999999E-2</v>
      </c>
      <c r="H303" s="77">
        <f>SUMIFS(Calc_WholesaleSME_2[Citipower],Calc_WholesaleSME_2[[Fixed/Variable]:[Fixed/Variable]],$D303,Calc_WholesaleSME_2[[Customer type]:[Customer type]],$F303,Calc_WholesaleSME_2[[Cost item]:[Cost item]],$C303)</f>
        <v>6.411E-2</v>
      </c>
      <c r="I303" s="77">
        <f>SUMIFS(Calc_WholesaleSME_2[Jemena],Calc_WholesaleSME_2[[Fixed/Variable]:[Fixed/Variable]],$D303,Calc_WholesaleSME_2[[Customer type]:[Customer type]],$F303,Calc_WholesaleSME_2[[Cost item]:[Cost item]],$C303)</f>
        <v>6.4180000000000001E-2</v>
      </c>
      <c r="J303" s="77">
        <f>SUMIFS(Calc_WholesaleSME_2[Powercor],Calc_WholesaleSME_2[[Fixed/Variable]:[Fixed/Variable]],$D303,Calc_WholesaleSME_2[[Customer type]:[Customer type]],$F303,Calc_WholesaleSME_2[[Cost item]:[Cost item]],$C303)</f>
        <v>6.123E-2</v>
      </c>
      <c r="K303" s="77">
        <f>SUMIFS(Calc_WholesaleSME_2[United Energy],Calc_WholesaleSME_2[[Fixed/Variable]:[Fixed/Variable]],$D303,Calc_WholesaleSME_2[[Customer type]:[Customer type]],$F303,Calc_WholesaleSME_2[[Cost item]:[Cost item]],$C303)</f>
        <v>6.5449999999999994E-2</v>
      </c>
    </row>
    <row r="304" spans="2:14" hidden="1" outlineLevel="1" x14ac:dyDescent="0.25">
      <c r="B304"/>
      <c r="C304" s="23" t="s">
        <v>284</v>
      </c>
      <c r="D304" s="23" t="s">
        <v>130</v>
      </c>
      <c r="E304" s="23" t="s">
        <v>282</v>
      </c>
      <c r="F304" s="23" t="s">
        <v>92</v>
      </c>
      <c r="G304" s="80">
        <f>(SUMIFS(G$300:G$303,$F$300:$F$303,"All")+SUMIFS(G$300:G$303,$F$300:$F$303,$F304))*INDEX(Calc_Losses_2[[Ausnet]:[United Energy]],MATCH("Total loss factor",Calc_Losses_2[[Cost item]:[Cost item]],0),MATCH(G$299,Calc_Losses_2[[#Headers],[Ausnet]:[United Energy]],0))</f>
        <v>7.8670688260529358E-3</v>
      </c>
      <c r="H304" s="80">
        <f>(SUMIFS(H$300:H$303,$F$300:$F$303,"All")+SUMIFS(H$300:H$303,$F$300:$F$303,$F304))*INDEX(Calc_Losses_2[[Ausnet]:[United Energy]],MATCH("Total loss factor",Calc_Losses_2[[Cost item]:[Cost item]],0),MATCH(H$299,Calc_Losses_2[[#Headers],[Ausnet]:[United Energy]],0))</f>
        <v>4.5576814195521492E-3</v>
      </c>
      <c r="I304" s="80">
        <f>(SUMIFS(I$300:I$303,$F$300:$F$303,"All")+SUMIFS(I$300:I$303,$F$300:$F$303,$F304))*INDEX(Calc_Losses_2[[Ausnet]:[United Energy]],MATCH("Total loss factor",Calc_Losses_2[[Cost item]:[Cost item]],0),MATCH(I$299,Calc_Losses_2[[#Headers],[Ausnet]:[United Energy]],0))</f>
        <v>4.2835474994616738E-3</v>
      </c>
      <c r="J304" s="80">
        <f>(SUMIFS(J$300:J$303,$F$300:$F$303,"All")+SUMIFS(J$300:J$303,$F$300:$F$303,$F304))*INDEX(Calc_Losses_2[[Ausnet]:[United Energy]],MATCH("Total loss factor",Calc_Losses_2[[Cost item]:[Cost item]],0),MATCH(J$299,Calc_Losses_2[[#Headers],[Ausnet]:[United Energy]],0))</f>
        <v>6.9657544578863931E-3</v>
      </c>
      <c r="K304" s="80">
        <f>(SUMIFS(K$300:K$303,$F$300:$F$303,"All")+SUMIFS(K$300:K$303,$F$300:$F$303,$F304))*INDEX(Calc_Losses_2[[Ausnet]:[United Energy]],MATCH("Total loss factor",Calc_Losses_2[[Cost item]:[Cost item]],0),MATCH(K$299,Calc_Losses_2[[#Headers],[Ausnet]:[United Energy]],0))</f>
        <v>4.8806271751593196E-3</v>
      </c>
    </row>
    <row r="305" spans="2:11" hidden="1" outlineLevel="1" x14ac:dyDescent="0.25">
      <c r="B305"/>
      <c r="C305" s="23" t="s">
        <v>284</v>
      </c>
      <c r="D305" s="23" t="s">
        <v>130</v>
      </c>
      <c r="E305" s="23" t="s">
        <v>282</v>
      </c>
      <c r="F305" s="23" t="s">
        <v>93</v>
      </c>
      <c r="G305" s="80">
        <f>(SUMIFS(G$300:G$303,$F$300:$F$303,"All")+SUMIFS(G$300:G$303,$F$300:$F$303,$F305))*INDEX(Calc_Losses_2[[Ausnet]:[United Energy]],MATCH("Total loss factor",Calc_Losses_2[[Cost item]:[Cost item]],0),MATCH(G$299,Calc_Losses_2[[#Headers],[Ausnet]:[United Energy]],0))</f>
        <v>7.1758288227767369E-3</v>
      </c>
      <c r="H305" s="80">
        <f>(SUMIFS(H$300:H$303,$F$300:$F$303,"All")+SUMIFS(H$300:H$303,$F$300:$F$303,$F305))*INDEX(Calc_Losses_2[[Ausnet]:[United Energy]],MATCH("Total loss factor",Calc_Losses_2[[Cost item]:[Cost item]],0),MATCH(H$299,Calc_Losses_2[[#Headers],[Ausnet]:[United Energy]],0))</f>
        <v>4.3680279028854817E-3</v>
      </c>
      <c r="I305" s="80">
        <f>(SUMIFS(I$300:I$303,$F$300:$F$303,"All")+SUMIFS(I$300:I$303,$F$300:$F$303,$F305))*INDEX(Calc_Losses_2[[Ausnet]:[United Energy]],MATCH("Total loss factor",Calc_Losses_2[[Cost item]:[Cost item]],0),MATCH(I$299,Calc_Losses_2[[#Headers],[Ausnet]:[United Energy]],0))</f>
        <v>3.8703158237116731E-3</v>
      </c>
      <c r="J305" s="80">
        <f>(SUMIFS(J$300:J$303,$F$300:$F$303,"All")+SUMIFS(J$300:J$303,$F$300:$F$303,$F305))*INDEX(Calc_Losses_2[[Ausnet]:[United Energy]],MATCH("Total loss factor",Calc_Losses_2[[Cost item]:[Cost item]],0),MATCH(J$299,Calc_Losses_2[[#Headers],[Ausnet]:[United Energy]],0))</f>
        <v>6.3341656719492646E-3</v>
      </c>
      <c r="K305" s="80">
        <f>(SUMIFS(K$300:K$303,$F$300:$F$303,"All")+SUMIFS(K$300:K$303,$F$300:$F$303,$F305))*INDEX(Calc_Losses_2[[Ausnet]:[United Energy]],MATCH("Total loss factor",Calc_Losses_2[[Cost item]:[Cost item]],0),MATCH(K$299,Calc_Losses_2[[#Headers],[Ausnet]:[United Energy]],0))</f>
        <v>4.4472859406138659E-3</v>
      </c>
    </row>
    <row r="306" spans="2:11" hidden="1" outlineLevel="1" x14ac:dyDescent="0.25">
      <c r="B306"/>
    </row>
    <row r="307" spans="2:11" ht="15.75" hidden="1" outlineLevel="1" collapsed="1" x14ac:dyDescent="0.25">
      <c r="B307"/>
      <c r="C307" s="29" t="s">
        <v>285</v>
      </c>
    </row>
    <row r="308" spans="2:11" ht="15.75" hidden="1" outlineLevel="2" x14ac:dyDescent="0.25">
      <c r="B308"/>
      <c r="C308" s="1" t="s">
        <v>615</v>
      </c>
    </row>
    <row r="309" spans="2:11" ht="15.75" hidden="1" outlineLevel="2" x14ac:dyDescent="0.25">
      <c r="B309"/>
      <c r="C309" s="81" t="s">
        <v>221</v>
      </c>
    </row>
    <row r="310" spans="2:11" hidden="1" outlineLevel="2" x14ac:dyDescent="0.25">
      <c r="B310"/>
      <c r="C310" s="23" t="s">
        <v>286</v>
      </c>
      <c r="D310" s="23" t="s">
        <v>9</v>
      </c>
      <c r="E310" s="23" t="s">
        <v>282</v>
      </c>
      <c r="F310" s="23" t="s">
        <v>92</v>
      </c>
      <c r="G310" s="61">
        <f>SUMIFS(Calc_NetworkV_2[Ausnet],Calc_NetworkV_2[[Cost item]:[Cost item]],$C309,Calc_NetworkV_2[[Customer type]:[Customer type]],$F310)</f>
        <v>0.11450300000000001</v>
      </c>
      <c r="H310" s="61">
        <f>SUMIFS(Calc_NetworkV_2[Citipower],Calc_NetworkV_2[[Cost item]:[Cost item]],$C309,Calc_NetworkV_2[[Customer type]:[Customer type]],$F310)</f>
        <v>0</v>
      </c>
      <c r="I310" s="61">
        <f>SUMIFS(Calc_NetworkV_2[Jemena],Calc_NetworkV_2[[Cost item]:[Cost item]],$C309,Calc_NetworkV_2[[Customer type]:[Customer type]],$F310)</f>
        <v>0</v>
      </c>
      <c r="J310" s="61">
        <f>SUMIFS(Calc_NetworkV_2[Powercor],Calc_NetworkV_2[[Cost item]:[Cost item]],$C309,Calc_NetworkV_2[[Customer type]:[Customer type]],$F310)</f>
        <v>0</v>
      </c>
      <c r="K310" s="61">
        <f>SUMIFS(Calc_NetworkV_2[United Energy],Calc_NetworkV_2[[Cost item]:[Cost item]],$C309,Calc_NetworkV_2[[Customer type]:[Customer type]],$F310)</f>
        <v>0</v>
      </c>
    </row>
    <row r="311" spans="2:11" hidden="1" outlineLevel="2" x14ac:dyDescent="0.25">
      <c r="B311"/>
      <c r="C311" s="23" t="s">
        <v>280</v>
      </c>
      <c r="D311" s="23" t="s">
        <v>9</v>
      </c>
      <c r="E311" s="23" t="s">
        <v>282</v>
      </c>
      <c r="F311" s="23" t="s">
        <v>92</v>
      </c>
      <c r="G311" s="61">
        <f>SUMIFS(Calc_Variable_2[Ausnet],Calc_Variable_2[Customer type],"All")+SUMIFS(Calc_Variable_2[Ausnet],Calc_Variable_2[Customer type],$F311)</f>
        <v>0.10688260389674629</v>
      </c>
      <c r="H311" s="61">
        <f>SUMIFS(Calc_Variable_2[Citipower],Calc_Variable_2[[Customer type]:[Customer type]],"All")+SUMIFS(Calc_Variable_2[Citipower],Calc_Variable_2[[Customer type]:[Customer type]],$F311)</f>
        <v>9.9963216490245504E-2</v>
      </c>
      <c r="I311" s="61">
        <f>SUMIFS(Calc_Variable_2[Jemena],Calc_Variable_2[[Customer type]:[Customer type]],"All")+SUMIFS(Calc_Variable_2[Jemena],Calc_Variable_2[[Customer type]:[Customer type]],$F311)</f>
        <v>0.10555908257015505</v>
      </c>
      <c r="J311" s="61">
        <f>SUMIFS(Calc_Variable_2[Powercor],Calc_Variable_2[[Customer type]:[Customer type]],"All")+SUMIFS(Calc_Variable_2[Powercor],Calc_Variable_2[[Customer type]:[Customer type]],$F311)</f>
        <v>0.10435128952857975</v>
      </c>
      <c r="K311" s="61">
        <f>SUMIFS(Calc_Variable_2[United Energy],Calc_Variable_2[[Customer type]:[Customer type]],"All")+SUMIFS(Calc_Variable_2[United Energy],Calc_Variable_2[[Customer type]:[Customer type]],$F311)</f>
        <v>0.10669616224585265</v>
      </c>
    </row>
    <row r="312" spans="2:11" hidden="1" outlineLevel="2" x14ac:dyDescent="0.25">
      <c r="B312"/>
      <c r="C312" s="23" t="s">
        <v>203</v>
      </c>
      <c r="D312" s="23" t="s">
        <v>9</v>
      </c>
      <c r="E312" s="23" t="s">
        <v>282</v>
      </c>
      <c r="F312" s="23" t="s">
        <v>92</v>
      </c>
      <c r="G312" s="73" cm="1">
        <f t="array" ref="G312">IF(G310=0,"-",
(G310+G311)*Calc_ROM_2[Ausnet])</f>
        <v>1.3371690475363476E-2</v>
      </c>
      <c r="H312" s="73" t="str" cm="1">
        <f t="array" ref="H312">IF(H310=0,"-",
(H310+H311)*Calc_ROM_2[Citipower])</f>
        <v>-</v>
      </c>
      <c r="I312" s="73" t="str" cm="1">
        <f t="array" ref="I312">IF(I310=0,"-",
(I310+I311)*Calc_ROM_2[Jemena])</f>
        <v>-</v>
      </c>
      <c r="J312" s="73" t="str" cm="1">
        <f t="array" ref="J312">IF(J310=0,"-",
(J310+J311)*Calc_ROM_2[Powercor])</f>
        <v>-</v>
      </c>
      <c r="K312" s="73" t="str" cm="1">
        <f t="array" ref="K312">IF(K310=0,"-",
(K310+K311)*Calc_ROM_2[United Energy])</f>
        <v>-</v>
      </c>
    </row>
    <row r="313" spans="2:11" hidden="1" outlineLevel="2" x14ac:dyDescent="0.25">
      <c r="B313"/>
      <c r="C313" s="23" t="s">
        <v>277</v>
      </c>
      <c r="D313" s="23" t="s">
        <v>9</v>
      </c>
      <c r="E313" s="23" t="s">
        <v>282</v>
      </c>
      <c r="F313" s="23" t="s">
        <v>92</v>
      </c>
      <c r="G313" s="73">
        <f>IF(G310=0,"-",
(G310+G311+G312)*GST)</f>
        <v>2.347572943721098E-2</v>
      </c>
      <c r="H313" s="73" t="str">
        <f>IF(H310=0,"-",
(H310+H311+H312)*GST)</f>
        <v>-</v>
      </c>
      <c r="I313" s="73" t="str">
        <f>IF(I310=0,"-",
(I310+I311+I312)*GST)</f>
        <v>-</v>
      </c>
      <c r="J313" s="73" t="str">
        <f>IF(J310=0,"-",
(J310+J311+J312)*GST)</f>
        <v>-</v>
      </c>
      <c r="K313" s="73" t="str">
        <f>IF(K310=0,"-",
(K310+K311+K312)*GST)</f>
        <v>-</v>
      </c>
    </row>
    <row r="314" spans="2:11" hidden="1" outlineLevel="2" x14ac:dyDescent="0.25">
      <c r="B314"/>
      <c r="C314" s="23" t="str">
        <f>C309&amp;" charge"</f>
        <v>Block 1 charge</v>
      </c>
      <c r="D314" s="23" t="s">
        <v>9</v>
      </c>
      <c r="E314" s="23" t="s">
        <v>282</v>
      </c>
      <c r="F314" s="23" t="s">
        <v>92</v>
      </c>
      <c r="G314" s="74">
        <f>IF(G310=0,"-",
G310+G311+G312+G313)</f>
        <v>0.25823302380932078</v>
      </c>
      <c r="H314" s="74" t="str">
        <f t="shared" ref="H314:K314" si="62">IF(H310=0,"-",
H310+H311+H312+H313)</f>
        <v>-</v>
      </c>
      <c r="I314" s="74" t="str">
        <f t="shared" si="62"/>
        <v>-</v>
      </c>
      <c r="J314" s="74" t="str">
        <f t="shared" si="62"/>
        <v>-</v>
      </c>
      <c r="K314" s="74" t="str">
        <f t="shared" si="62"/>
        <v>-</v>
      </c>
    </row>
    <row r="315" spans="2:11" hidden="1" outlineLevel="2" x14ac:dyDescent="0.25">
      <c r="B315"/>
      <c r="G315" s="110" cm="1">
        <f t="array" ref="G315">IF($D$254='Lookup refs'!$D$25,
IF(G314=INDEX(RateCheck_VDO2021F[[Ausnet]:[United Energy]],MATCH(Calc_Rates!$C314&amp;"_"&amp;Calc_Rates!$F314,RateCheck_VDO2021F[Rate],0),MATCH(Calc_Rates!G$9,RateCheck_VDO2021F[[#Headers],[Ausnet]:[United Energy]],0)),0,1),
IF(G314="-","-",
IF(ROUND(G314,8)=ROUND((((
SUMIFS(Calc_Variable_2[Ausnet],Calc_Variable_2[Customer type],Calc_Rates!$F314)+
SUMIFS(Calc_Variable_2[Ausnet],Calc_Variable_2[Customer type],"All")+G310)*(1+Calc_ROM_2[Ausnet]))*(1+GST)),8),0,1)))</f>
        <v>0</v>
      </c>
      <c r="H315" s="110" t="str" cm="1">
        <f t="array" ref="H315">IF($D$254='Lookup refs'!$D$25,
IF(H314=INDEX(RateCheck_VDO2021F[[Ausnet]:[United Energy]],MATCH(Calc_Rates!$C314&amp;"_"&amp;Calc_Rates!$F314,RateCheck_VDO2021F[Rate],0),MATCH(Calc_Rates!H$9,RateCheck_VDO2021F[[#Headers],[Ausnet]:[United Energy]],0)),0,1),
IF(H314="-","-",
IF(ROUND(H314,8)=ROUND((((
SUMIFS(Calc_Variable_2[Citipower],Calc_Variable_2[Customer type],Calc_Rates!$F314)+
SUMIFS(Calc_Variable_2[Citipower],Calc_Variable_2[Customer type],"All")+H310)*(1+Calc_ROM_2[Citipower]))*(1+GST)),8),0,1)))</f>
        <v>-</v>
      </c>
      <c r="I315" s="110" t="str" cm="1">
        <f t="array" ref="I315">IF($D$254='Lookup refs'!$D$25,
IF(I314=INDEX(RateCheck_VDO2021F[[Ausnet]:[United Energy]],MATCH(Calc_Rates!$C314&amp;"_"&amp;Calc_Rates!$F314,RateCheck_VDO2021F[Rate],0),MATCH(Calc_Rates!I$9,RateCheck_VDO2021F[[#Headers],[Ausnet]:[United Energy]],0)),0,1),
IF(I314="-","-",
IF(ROUND(I314,8)=ROUND((((
SUMIFS(Calc_Variable_2[Jemena],Calc_Variable_2[Customer type],Calc_Rates!$F314)+
SUMIFS(Calc_Variable_2[Jemena],Calc_Variable_2[Customer type],"All")+I310)*(1+Calc_ROM_2[Jemena]))*(1+GST)),8),0,1)))</f>
        <v>-</v>
      </c>
      <c r="J315" s="110" t="str" cm="1">
        <f t="array" ref="J315">IF($D$254='Lookup refs'!$D$25,
IF(J314=INDEX(RateCheck_VDO2021F[[Ausnet]:[United Energy]],MATCH(Calc_Rates!$C314&amp;"_"&amp;Calc_Rates!$F314,RateCheck_VDO2021F[Rate],0),MATCH(Calc_Rates!J$9,RateCheck_VDO2021F[[#Headers],[Ausnet]:[United Energy]],0)),0,1),
IF(J314="-","-",
IF(ROUND(J314,8)=ROUND((((
SUMIFS(Calc_Variable_2[Powercor],Calc_Variable_2[Customer type],Calc_Rates!$F314)+
SUMIFS(Calc_Variable_2[Powercor],Calc_Variable_2[Customer type],"All")+J310)*(1+Calc_ROM_2[Powercor]))*(1+GST)),8),0,1)))</f>
        <v>-</v>
      </c>
      <c r="K315" s="110" t="str" cm="1">
        <f t="array" ref="K315">IF($D$254='Lookup refs'!$D$25,
IF(K314=INDEX(RateCheck_VDO2021F[[Ausnet]:[United Energy]],MATCH(Calc_Rates!$C314&amp;"_"&amp;Calc_Rates!$F314,RateCheck_VDO2021F[Rate],0),MATCH(Calc_Rates!K$9,RateCheck_VDO2021F[[#Headers],[Ausnet]:[United Energy]],0)),0,1),
IF(K314="-","-",
IF(ROUND(K314,8)=ROUND((((
SUMIFS(Calc_Variable_2[United Energy],Calc_Variable_2[[Customer type]:[Customer type]],Calc_Rates!$F314)+
SUMIFS(Calc_Variable_2[United Energy],Calc_Variable_2[[Customer type]:[Customer type]],"All")+K310)*(1+Calc_ROM_2[United Energy]))*(1+GST)),8),0,1)))</f>
        <v>-</v>
      </c>
    </row>
    <row r="316" spans="2:11" ht="15.75" hidden="1" outlineLevel="2" x14ac:dyDescent="0.25">
      <c r="B316"/>
      <c r="C316" s="81" t="s">
        <v>228</v>
      </c>
    </row>
    <row r="317" spans="2:11" hidden="1" outlineLevel="2" x14ac:dyDescent="0.25">
      <c r="B317"/>
      <c r="C317" s="23" t="s">
        <v>286</v>
      </c>
      <c r="D317" s="23" t="s">
        <v>9</v>
      </c>
      <c r="E317" s="23" t="s">
        <v>282</v>
      </c>
      <c r="F317" s="23" t="s">
        <v>92</v>
      </c>
      <c r="G317" s="61">
        <f>SUMIFS(Calc_NetworkV_2[Ausnet],Calc_NetworkV_2[[Cost item]:[Cost item]],$C316,Calc_NetworkV_2[[Customer type]:[Customer type]],$F317)</f>
        <v>0.128382</v>
      </c>
      <c r="H317" s="61">
        <f>SUMIFS(Calc_NetworkV_2[Citipower],Calc_NetworkV_2[[Cost item]:[Cost item]],$C316,Calc_NetworkV_2[[Customer type]:[Customer type]],$F317)</f>
        <v>0</v>
      </c>
      <c r="I317" s="61">
        <f>SUMIFS(Calc_NetworkV_2[Jemena],Calc_NetworkV_2[[Cost item]:[Cost item]],$C316,Calc_NetworkV_2[[Customer type]:[Customer type]],$F317)</f>
        <v>0</v>
      </c>
      <c r="J317" s="61">
        <f>SUMIFS(Calc_NetworkV_2[Powercor],Calc_NetworkV_2[[Cost item]:[Cost item]],$C316,Calc_NetworkV_2[[Customer type]:[Customer type]],$F317)</f>
        <v>0</v>
      </c>
      <c r="K317" s="61">
        <f>SUMIFS(Calc_NetworkV_2[United Energy],Calc_NetworkV_2[[Cost item]:[Cost item]],$C316,Calc_NetworkV_2[[Customer type]:[Customer type]],$F317)</f>
        <v>0</v>
      </c>
    </row>
    <row r="318" spans="2:11" hidden="1" outlineLevel="2" x14ac:dyDescent="0.25">
      <c r="B318"/>
      <c r="C318" s="23" t="s">
        <v>280</v>
      </c>
      <c r="D318" s="23" t="s">
        <v>9</v>
      </c>
      <c r="E318" s="23" t="s">
        <v>282</v>
      </c>
      <c r="F318" s="23" t="s">
        <v>92</v>
      </c>
      <c r="G318" s="61">
        <f>SUMIFS(Calc_Variable_2[Ausnet],Calc_Variable_2[[Customer type]:[Customer type]],"All")+SUMIFS(Calc_Variable_2[Ausnet],Calc_Variable_2[[Customer type]:[Customer type]],$F318)</f>
        <v>0.10688260389674629</v>
      </c>
      <c r="H318" s="61">
        <f>SUMIFS(Calc_Variable_2[Citipower],Calc_Variable_2[[Customer type]:[Customer type]],"All")+SUMIFS(Calc_Variable_2[Citipower],Calc_Variable_2[[Customer type]:[Customer type]],$F318)</f>
        <v>9.9963216490245504E-2</v>
      </c>
      <c r="I318" s="61">
        <f>SUMIFS(Calc_Variable_2[Jemena],Calc_Variable_2[[Customer type]:[Customer type]],"All")+SUMIFS(Calc_Variable_2[Jemena],Calc_Variable_2[[Customer type]:[Customer type]],$F318)</f>
        <v>0.10555908257015505</v>
      </c>
      <c r="J318" s="61">
        <f>SUMIFS(Calc_Variable_2[Powercor],Calc_Variable_2[[Customer type]:[Customer type]],"All")+SUMIFS(Calc_Variable_2[Powercor],Calc_Variable_2[[Customer type]:[Customer type]],$F318)</f>
        <v>0.10435128952857975</v>
      </c>
      <c r="K318" s="61">
        <f>SUMIFS(Calc_Variable_2[United Energy],Calc_Variable_2[[Customer type]:[Customer type]],"All")+SUMIFS(Calc_Variable_2[United Energy],Calc_Variable_2[[Customer type]:[Customer type]],$F318)</f>
        <v>0.10669616224585265</v>
      </c>
    </row>
    <row r="319" spans="2:11" hidden="1" outlineLevel="2" x14ac:dyDescent="0.25">
      <c r="B319"/>
      <c r="C319" s="23" t="s">
        <v>203</v>
      </c>
      <c r="D319" s="23" t="s">
        <v>9</v>
      </c>
      <c r="E319" s="23" t="s">
        <v>282</v>
      </c>
      <c r="F319" s="23" t="s">
        <v>92</v>
      </c>
      <c r="G319" s="73" cm="1">
        <f t="array" ref="G319">IF(G317=0,"-",
(G317+G318)*Calc_ROM_2[Ausnet])</f>
        <v>1.4209982075363477E-2</v>
      </c>
      <c r="H319" s="73" t="str" cm="1">
        <f t="array" ref="H319">IF(H317=0,"-",
(H317+H318)*Calc_ROM_2[Citipower])</f>
        <v>-</v>
      </c>
      <c r="I319" s="73" t="str" cm="1">
        <f t="array" ref="I319">IF(I317=0,"-",
(I317+I318)*Calc_ROM_2[Jemena])</f>
        <v>-</v>
      </c>
      <c r="J319" s="73" t="str" cm="1">
        <f t="array" ref="J319">IF(J317=0,"-",
(J317+J318)*Calc_ROM_2[Powercor])</f>
        <v>-</v>
      </c>
      <c r="K319" s="73" t="str" cm="1">
        <f t="array" ref="K319">IF(K317=0,"-",
(K317+K318)*Calc_ROM_2[United Energy])</f>
        <v>-</v>
      </c>
    </row>
    <row r="320" spans="2:11" hidden="1" outlineLevel="2" x14ac:dyDescent="0.25">
      <c r="B320"/>
      <c r="C320" s="23" t="s">
        <v>277</v>
      </c>
      <c r="D320" s="23" t="s">
        <v>9</v>
      </c>
      <c r="E320" s="23" t="s">
        <v>282</v>
      </c>
      <c r="F320" s="23" t="s">
        <v>92</v>
      </c>
      <c r="G320" s="73">
        <f>IF(G317=0,"-",
(G317+G318+G319)*GST)</f>
        <v>2.4947458597210981E-2</v>
      </c>
      <c r="H320" s="73" t="str">
        <f>IF(H317=0,"-",
(H317+H318+H319)*GST)</f>
        <v>-</v>
      </c>
      <c r="I320" s="73" t="str">
        <f>IF(I317=0,"-",
(I317+I318+I319)*GST)</f>
        <v>-</v>
      </c>
      <c r="J320" s="73" t="str">
        <f>IF(J317=0,"-",
(J317+J318+J319)*GST)</f>
        <v>-</v>
      </c>
      <c r="K320" s="73" t="str">
        <f>IF(K317=0,"-",
(K317+K318+K319)*GST)</f>
        <v>-</v>
      </c>
    </row>
    <row r="321" spans="2:11" hidden="1" outlineLevel="2" x14ac:dyDescent="0.25">
      <c r="B321"/>
      <c r="C321" s="23" t="str">
        <f>C316&amp;" charge"</f>
        <v>Balance charge</v>
      </c>
      <c r="D321" s="23" t="s">
        <v>9</v>
      </c>
      <c r="E321" s="23" t="s">
        <v>282</v>
      </c>
      <c r="F321" s="23" t="s">
        <v>92</v>
      </c>
      <c r="G321" s="74">
        <f>IF(G317=0,"-",
G317+G318+G319+G320)</f>
        <v>0.27442204456932073</v>
      </c>
      <c r="H321" s="74" t="str">
        <f t="shared" ref="H321" si="63">IF(H317=0,"-",
H317+H318+H319+H320)</f>
        <v>-</v>
      </c>
      <c r="I321" s="74" t="str">
        <f t="shared" ref="I321" si="64">IF(I317=0,"-",
I317+I318+I319+I320)</f>
        <v>-</v>
      </c>
      <c r="J321" s="74" t="str">
        <f t="shared" ref="J321" si="65">IF(J317=0,"-",
J317+J318+J319+J320)</f>
        <v>-</v>
      </c>
      <c r="K321" s="74" t="str">
        <f t="shared" ref="K321" si="66">IF(K317=0,"-",
K317+K318+K319+K320)</f>
        <v>-</v>
      </c>
    </row>
    <row r="322" spans="2:11" hidden="1" outlineLevel="2" x14ac:dyDescent="0.25">
      <c r="B322"/>
      <c r="G322" s="110" cm="1">
        <f t="array" ref="G322">IF($D$254='Lookup refs'!$D$25,
IF(G321=INDEX(RateCheck_VDO2021F[[Ausnet]:[United Energy]],MATCH(Calc_Rates!$C321&amp;"_"&amp;Calc_Rates!$F321,RateCheck_VDO2021F[Rate],0),MATCH(Calc_Rates!G$9,RateCheck_VDO2021F[[#Headers],[Ausnet]:[United Energy]],0)),0,1),
IF(G321="-","-",
IF(ROUND(G321,8)=ROUND((((
SUMIFS(Calc_Variable_2[Ausnet],Calc_Variable_2[Customer type],Calc_Rates!$F321)+
SUMIFS(Calc_Variable_2[Ausnet],Calc_Variable_2[Customer type],"All")+G317)*(1+Calc_ROM_2[Ausnet]))*(1+GST)),8),0,1)))</f>
        <v>0</v>
      </c>
      <c r="H322" s="110" t="str" cm="1">
        <f t="array" ref="H322">IF($D$254='Lookup refs'!$D$25,
IF(H321=INDEX(RateCheck_VDO2021F[[Ausnet]:[United Energy]],MATCH(Calc_Rates!$C321&amp;"_"&amp;Calc_Rates!$F321,RateCheck_VDO2021F[Rate],0),MATCH(Calc_Rates!H$9,RateCheck_VDO2021F[[#Headers],[Ausnet]:[United Energy]],0)),0,1),
IF(H321="-","-",
IF(ROUND(H321,8)=ROUND((((
SUMIFS(Calc_Variable_2[Citipower],Calc_Variable_2[Customer type],Calc_Rates!$F321)+
SUMIFS(Calc_Variable_2[Citipower],Calc_Variable_2[Customer type],"All")+H317)*(1+Calc_ROM_2[Citipower]))*(1+GST)),8),0,1)))</f>
        <v>-</v>
      </c>
      <c r="I322" s="110" t="str" cm="1">
        <f t="array" ref="I322">IF($D$254='Lookup refs'!$D$25,
IF(I321=INDEX(RateCheck_VDO2021F[[Ausnet]:[United Energy]],MATCH(Calc_Rates!$C321&amp;"_"&amp;Calc_Rates!$F321,RateCheck_VDO2021F[Rate],0),MATCH(Calc_Rates!I$9,RateCheck_VDO2021F[[#Headers],[Ausnet]:[United Energy]],0)),0,1),
IF(I321="-","-",
IF(ROUND(I321,8)=ROUND((((
SUMIFS(Calc_Variable_2[Jemena],Calc_Variable_2[Customer type],Calc_Rates!$F321)+
SUMIFS(Calc_Variable_2[Jemena],Calc_Variable_2[Customer type],"All")+I317)*(1+Calc_ROM_2[Jemena]))*(1+GST)),8),0,1)))</f>
        <v>-</v>
      </c>
      <c r="J322" s="110" t="str" cm="1">
        <f t="array" ref="J322">IF($D$254='Lookup refs'!$D$25,
IF(J321=INDEX(RateCheck_VDO2021F[[Ausnet]:[United Energy]],MATCH(Calc_Rates!$C321&amp;"_"&amp;Calc_Rates!$F321,RateCheck_VDO2021F[Rate],0),MATCH(Calc_Rates!J$9,RateCheck_VDO2021F[[#Headers],[Ausnet]:[United Energy]],0)),0,1),
IF(J321="-","-",
IF(ROUND(J321,8)=ROUND((((
SUMIFS(Calc_Variable_2[Powercor],Calc_Variable_2[[Customer type]:[Customer type]],Calc_Rates!$F321)+
SUMIFS(Calc_Variable_2[Powercor],Calc_Variable_2[[Customer type]:[Customer type]],"All")+J317)*(1+Calc_ROM_2[Powercor]))*(1+GST)),8),0,1)))</f>
        <v>-</v>
      </c>
      <c r="K322" s="110" t="str" cm="1">
        <f t="array" ref="K322">IF($D$254='Lookup refs'!$D$25,
IF(K321=INDEX(RateCheck_VDO2021F[[Ausnet]:[United Energy]],MATCH(Calc_Rates!$C321&amp;"_"&amp;Calc_Rates!$F321,RateCheck_VDO2021F[[Rate]:[Rate]],0),MATCH(Calc_Rates!K$9,RateCheck_VDO2021F[[#Headers],[Ausnet]:[United Energy]],0)),0,1),
IF(K321="-","-",
IF(ROUND(K321,8)=ROUND((((
SUMIFS(Calc_Variable_2[United Energy],Calc_Variable_2[[Customer type]:[Customer type]],Calc_Rates!$F321)+
SUMIFS(Calc_Variable_2[United Energy],Calc_Variable_2[[Customer type]:[Customer type]],"All")+K317)*(1+Calc_ROM_2[United Energy]))*(1+GST)),8),0,1)))</f>
        <v>-</v>
      </c>
    </row>
    <row r="323" spans="2:11" ht="15.75" hidden="1" outlineLevel="2" x14ac:dyDescent="0.25">
      <c r="B323"/>
      <c r="C323" s="81" t="s">
        <v>549</v>
      </c>
    </row>
    <row r="324" spans="2:11" hidden="1" outlineLevel="2" x14ac:dyDescent="0.25">
      <c r="B324"/>
      <c r="C324" s="23" t="s">
        <v>286</v>
      </c>
      <c r="D324" s="23" t="s">
        <v>9</v>
      </c>
      <c r="E324" s="23" t="s">
        <v>282</v>
      </c>
      <c r="F324" s="23" t="s">
        <v>92</v>
      </c>
      <c r="G324" s="61">
        <f>SUMIFS(Calc_NetworkV_2[Ausnet],Calc_NetworkV_2[[Cost item]:[Cost item]],$C323,Calc_NetworkV_2[[Customer type]:[Customer type]],$F324)</f>
        <v>0</v>
      </c>
      <c r="H324" s="61">
        <f>SUMIFS(Calc_NetworkV_2[Citipower],Calc_NetworkV_2[[Cost item]:[Cost item]],$C323,Calc_NetworkV_2[[Customer type]:[Customer type]],$F324)</f>
        <v>8.0500000000000002E-2</v>
      </c>
      <c r="I324" s="61">
        <f>SUMIFS(Calc_NetworkV_2[Jemena],Calc_NetworkV_2[[Cost item]:[Cost item]],$C323,Calc_NetworkV_2[[Customer type]:[Customer type]],$F324)</f>
        <v>8.6699999999999999E-2</v>
      </c>
      <c r="J324" s="61">
        <f>SUMIFS(Calc_NetworkV_2[Powercor],Calc_NetworkV_2[[Cost item]:[Cost item]],$C323,Calc_NetworkV_2[[Customer type]:[Customer type]],$F324)</f>
        <v>8.1500000000000003E-2</v>
      </c>
      <c r="K324" s="61">
        <f>SUMIFS(Calc_NetworkV_2[United Energy],Calc_NetworkV_2[[Cost item]:[Cost item]],$C323,Calc_NetworkV_2[[Customer type]:[Customer type]],$F324)</f>
        <v>7.9899999999999999E-2</v>
      </c>
    </row>
    <row r="325" spans="2:11" hidden="1" outlineLevel="2" x14ac:dyDescent="0.25">
      <c r="B325"/>
      <c r="C325" s="23" t="s">
        <v>280</v>
      </c>
      <c r="D325" s="23" t="s">
        <v>9</v>
      </c>
      <c r="E325" s="23" t="s">
        <v>282</v>
      </c>
      <c r="F325" s="23" t="s">
        <v>92</v>
      </c>
      <c r="G325" s="61">
        <f>SUMIFS(Calc_Variable_2[Ausnet],Calc_Variable_2[[Customer type]:[Customer type]],"All")+SUMIFS(Calc_Variable_2[Ausnet],Calc_Variable_2[[Customer type]:[Customer type]],$F325)</f>
        <v>0.10688260389674629</v>
      </c>
      <c r="H325" s="61">
        <f>SUMIFS(Calc_Variable_2[Citipower],Calc_Variable_2[[Customer type]:[Customer type]],"All")+SUMIFS(Calc_Variable_2[Citipower],Calc_Variable_2[[Customer type]:[Customer type]],$F325)</f>
        <v>9.9963216490245504E-2</v>
      </c>
      <c r="I325" s="61">
        <f>SUMIFS(Calc_Variable_2[Jemena],Calc_Variable_2[[Customer type]:[Customer type]],"All")+SUMIFS(Calc_Variable_2[Jemena],Calc_Variable_2[[Customer type]:[Customer type]],$F325)</f>
        <v>0.10555908257015505</v>
      </c>
      <c r="J325" s="61">
        <f>SUMIFS(Calc_Variable_2[Powercor],Calc_Variable_2[[Customer type]:[Customer type]],"All")+SUMIFS(Calc_Variable_2[Powercor],Calc_Variable_2[[Customer type]:[Customer type]],$F325)</f>
        <v>0.10435128952857975</v>
      </c>
      <c r="K325" s="61">
        <f>SUMIFS(Calc_Variable_2[United Energy],Calc_Variable_2[[Customer type]:[Customer type]],"All")+SUMIFS(Calc_Variable_2[United Energy],Calc_Variable_2[[Customer type]:[Customer type]],$F325)</f>
        <v>0.10669616224585265</v>
      </c>
    </row>
    <row r="326" spans="2:11" hidden="1" outlineLevel="2" x14ac:dyDescent="0.25">
      <c r="B326"/>
      <c r="C326" s="23" t="s">
        <v>203</v>
      </c>
      <c r="D326" s="23" t="s">
        <v>9</v>
      </c>
      <c r="E326" s="23" t="s">
        <v>282</v>
      </c>
      <c r="F326" s="23" t="s">
        <v>92</v>
      </c>
      <c r="G326" s="73" t="str" cm="1">
        <f t="array" ref="G326">IF(G324=0,"-",
(G324+G325)*Calc_ROM_2[Ausnet])</f>
        <v>-</v>
      </c>
      <c r="H326" s="341" cm="1">
        <f t="array" ref="H326">IF(H324=0,"-",
(H324+H325)*Calc_ROM_2[Citipower])</f>
        <v>1.0899978276010828E-2</v>
      </c>
      <c r="I326" s="341" cm="1">
        <f t="array" ref="I326">IF(I324=0,"-",
(I324+I325)*Calc_ROM_2[Jemena])</f>
        <v>1.1612448587237366E-2</v>
      </c>
      <c r="J326" s="341" cm="1">
        <f t="array" ref="J326">IF(J324=0,"-",
(J324+J325)*Calc_ROM_2[Powercor])</f>
        <v>1.1225417887526219E-2</v>
      </c>
      <c r="K326" s="341" cm="1">
        <f t="array" ref="K326">IF(K324=0,"-",
(K324+K325)*Calc_ROM_2[United Energy])</f>
        <v>1.1270408199649501E-2</v>
      </c>
    </row>
    <row r="327" spans="2:11" hidden="1" outlineLevel="2" x14ac:dyDescent="0.25">
      <c r="B327"/>
      <c r="C327" s="23" t="s">
        <v>277</v>
      </c>
      <c r="D327" s="23" t="s">
        <v>9</v>
      </c>
      <c r="E327" s="23" t="s">
        <v>282</v>
      </c>
      <c r="F327" s="23" t="s">
        <v>92</v>
      </c>
      <c r="G327" s="73" t="str">
        <f>IF(G324=0,"-",
(G324+G325+G326)*GST)</f>
        <v>-</v>
      </c>
      <c r="H327" s="341">
        <f>IF(H324=0,"-",
(H324+H325+H326)*GST)</f>
        <v>1.9136319476625634E-2</v>
      </c>
      <c r="I327" s="341">
        <f>IF(I324=0,"-",
(I324+I325+I326)*GST)</f>
        <v>2.0387153115739243E-2</v>
      </c>
      <c r="J327" s="341">
        <f>IF(J324=0,"-",
(J324+J325+J326)*GST)</f>
        <v>1.9707670741610599E-2</v>
      </c>
      <c r="K327" s="341">
        <f>IF(K324=0,"-",
(K324+K325+K326)*GST)</f>
        <v>1.9786657044550217E-2</v>
      </c>
    </row>
    <row r="328" spans="2:11" hidden="1" outlineLevel="2" x14ac:dyDescent="0.25">
      <c r="B328"/>
      <c r="C328" s="23" t="str">
        <f>C323&amp;" charge"</f>
        <v>Single rate charge</v>
      </c>
      <c r="D328" s="23" t="s">
        <v>9</v>
      </c>
      <c r="E328" s="23" t="s">
        <v>282</v>
      </c>
      <c r="F328" s="23" t="s">
        <v>92</v>
      </c>
      <c r="G328" s="74" t="str">
        <f>IF(G324=0,"-",
G324+G325+G326+G327)</f>
        <v>-</v>
      </c>
      <c r="H328" s="74">
        <f t="shared" ref="H328" si="67">IF(H324=0,"-",
H324+H325+H326+H327)</f>
        <v>0.21049951424288196</v>
      </c>
      <c r="I328" s="74">
        <f t="shared" ref="I328" si="68">IF(I324=0,"-",
I324+I325+I326+I327)</f>
        <v>0.22425868427313167</v>
      </c>
      <c r="J328" s="74">
        <f t="shared" ref="J328" si="69">IF(J324=0,"-",
J324+J325+J326+J327)</f>
        <v>0.21678437815771656</v>
      </c>
      <c r="K328" s="74">
        <f t="shared" ref="K328" si="70">IF(K324=0,"-",
K324+K325+K326+K327)</f>
        <v>0.21765322749005236</v>
      </c>
    </row>
    <row r="329" spans="2:11" hidden="1" outlineLevel="2" x14ac:dyDescent="0.25">
      <c r="B329"/>
      <c r="G329" s="110" t="str" cm="1">
        <f t="array" ref="G329">IF($D$254='Lookup refs'!$D$25,
IF(G328=INDEX(RateCheck_VDO2021F[[Ausnet]:[United Energy]],MATCH(Calc_Rates!$C328&amp;"_"&amp;Calc_Rates!$F328,RateCheck_VDO2021F[Rate],0),MATCH(Calc_Rates!G$9,RateCheck_VDO2021F[[#Headers],[Ausnet]:[United Energy]],0)),0,1),
IF(G328="-","-",
IF(ROUND(G328,8)=ROUND((((
SUMIFS(Calc_Variable_2[Ausnet],Calc_Variable_2[Customer type],Calc_Rates!$F328)+
SUMIFS(Calc_Variable_2[Ausnet],Calc_Variable_2[Customer type],"All")+G324)*(1+Calc_ROM_2[Ausnet]))*(1+GST)),8),0,1)))</f>
        <v>-</v>
      </c>
      <c r="H329" s="110" cm="1">
        <f t="array" ref="H329">IF($D$254='Lookup refs'!$D$25,
IF(H328=INDEX(RateCheck_VDO2021F[[Ausnet]:[United Energy]],MATCH(Calc_Rates!$C328&amp;"_"&amp;Calc_Rates!$F328,RateCheck_VDO2021F[Rate],0),MATCH(Calc_Rates!H$9,RateCheck_VDO2021F[[#Headers],[Ausnet]:[United Energy]],0)),0,1),
IF(H328="-","-",
IF(ROUND(H328,8)=ROUND((((
SUMIFS(Calc_Variable_2[Citipower],Calc_Variable_2[Customer type],Calc_Rates!$F328)+
SUMIFS(Calc_Variable_2[Citipower],Calc_Variable_2[Customer type],"All")+H324)*(1+Calc_ROM_2[Citipower]))*(1+GST)),8),0,1)))</f>
        <v>0</v>
      </c>
      <c r="I329" s="110" cm="1">
        <f t="array" ref="I329">IF($D$254='Lookup refs'!$D$25,
IF(I328=INDEX(RateCheck_VDO2021F[[Ausnet]:[United Energy]],MATCH(Calc_Rates!$C328&amp;"_"&amp;Calc_Rates!$F328,RateCheck_VDO2021F[Rate],0),MATCH(Calc_Rates!I$9,RateCheck_VDO2021F[[#Headers],[Ausnet]:[United Energy]],0)),0,1),
IF(I328="-","-",
IF(ROUND(I328,8)=ROUND((((
SUMIFS(Calc_Variable_2[Jemena],Calc_Variable_2[Customer type],Calc_Rates!$F328)+
SUMIFS(Calc_Variable_2[Jemena],Calc_Variable_2[Customer type],"All")+I324)*(1+Calc_ROM_2[Jemena]))*(1+GST)),8),0,1)))</f>
        <v>0</v>
      </c>
      <c r="J329" s="110" cm="1">
        <f t="array" ref="J329">IF($D$254='Lookup refs'!$D$25,
IF(J328=INDEX(RateCheck_VDO2021F[[Ausnet]:[United Energy]],MATCH(Calc_Rates!$C328&amp;"_"&amp;Calc_Rates!$F328,RateCheck_VDO2021F[Rate],0),MATCH(Calc_Rates!J$9,RateCheck_VDO2021F[[#Headers],[Ausnet]:[United Energy]],0)),0,1),
IF(J328="-","-",
IF(ROUND(J328,8)=ROUND((((
SUMIFS(Calc_Variable_2[Powercor],Calc_Variable_2[[Customer type]:[Customer type]],Calc_Rates!$F328)+
SUMIFS(Calc_Variable_2[Powercor],Calc_Variable_2[[Customer type]:[Customer type]],"All")+J324)*(1+Calc_ROM_2[Powercor]))*(1+GST)),8),0,1)))</f>
        <v>0</v>
      </c>
      <c r="K329" s="110" cm="1">
        <f t="array" ref="K329">IF($D$254='Lookup refs'!$D$25,
IF(K328=INDEX(RateCheck_VDO2021F[[Ausnet]:[United Energy]],MATCH(Calc_Rates!$C328&amp;"_"&amp;Calc_Rates!$F328,RateCheck_VDO2021F[[Rate]:[Rate]],0),MATCH(Calc_Rates!K$9,RateCheck_VDO2021F[[#Headers],[Ausnet]:[United Energy]],0)),0,1),
IF(K328="-","-",
IF(ROUND(K328,8)=ROUND((((
SUMIFS(Calc_Variable_2[United Energy],Calc_Variable_2[[Customer type]:[Customer type]],Calc_Rates!$F328)+
SUMIFS(Calc_Variable_2[United Energy],Calc_Variable_2[[Customer type]:[Customer type]],"All")+K324)*(1+Calc_ROM_2[United Energy]))*(1+GST)),8),0,1)))</f>
        <v>0</v>
      </c>
    </row>
    <row r="330" spans="2:11" ht="15.75" hidden="1" outlineLevel="2" x14ac:dyDescent="0.25">
      <c r="B330"/>
      <c r="C330" s="1" t="s">
        <v>616</v>
      </c>
    </row>
    <row r="331" spans="2:11" ht="15.75" hidden="1" outlineLevel="2" x14ac:dyDescent="0.25">
      <c r="B331"/>
      <c r="C331" s="81" t="s">
        <v>230</v>
      </c>
    </row>
    <row r="332" spans="2:11" hidden="1" outlineLevel="2" x14ac:dyDescent="0.25">
      <c r="B332"/>
      <c r="C332" s="23" t="s">
        <v>286</v>
      </c>
      <c r="D332" s="23" t="s">
        <v>9</v>
      </c>
      <c r="E332" s="23" t="s">
        <v>282</v>
      </c>
      <c r="F332" s="23" t="s">
        <v>92</v>
      </c>
      <c r="G332" s="61">
        <f>SUMIFS(Calc_NetworkV_2[Ausnet],Calc_NetworkV_2[[Cost item]:[Cost item]],$C331,Calc_NetworkV_2[[Customer type]:[Customer type]],$F332)</f>
        <v>0.20853200000000002</v>
      </c>
      <c r="H332" s="61">
        <f>SUMIFS(Calc_NetworkV_2[Citipower],Calc_NetworkV_2[[Cost item]:[Cost item]],$C331,Calc_NetworkV_2[[Customer type]:[Customer type]],$F332)</f>
        <v>0.15939999999999999</v>
      </c>
      <c r="I332" s="61">
        <f>SUMIFS(Calc_NetworkV_2[Jemena],Calc_NetworkV_2[[Cost item]:[Cost item]],$C331,Calc_NetworkV_2[[Customer type]:[Customer type]],$F332)</f>
        <v>0.13492000000000001</v>
      </c>
      <c r="J332" s="61">
        <f>SUMIFS(Calc_NetworkV_2[Powercor],Calc_NetworkV_2[[Cost item]:[Cost item]],$C331,Calc_NetworkV_2[[Customer type]:[Customer type]],$F332)</f>
        <v>0.15869999999999998</v>
      </c>
      <c r="K332" s="61">
        <f>SUMIFS(Calc_NetworkV_2[United Energy],Calc_NetworkV_2[[Cost item]:[Cost item]],$C331,Calc_NetworkV_2[[Customer type]:[Customer type]],$F332)</f>
        <v>0.15789999999999998</v>
      </c>
    </row>
    <row r="333" spans="2:11" hidden="1" outlineLevel="2" x14ac:dyDescent="0.25">
      <c r="B333"/>
      <c r="C333" s="23" t="s">
        <v>280</v>
      </c>
      <c r="D333" s="23" t="s">
        <v>9</v>
      </c>
      <c r="E333" s="23" t="s">
        <v>282</v>
      </c>
      <c r="F333" s="23" t="s">
        <v>92</v>
      </c>
      <c r="G333" s="61">
        <f>SUMIFS(Calc_Variable_2[Ausnet],Calc_Variable_2[[Customer type]:[Customer type]],"All")+SUMIFS(Calc_Variable_2[Ausnet],Calc_Variable_2[[Customer type]:[Customer type]],$F333)</f>
        <v>0.10688260389674629</v>
      </c>
      <c r="H333" s="61">
        <f>SUMIFS(Calc_Variable_2[Citipower],Calc_Variable_2[[Customer type]:[Customer type]],"All")+SUMIFS(Calc_Variable_2[Citipower],Calc_Variable_2[[Customer type]:[Customer type]],$F333)</f>
        <v>9.9963216490245504E-2</v>
      </c>
      <c r="I333" s="61">
        <f>SUMIFS(Calc_Variable_2[Jemena],Calc_Variable_2[[Customer type]:[Customer type]],"All")+SUMIFS(Calc_Variable_2[Jemena],Calc_Variable_2[[Customer type]:[Customer type]],$F333)</f>
        <v>0.10555908257015505</v>
      </c>
      <c r="J333" s="61">
        <f>SUMIFS(Calc_Variable_2[Powercor],Calc_Variable_2[[Customer type]:[Customer type]],"All")+SUMIFS(Calc_Variable_2[Powercor],Calc_Variable_2[[Customer type]:[Customer type]],$F333)</f>
        <v>0.10435128952857975</v>
      </c>
      <c r="K333" s="61">
        <f>SUMIFS(Calc_Variable_2[United Energy],Calc_Variable_2[[Customer type]:[Customer type]],"All")+SUMIFS(Calc_Variable_2[United Energy],Calc_Variable_2[[Customer type]:[Customer type]],$F333)</f>
        <v>0.10669616224585265</v>
      </c>
    </row>
    <row r="334" spans="2:11" hidden="1" outlineLevel="2" x14ac:dyDescent="0.25">
      <c r="B334"/>
      <c r="C334" s="23" t="s">
        <v>203</v>
      </c>
      <c r="D334" s="23" t="s">
        <v>9</v>
      </c>
      <c r="E334" s="23" t="s">
        <v>282</v>
      </c>
      <c r="F334" s="23" t="s">
        <v>92</v>
      </c>
      <c r="G334" s="73" cm="1">
        <f t="array" ref="G334">IF(G332=0,"-",
(G332+G333)*Calc_ROM_2[Ausnet])</f>
        <v>1.9051042075363477E-2</v>
      </c>
      <c r="H334" s="73" cm="1">
        <f t="array" ref="H334">IF(H332=0,"-",
(H332+H333)*Calc_ROM_2[Citipower])</f>
        <v>1.5665538276010828E-2</v>
      </c>
      <c r="I334" s="73" cm="1">
        <f t="array" ref="I334">IF(I332=0,"-",
(I332+I333)*Calc_ROM_2[Jemena])</f>
        <v>1.4524936587237365E-2</v>
      </c>
      <c r="J334" s="73" cm="1">
        <f t="array" ref="J334">IF(J332=0,"-",
(J332+J333)*Calc_ROM_2[Powercor])</f>
        <v>1.5888297887526215E-2</v>
      </c>
      <c r="K334" s="73" cm="1">
        <f t="array" ref="K334">IF(K332=0,"-",
(K332+K333)*Calc_ROM_2[United Energy])</f>
        <v>1.59816081996495E-2</v>
      </c>
    </row>
    <row r="335" spans="2:11" hidden="1" outlineLevel="2" x14ac:dyDescent="0.25">
      <c r="B335"/>
      <c r="C335" s="23" t="s">
        <v>277</v>
      </c>
      <c r="D335" s="23" t="s">
        <v>9</v>
      </c>
      <c r="E335" s="23" t="s">
        <v>282</v>
      </c>
      <c r="F335" s="23" t="s">
        <v>92</v>
      </c>
      <c r="G335" s="73">
        <f>IF(G332=0,"-",
(G332+G333+G334)*GST)</f>
        <v>3.344656459721098E-2</v>
      </c>
      <c r="H335" s="73">
        <f>IF(H332=0,"-",
(H332+H333+H334)*GST)</f>
        <v>2.7502875476625634E-2</v>
      </c>
      <c r="I335" s="73">
        <f>IF(I332=0,"-",
(I332+I333+I334)*GST)</f>
        <v>2.550040191573924E-2</v>
      </c>
      <c r="J335" s="73">
        <f>IF(J332=0,"-",
(J332+J333+J334)*GST)</f>
        <v>2.7893958741610592E-2</v>
      </c>
      <c r="K335" s="73">
        <f>IF(K332=0,"-",
(K332+K333+K334)*GST)</f>
        <v>2.8057777044550217E-2</v>
      </c>
    </row>
    <row r="336" spans="2:11" hidden="1" outlineLevel="2" x14ac:dyDescent="0.25">
      <c r="B336"/>
      <c r="C336" s="23" t="str">
        <f>C331&amp;" charge"</f>
        <v>Peak charge</v>
      </c>
      <c r="D336" s="23" t="s">
        <v>9</v>
      </c>
      <c r="E336" s="23" t="s">
        <v>282</v>
      </c>
      <c r="F336" s="23" t="s">
        <v>92</v>
      </c>
      <c r="G336" s="74">
        <f>IF(G332=0,"-",
G332+G333+G334+G335)</f>
        <v>0.36791221056932072</v>
      </c>
      <c r="H336" s="74">
        <f t="shared" ref="H336" si="71">IF(H332=0,"-",
H332+H333+H334+H335)</f>
        <v>0.30253163024288193</v>
      </c>
      <c r="I336" s="74">
        <f t="shared" ref="I336" si="72">IF(I332=0,"-",
I332+I333+I334+I335)</f>
        <v>0.28050442107313167</v>
      </c>
      <c r="J336" s="74">
        <f t="shared" ref="J336" si="73">IF(J332=0,"-",
J332+J333+J334+J335)</f>
        <v>0.30683354615771652</v>
      </c>
      <c r="K336" s="74">
        <f t="shared" ref="K336" si="74">IF(K332=0,"-",
K332+K333+K334+K335)</f>
        <v>0.30863554749005234</v>
      </c>
    </row>
    <row r="337" spans="2:11" hidden="1" outlineLevel="2" x14ac:dyDescent="0.25">
      <c r="B337"/>
      <c r="G337" s="110" cm="1">
        <f t="array" ref="G337">IF($D$254='Lookup refs'!$D$25,
IF(G336=INDEX(RateCheck_VDO2021F[[Ausnet]:[United Energy]],MATCH(Calc_Rates!$C336&amp;"_"&amp;Calc_Rates!$F336,RateCheck_VDO2021F[Rate],0),MATCH(Calc_Rates!G$9,RateCheck_VDO2021F[[#Headers],[Ausnet]:[United Energy]],0)),0,1),
IF(G336="-","-",
IF(ROUND(G336,8)=ROUND((((
SUMIFS(Calc_Variable_2[Ausnet],Calc_Variable_2[Customer type],Calc_Rates!$F336)+
SUMIFS(Calc_Variable_2[Ausnet],Calc_Variable_2[Customer type],"All")+G332)*(1+Calc_ROM_2[Ausnet]))*(1+GST)),8),0,1)))</f>
        <v>0</v>
      </c>
      <c r="H337" s="110" cm="1">
        <f t="array" ref="H337">IF($D$254='Lookup refs'!$D$25,
IF(H336=INDEX(RateCheck_VDO2021F[[Ausnet]:[United Energy]],MATCH(Calc_Rates!$C336&amp;"_"&amp;Calc_Rates!$F336,RateCheck_VDO2021F[Rate],0),MATCH(Calc_Rates!H$9,RateCheck_VDO2021F[[#Headers],[Ausnet]:[United Energy]],0)),0,1),
IF(H336="-","-",
IF(ROUND(H336,8)=ROUND((((
SUMIFS(Calc_Variable_2[Citipower],Calc_Variable_2[Customer type],Calc_Rates!$F336)+
SUMIFS(Calc_Variable_2[Citipower],Calc_Variable_2[Customer type],"All")+H332)*(1+Calc_ROM_2[Citipower]))*(1+GST)),8),0,1)))</f>
        <v>0</v>
      </c>
      <c r="I337" s="110" cm="1">
        <f t="array" ref="I337">IF($D$254='Lookup refs'!$D$25,
IF(I336=INDEX(RateCheck_VDO2021F[[Ausnet]:[United Energy]],MATCH(Calc_Rates!$C336&amp;"_"&amp;Calc_Rates!$F336,RateCheck_VDO2021F[Rate],0),MATCH(Calc_Rates!I$9,RateCheck_VDO2021F[[#Headers],[Ausnet]:[United Energy]],0)),0,1),
IF(I336="-","-",
IF(ROUND(I336,8)=ROUND((((
SUMIFS(Calc_Variable_2[Jemena],Calc_Variable_2[Customer type],Calc_Rates!$F336)+
SUMIFS(Calc_Variable_2[Jemena],Calc_Variable_2[Customer type],"All")+I332)*(1+Calc_ROM_2[Jemena]))*(1+GST)),8),0,1)))</f>
        <v>0</v>
      </c>
      <c r="J337" s="110" cm="1">
        <f t="array" ref="J337">IF($D$254='Lookup refs'!$D$25,
IF(J336=INDEX(RateCheck_VDO2021F[[Ausnet]:[United Energy]],MATCH(Calc_Rates!$C336&amp;"_"&amp;Calc_Rates!$F336,RateCheck_VDO2021F[Rate],0),MATCH(Calc_Rates!J$9,RateCheck_VDO2021F[[#Headers],[Ausnet]:[United Energy]],0)),0,1),
IF(J336="-","-",
IF(ROUND(J336,8)=ROUND((((
SUMIFS(Calc_Variable_2[Powercor],Calc_Variable_2[[Customer type]:[Customer type]],Calc_Rates!$F336)+
SUMIFS(Calc_Variable_2[Powercor],Calc_Variable_2[[Customer type]:[Customer type]],"All")+J332)*(1+Calc_ROM_2[Powercor]))*(1+GST)),8),0,1)))</f>
        <v>0</v>
      </c>
      <c r="K337" s="110" cm="1">
        <f t="array" ref="K337">IF($D$254='Lookup refs'!$D$25,
IF(K336=INDEX(RateCheck_VDO2021F[[Ausnet]:[United Energy]],MATCH(Calc_Rates!$C336&amp;"_"&amp;Calc_Rates!$F336,RateCheck_VDO2021F[[Rate]:[Rate]],0),MATCH(Calc_Rates!K$9,RateCheck_VDO2021F[[#Headers],[Ausnet]:[United Energy]],0)),0,1),
IF(K336="-","-",
IF(ROUND(K336,8)=ROUND((((
SUMIFS(Calc_Variable_2[United Energy],Calc_Variable_2[[Customer type]:[Customer type]],Calc_Rates!$F336)+
SUMIFS(Calc_Variable_2[United Energy],Calc_Variable_2[[Customer type]:[Customer type]],"All")+K332)*(1+Calc_ROM_2[United Energy]))*(1+GST)),8),0,1)))</f>
        <v>0</v>
      </c>
    </row>
    <row r="338" spans="2:11" ht="15.75" hidden="1" outlineLevel="2" x14ac:dyDescent="0.25">
      <c r="B338"/>
      <c r="C338" s="81" t="s">
        <v>609</v>
      </c>
    </row>
    <row r="339" spans="2:11" hidden="1" outlineLevel="2" x14ac:dyDescent="0.25">
      <c r="B339"/>
      <c r="C339" s="23" t="s">
        <v>286</v>
      </c>
      <c r="D339" s="23" t="s">
        <v>9</v>
      </c>
      <c r="E339" s="23" t="s">
        <v>282</v>
      </c>
      <c r="F339" s="23" t="s">
        <v>92</v>
      </c>
      <c r="G339" s="61">
        <f>SUMIFS(Calc_NetworkV_2[Ausnet],Calc_NetworkV_2[[Cost item]:[Cost item]],$C338,Calc_NetworkV_2[[Customer type]:[Customer type]],$F339)</f>
        <v>4.3418999999999999E-2</v>
      </c>
      <c r="H339" s="61">
        <f>SUMIFS(Calc_NetworkV_2[Citipower],Calc_NetworkV_2[[Cost item]:[Cost item]],$C338,Calc_NetworkV_2[[Customer type]:[Customer type]],$F339)</f>
        <v>3.9800000000000002E-2</v>
      </c>
      <c r="I339" s="61">
        <f>SUMIFS(Calc_NetworkV_2[Jemena],Calc_NetworkV_2[[Cost item]:[Cost item]],$C338,Calc_NetworkV_2[[Customer type]:[Customer type]],$F339)</f>
        <v>3.8900000000000004E-2</v>
      </c>
      <c r="J339" s="61">
        <f>SUMIFS(Calc_NetworkV_2[Powercor],Calc_NetworkV_2[[Cost item]:[Cost item]],$C338,Calc_NetworkV_2[[Customer type]:[Customer type]],$F339)</f>
        <v>3.9599999999999996E-2</v>
      </c>
      <c r="K339" s="61">
        <f>SUMIFS(Calc_NetworkV_2[United Energy],Calc_NetworkV_2[[Cost item]:[Cost item]],$C338,Calc_NetworkV_2[[Customer type]:[Customer type]],$F339)</f>
        <v>3.95E-2</v>
      </c>
    </row>
    <row r="340" spans="2:11" hidden="1" outlineLevel="2" x14ac:dyDescent="0.25">
      <c r="B340"/>
      <c r="C340" s="23" t="s">
        <v>280</v>
      </c>
      <c r="D340" s="23" t="s">
        <v>9</v>
      </c>
      <c r="E340" s="23" t="s">
        <v>282</v>
      </c>
      <c r="F340" s="23" t="s">
        <v>92</v>
      </c>
      <c r="G340" s="61">
        <f>SUMIFS(Calc_Variable_2[Ausnet],Calc_Variable_2[[Customer type]:[Customer type]],"All")+SUMIFS(Calc_Variable_2[Ausnet],Calc_Variable_2[[Customer type]:[Customer type]],$F340)</f>
        <v>0.10688260389674629</v>
      </c>
      <c r="H340" s="61">
        <f>SUMIFS(Calc_Variable_2[Citipower],Calc_Variable_2[[Customer type]:[Customer type]],"All")+SUMIFS(Calc_Variable_2[Citipower],Calc_Variable_2[[Customer type]:[Customer type]],$F340)</f>
        <v>9.9963216490245504E-2</v>
      </c>
      <c r="I340" s="61">
        <f>SUMIFS(Calc_Variable_2[Jemena],Calc_Variable_2[[Customer type]:[Customer type]],"All")+SUMIFS(Calc_Variable_2[Jemena],Calc_Variable_2[[Customer type]:[Customer type]],$F340)</f>
        <v>0.10555908257015505</v>
      </c>
      <c r="J340" s="61">
        <f>SUMIFS(Calc_Variable_2[Powercor],Calc_Variable_2[[Customer type]:[Customer type]],"All")+SUMIFS(Calc_Variable_2[Powercor],Calc_Variable_2[[Customer type]:[Customer type]],$F340)</f>
        <v>0.10435128952857975</v>
      </c>
      <c r="K340" s="61">
        <f>SUMIFS(Calc_Variable_2[United Energy],Calc_Variable_2[[Customer type]:[Customer type]],"All")+SUMIFS(Calc_Variable_2[United Energy],Calc_Variable_2[[Customer type]:[Customer type]],$F340)</f>
        <v>0.10669616224585265</v>
      </c>
    </row>
    <row r="341" spans="2:11" hidden="1" outlineLevel="2" x14ac:dyDescent="0.25">
      <c r="B341"/>
      <c r="C341" s="23" t="s">
        <v>203</v>
      </c>
      <c r="D341" s="23" t="s">
        <v>9</v>
      </c>
      <c r="E341" s="23" t="s">
        <v>282</v>
      </c>
      <c r="F341" s="23" t="s">
        <v>92</v>
      </c>
      <c r="G341" s="73" cm="1">
        <f t="array" ref="G341">IF(G339=0,"-",
(G339+G340)*Calc_ROM_2[Ausnet])</f>
        <v>9.0782168753634762E-3</v>
      </c>
      <c r="H341" s="73" cm="1">
        <f t="array" ref="H341">IF(H339=0,"-",
(H339+H340)*Calc_ROM_2[Citipower])</f>
        <v>8.4416982760108297E-3</v>
      </c>
      <c r="I341" s="73" cm="1">
        <f t="array" ref="I341">IF(I339=0,"-",
(I339+I340)*Calc_ROM_2[Jemena])</f>
        <v>8.7253285872373656E-3</v>
      </c>
      <c r="J341" s="73" cm="1">
        <f t="array" ref="J341">IF(J339=0,"-",
(J339+J340)*Calc_ROM_2[Powercor])</f>
        <v>8.6946578875262172E-3</v>
      </c>
      <c r="K341" s="73" cm="1">
        <f t="array" ref="K341">IF(K339=0,"-",
(K339+K340)*Calc_ROM_2[United Energy])</f>
        <v>8.8302481996495007E-3</v>
      </c>
    </row>
    <row r="342" spans="2:11" hidden="1" outlineLevel="2" x14ac:dyDescent="0.25">
      <c r="B342"/>
      <c r="C342" s="23" t="s">
        <v>277</v>
      </c>
      <c r="D342" s="23" t="s">
        <v>9</v>
      </c>
      <c r="E342" s="23" t="s">
        <v>282</v>
      </c>
      <c r="F342" s="23" t="s">
        <v>92</v>
      </c>
      <c r="G342" s="73">
        <f>IF(G339=0,"-",
(G339+G340+G341)*GST)</f>
        <v>1.5937982077210977E-2</v>
      </c>
      <c r="H342" s="73">
        <f>IF(H339=0,"-",
(H339+H340+H341)*GST)</f>
        <v>1.4820491476625633E-2</v>
      </c>
      <c r="I342" s="73">
        <f>IF(I339=0,"-",
(I339+I340+I341)*GST)</f>
        <v>1.5318441115739243E-2</v>
      </c>
      <c r="J342" s="73">
        <f>IF(J339=0,"-",
(J339+J340+J341)*GST)</f>
        <v>1.5264594741610597E-2</v>
      </c>
      <c r="K342" s="73">
        <f>IF(K339=0,"-",
(K339+K340+K341)*GST)</f>
        <v>1.5502641044550217E-2</v>
      </c>
    </row>
    <row r="343" spans="2:11" hidden="1" outlineLevel="2" x14ac:dyDescent="0.25">
      <c r="B343"/>
      <c r="C343" s="23" t="str">
        <f>C338&amp;" charge"</f>
        <v>Off peak charge</v>
      </c>
      <c r="D343" s="23" t="s">
        <v>9</v>
      </c>
      <c r="E343" s="23" t="s">
        <v>282</v>
      </c>
      <c r="F343" s="23" t="s">
        <v>92</v>
      </c>
      <c r="G343" s="74">
        <f>IF(G339=0,"-",
G339+G340+G341+G342)</f>
        <v>0.17531780284932075</v>
      </c>
      <c r="H343" s="74">
        <f t="shared" ref="H343" si="75">IF(H339=0,"-",
H339+H340+H341+H342)</f>
        <v>0.16302540624288198</v>
      </c>
      <c r="I343" s="74">
        <f t="shared" ref="I343" si="76">IF(I339=0,"-",
I339+I340+I341+I342)</f>
        <v>0.16850285227313166</v>
      </c>
      <c r="J343" s="74">
        <f t="shared" ref="J343" si="77">IF(J339=0,"-",
J339+J340+J341+J342)</f>
        <v>0.16791054215771656</v>
      </c>
      <c r="K343" s="74">
        <f t="shared" ref="K343" si="78">IF(K339=0,"-",
K339+K340+K341+K342)</f>
        <v>0.17052905149005237</v>
      </c>
    </row>
    <row r="344" spans="2:11" hidden="1" outlineLevel="2" x14ac:dyDescent="0.25">
      <c r="B344"/>
      <c r="G344" s="110" cm="1">
        <f t="array" ref="G344">IF($D$254='Lookup refs'!$D$25,
IF(G343=INDEX(RateCheck_VDO2021F[[Ausnet]:[United Energy]],MATCH(Calc_Rates!$C343&amp;"_"&amp;Calc_Rates!$F343,RateCheck_VDO2021F[Rate],0),MATCH(Calc_Rates!G$9,RateCheck_VDO2021F[[#Headers],[Ausnet]:[United Energy]],0)),0,1),
IF(G343="-","-",
IF(ROUND(G343,8)=ROUND((((
SUMIFS(Calc_Variable_2[Ausnet],Calc_Variable_2[Customer type],Calc_Rates!$F343)+
SUMIFS(Calc_Variable_2[Ausnet],Calc_Variable_2[Customer type],"All")+G339)*(1+Calc_ROM_2[Ausnet]))*(1+GST)),8),0,1)))</f>
        <v>0</v>
      </c>
      <c r="H344" s="110" cm="1">
        <f t="array" ref="H344">IF($D$254='Lookup refs'!$D$25,
IF(H343=INDEX(RateCheck_VDO2021F[[Ausnet]:[United Energy]],MATCH(Calc_Rates!$C343&amp;"_"&amp;Calc_Rates!$F343,RateCheck_VDO2021F[Rate],0),MATCH(Calc_Rates!H$9,RateCheck_VDO2021F[[#Headers],[Ausnet]:[United Energy]],0)),0,1),
IF(H343="-","-",
IF(ROUND(H343,8)=ROUND((((
SUMIFS(Calc_Variable_2[Citipower],Calc_Variable_2[Customer type],Calc_Rates!$F343)+
SUMIFS(Calc_Variable_2[Citipower],Calc_Variable_2[Customer type],"All")+H339)*(1+Calc_ROM_2[Citipower]))*(1+GST)),8),0,1)))</f>
        <v>0</v>
      </c>
      <c r="I344" s="110" cm="1">
        <f t="array" ref="I344">IF($D$254='Lookup refs'!$D$25,
IF(I343=INDEX(RateCheck_VDO2021F[[Ausnet]:[United Energy]],MATCH(Calc_Rates!$C343&amp;"_"&amp;Calc_Rates!$F343,RateCheck_VDO2021F[Rate],0),MATCH(Calc_Rates!I$9,RateCheck_VDO2021F[[#Headers],[Ausnet]:[United Energy]],0)),0,1),
IF(I343="-","-",
IF(ROUND(I343,8)=ROUND((((
SUMIFS(Calc_Variable_2[Jemena],Calc_Variable_2[Customer type],Calc_Rates!$F343)+
SUMIFS(Calc_Variable_2[Jemena],Calc_Variable_2[Customer type],"All")+I339)*(1+Calc_ROM_2[Jemena]))*(1+GST)),8),0,1)))</f>
        <v>0</v>
      </c>
      <c r="J344" s="110" cm="1">
        <f t="array" ref="J344">IF($D$254='Lookup refs'!$D$25,
IF(J343=INDEX(RateCheck_VDO2021F[[Ausnet]:[United Energy]],MATCH(Calc_Rates!$C343&amp;"_"&amp;Calc_Rates!$F343,RateCheck_VDO2021F[Rate],0),MATCH(Calc_Rates!J$9,RateCheck_VDO2021F[[#Headers],[Ausnet]:[United Energy]],0)),0,1),
IF(J343="-","-",
IF(ROUND(J343,8)=ROUND((((
SUMIFS(Calc_Variable_2[Powercor],Calc_Variable_2[[Customer type]:[Customer type]],Calc_Rates!$F343)+
SUMIFS(Calc_Variable_2[Powercor],Calc_Variable_2[[Customer type]:[Customer type]],"All")+J339)*(1+Calc_ROM_2[Powercor]))*(1+GST)),8),0,1)))</f>
        <v>0</v>
      </c>
      <c r="K344" s="110" cm="1">
        <f t="array" ref="K344">IF($D$254='Lookup refs'!$D$25,
IF(K343=INDEX(RateCheck_VDO2021F[[Ausnet]:[United Energy]],MATCH(Calc_Rates!$C343&amp;"_"&amp;Calc_Rates!$F343,RateCheck_VDO2021F[[Rate]:[Rate]],0),MATCH(Calc_Rates!K$9,RateCheck_VDO2021F[[#Headers],[Ausnet]:[United Energy]],0)),0,1),
IF(K343="-","-",
IF(ROUND(K343,8)=ROUND((((
SUMIFS(Calc_Variable_2[United Energy],Calc_Variable_2[[Customer type]:[Customer type]],Calc_Rates!$F343)+
SUMIFS(Calc_Variable_2[United Energy],Calc_Variable_2[[Customer type]:[Customer type]],"All")+K339)*(1+Calc_ROM_2[United Energy]))*(1+GST)),8),0,1)))</f>
        <v>0</v>
      </c>
    </row>
    <row r="345" spans="2:11" ht="15.75" hidden="1" outlineLevel="2" x14ac:dyDescent="0.25">
      <c r="B345"/>
      <c r="C345" s="81" t="s">
        <v>287</v>
      </c>
    </row>
    <row r="346" spans="2:11" hidden="1" outlineLevel="2" x14ac:dyDescent="0.25">
      <c r="B346"/>
      <c r="C346" s="23" t="s">
        <v>286</v>
      </c>
      <c r="D346" s="23" t="s">
        <v>9</v>
      </c>
      <c r="E346" s="23" t="s">
        <v>282</v>
      </c>
      <c r="F346" s="23" t="s">
        <v>92</v>
      </c>
      <c r="G346" s="61">
        <f>SUMIFS(Calc_NetworkV_2[Ausnet],Calc_NetworkV_2[[Cost item]:[Cost item]],$C345,Calc_NetworkV_2[[Customer type]:[Customer type]],$F346)</f>
        <v>4.2622999999999994E-2</v>
      </c>
      <c r="H346" s="61">
        <f>SUMIFS(Calc_NetworkV_2[Citipower],Calc_NetworkV_2[[Cost item]:[Cost item]],$C345,Calc_NetworkV_2[[Customer type]:[Customer type]],$F346)</f>
        <v>2.4700000000000003E-2</v>
      </c>
      <c r="I346" s="61">
        <f>SUMIFS(Calc_NetworkV_2[Jemena],Calc_NetworkV_2[[Cost item]:[Cost item]],$C345,Calc_NetworkV_2[[Customer type]:[Customer type]],$F346)</f>
        <v>3.5990000000000001E-2</v>
      </c>
      <c r="J346" s="61">
        <f>SUMIFS(Calc_NetworkV_2[Powercor],Calc_NetworkV_2[[Cost item]:[Cost item]],$C345,Calc_NetworkV_2[[Customer type]:[Customer type]],$F346)</f>
        <v>2.3900000000000001E-2</v>
      </c>
      <c r="K346" s="61">
        <f>SUMIFS(Calc_NetworkV_2[United Energy],Calc_NetworkV_2[[Cost item]:[Cost item]],$C345,Calc_NetworkV_2[[Customer type]:[Customer type]],$F346)</f>
        <v>2.1700000000000001E-2</v>
      </c>
    </row>
    <row r="347" spans="2:11" hidden="1" outlineLevel="2" x14ac:dyDescent="0.25">
      <c r="B347"/>
      <c r="C347" s="23" t="s">
        <v>280</v>
      </c>
      <c r="D347" s="23" t="s">
        <v>9</v>
      </c>
      <c r="E347" s="23" t="s">
        <v>282</v>
      </c>
      <c r="F347" s="23" t="s">
        <v>92</v>
      </c>
      <c r="G347" s="61">
        <f>SUMIFS(Calc_Variable_2[Ausnet],Calc_Variable_2[[Customer type]:[Customer type]],"All")+SUMIFS(Calc_Variable_2[Ausnet],Calc_Variable_2[[Customer type]:[Customer type]],$F347)</f>
        <v>0.10688260389674629</v>
      </c>
      <c r="H347" s="61">
        <f>SUMIFS(Calc_Variable_2[Citipower],Calc_Variable_2[[Customer type]:[Customer type]],"All")+SUMIFS(Calc_Variable_2[Citipower],Calc_Variable_2[[Customer type]:[Customer type]],$F347)</f>
        <v>9.9963216490245504E-2</v>
      </c>
      <c r="I347" s="61">
        <f>SUMIFS(Calc_Variable_2[Jemena],Calc_Variable_2[[Customer type]:[Customer type]],"All")+SUMIFS(Calc_Variable_2[Jemena],Calc_Variable_2[[Customer type]:[Customer type]],$F347)</f>
        <v>0.10555908257015505</v>
      </c>
      <c r="J347" s="61">
        <f>SUMIFS(Calc_Variable_2[Powercor],Calc_Variable_2[[Customer type]:[Customer type]],"All")+SUMIFS(Calc_Variable_2[Powercor],Calc_Variable_2[[Customer type]:[Customer type]],$F347)</f>
        <v>0.10435128952857975</v>
      </c>
      <c r="K347" s="61">
        <f>SUMIFS(Calc_Variable_2[United Energy],Calc_Variable_2[[Customer type]:[Customer type]],"All")+SUMIFS(Calc_Variable_2[United Energy],Calc_Variable_2[[Customer type]:[Customer type]],$F347)</f>
        <v>0.10669616224585265</v>
      </c>
    </row>
    <row r="348" spans="2:11" hidden="1" outlineLevel="2" x14ac:dyDescent="0.25">
      <c r="B348"/>
      <c r="C348" s="23" t="s">
        <v>203</v>
      </c>
      <c r="D348" s="23" t="s">
        <v>9</v>
      </c>
      <c r="E348" s="23" t="s">
        <v>282</v>
      </c>
      <c r="F348" s="23" t="s">
        <v>92</v>
      </c>
      <c r="G348" s="73" cm="1">
        <f t="array" ref="G348">IF(G346=0,"-",
(G346+G347)*Calc_ROM_2[Ausnet])</f>
        <v>9.0301384753634761E-3</v>
      </c>
      <c r="H348" s="73" cm="1">
        <f t="array" ref="H348">IF(H346=0,"-",
(H346+H347)*Calc_ROM_2[Citipower])</f>
        <v>7.5296582760108286E-3</v>
      </c>
      <c r="I348" s="73" cm="1">
        <f t="array" ref="I348">IF(I346=0,"-",
(I346+I347)*Calc_ROM_2[Jemena])</f>
        <v>8.5495645872373655E-3</v>
      </c>
      <c r="J348" s="73" cm="1">
        <f t="array" ref="J348">IF(J346=0,"-",
(J346+J347)*Calc_ROM_2[Powercor])</f>
        <v>7.7463778875262171E-3</v>
      </c>
      <c r="K348" s="73" cm="1">
        <f t="array" ref="K348">IF(K346=0,"-",
(K346+K347)*Calc_ROM_2[United Energy])</f>
        <v>7.7551281996495001E-3</v>
      </c>
    </row>
    <row r="349" spans="2:11" hidden="1" outlineLevel="2" x14ac:dyDescent="0.25">
      <c r="B349"/>
      <c r="C349" s="23" t="s">
        <v>277</v>
      </c>
      <c r="D349" s="23" t="s">
        <v>9</v>
      </c>
      <c r="E349" s="23" t="s">
        <v>282</v>
      </c>
      <c r="F349" s="23" t="s">
        <v>92</v>
      </c>
      <c r="G349" s="73">
        <f>IF(G346=0,"-",
(G346+G347+G348)*GST)</f>
        <v>1.5853574237210975E-2</v>
      </c>
      <c r="H349" s="73">
        <f>IF(H346=0,"-",
(H346+H347+H348)*GST)</f>
        <v>1.3219287476625633E-2</v>
      </c>
      <c r="I349" s="73">
        <f>IF(I346=0,"-",
(I346+I347+I348)*GST)</f>
        <v>1.5009864715739242E-2</v>
      </c>
      <c r="J349" s="73">
        <f>IF(J346=0,"-",
(J346+J347+J348)*GST)</f>
        <v>1.3599766741610599E-2</v>
      </c>
      <c r="K349" s="73">
        <f>IF(K346=0,"-",
(K346+K347+K348)*GST)</f>
        <v>1.3615129044550214E-2</v>
      </c>
    </row>
    <row r="350" spans="2:11" hidden="1" outlineLevel="2" x14ac:dyDescent="0.25">
      <c r="B350"/>
      <c r="C350" s="23" t="str">
        <f>C345&amp;" charge"</f>
        <v>Controlled load charge</v>
      </c>
      <c r="D350" s="23" t="s">
        <v>9</v>
      </c>
      <c r="E350" s="23" t="s">
        <v>282</v>
      </c>
      <c r="F350" s="23" t="s">
        <v>92</v>
      </c>
      <c r="G350" s="74">
        <f>IF(G346=0,"-",
G346+G347+G348+G349)</f>
        <v>0.17438931660932072</v>
      </c>
      <c r="H350" s="74">
        <f t="shared" ref="H350" si="79">IF(H346=0,"-",
H346+H347+H348+H349)</f>
        <v>0.14541216224288195</v>
      </c>
      <c r="I350" s="74">
        <f t="shared" ref="I350" si="80">IF(I346=0,"-",
I346+I347+I348+I349)</f>
        <v>0.16510851187313164</v>
      </c>
      <c r="J350" s="74">
        <f t="shared" ref="J350" si="81">IF(J346=0,"-",
J346+J347+J348+J349)</f>
        <v>0.14959743415771656</v>
      </c>
      <c r="K350" s="74">
        <f t="shared" ref="K350" si="82">IF(K346=0,"-",
K346+K347+K348+K349)</f>
        <v>0.14976641949005237</v>
      </c>
    </row>
    <row r="351" spans="2:11" hidden="1" outlineLevel="2" x14ac:dyDescent="0.25">
      <c r="B351"/>
      <c r="G351" s="110" cm="1">
        <f t="array" ref="G351">IF($D$254='Lookup refs'!$D$25,
IF(G350=INDEX(RateCheck_VDO2021F[[Ausnet]:[United Energy]],MATCH(Calc_Rates!$C350&amp;"_"&amp;Calc_Rates!$F350,RateCheck_VDO2021F[Rate],0),MATCH(Calc_Rates!G$9,RateCheck_VDO2021F[[#Headers],[Ausnet]:[United Energy]],0)),0,1),
IF(G350="-","-",
IF(ROUND(G350,8)=ROUND((((
SUMIFS(Calc_Variable_2[Ausnet],Calc_Variable_2[Customer type],Calc_Rates!$F350)+
SUMIFS(Calc_Variable_2[Ausnet],Calc_Variable_2[Customer type],"All")+G346)*(1+Calc_ROM_2[Ausnet]))*(1+GST)),8),0,1)))</f>
        <v>0</v>
      </c>
      <c r="H351" s="110" cm="1">
        <f t="array" ref="H351">IF($D$254='Lookup refs'!$D$25,
IF(H350=INDEX(RateCheck_VDO2021F[[Ausnet]:[United Energy]],MATCH(Calc_Rates!$C350&amp;"_"&amp;Calc_Rates!$F350,RateCheck_VDO2021F[Rate],0),MATCH(Calc_Rates!H$9,RateCheck_VDO2021F[[#Headers],[Ausnet]:[United Energy]],0)),0,1),
IF(H350="-","-",
IF(ROUND(H350,8)=ROUND((((
SUMIFS(Calc_Variable_2[Citipower],Calc_Variable_2[Customer type],Calc_Rates!$F350)+
SUMIFS(Calc_Variable_2[Citipower],Calc_Variable_2[Customer type],"All")+H346)*(1+Calc_ROM_2[Citipower]))*(1+GST)),8),0,1)))</f>
        <v>0</v>
      </c>
      <c r="I351" s="110" cm="1">
        <f t="array" ref="I351">IF($D$254='Lookup refs'!$D$25,
IF(I350=INDEX(RateCheck_VDO2021F[[Ausnet]:[United Energy]],MATCH(Calc_Rates!$C350&amp;"_"&amp;Calc_Rates!$F350,RateCheck_VDO2021F[Rate],0),MATCH(Calc_Rates!I$9,RateCheck_VDO2021F[[#Headers],[Ausnet]:[United Energy]],0)),0,1),
IF(I350="-","-",
IF(ROUND(I350,8)=ROUND((((
SUMIFS(Calc_Variable_2[Jemena],Calc_Variable_2[Customer type],Calc_Rates!$F350)+
SUMIFS(Calc_Variable_2[Jemena],Calc_Variable_2[Customer type],"All")+I346)*(1+Calc_ROM_2[Jemena]))*(1+GST)),8),0,1)))</f>
        <v>0</v>
      </c>
      <c r="J351" s="110" cm="1">
        <f t="array" ref="J351">IF($D$254='Lookup refs'!$D$25,
IF(J350=INDEX(RateCheck_VDO2021F[[Ausnet]:[United Energy]],MATCH(Calc_Rates!$C350&amp;"_"&amp;Calc_Rates!$F350,RateCheck_VDO2021F[Rate],0),MATCH(Calc_Rates!J$9,RateCheck_VDO2021F[[#Headers],[Ausnet]:[United Energy]],0)),0,1),
IF(J350="-","-",
IF(ROUND(J350,8)=ROUND((((
SUMIFS(Calc_Variable_2[Powercor],Calc_Variable_2[[Customer type]:[Customer type]],Calc_Rates!$F350)+
SUMIFS(Calc_Variable_2[Powercor],Calc_Variable_2[[Customer type]:[Customer type]],"All")+J346)*(1+Calc_ROM_2[Powercor]))*(1+GST)),8),0,1)))</f>
        <v>0</v>
      </c>
      <c r="K351" s="110" cm="1">
        <f t="array" ref="K351">IF($D$254='Lookup refs'!$D$25,
IF(K350=INDEX(RateCheck_VDO2021F[[Ausnet]:[United Energy]],MATCH(Calc_Rates!$C350&amp;"_"&amp;Calc_Rates!$F350,RateCheck_VDO2021F[[Rate]:[Rate]],0),MATCH(Calc_Rates!K$9,RateCheck_VDO2021F[[#Headers],[Ausnet]:[United Energy]],0)),0,1),
IF(K350="-","-",
IF(ROUND(K350,8)=ROUND((((
SUMIFS(Calc_Variable_2[United Energy],Calc_Variable_2[[Customer type]:[Customer type]],Calc_Rates!$F350)+
SUMIFS(Calc_Variable_2[United Energy],Calc_Variable_2[[Customer type]:[Customer type]],"All")+K346)*(1+Calc_ROM_2[United Energy]))*(1+GST)),8),0,1)))</f>
        <v>0</v>
      </c>
    </row>
    <row r="352" spans="2:11" ht="15.75" hidden="1" outlineLevel="1" collapsed="1" x14ac:dyDescent="0.25">
      <c r="B352"/>
      <c r="C352" s="29" t="s">
        <v>288</v>
      </c>
    </row>
    <row r="353" spans="2:11" ht="15.75" hidden="1" outlineLevel="2" x14ac:dyDescent="0.25">
      <c r="B353"/>
      <c r="C353" s="1" t="s">
        <v>615</v>
      </c>
    </row>
    <row r="354" spans="2:11" ht="15.75" hidden="1" outlineLevel="2" x14ac:dyDescent="0.25">
      <c r="B354"/>
      <c r="C354" s="81" t="s">
        <v>221</v>
      </c>
    </row>
    <row r="355" spans="2:11" hidden="1" outlineLevel="2" x14ac:dyDescent="0.25">
      <c r="B355"/>
      <c r="C355" s="23" t="s">
        <v>286</v>
      </c>
      <c r="D355" s="23" t="s">
        <v>9</v>
      </c>
      <c r="E355" s="23" t="s">
        <v>282</v>
      </c>
      <c r="F355" s="23" t="s">
        <v>93</v>
      </c>
      <c r="G355" s="61">
        <f>SUMIFS(Calc_NetworkV_2[Ausnet],Calc_NetworkV_2[[Cost item]:[Cost item]],$C354,Calc_NetworkV_2[[Customer type]:[Customer type]],$F355)</f>
        <v>0.155386</v>
      </c>
      <c r="H355" s="61">
        <f>SUMIFS(Calc_NetworkV_2[Citipower],Calc_NetworkV_2[[Cost item]:[Cost item]],$C354,Calc_NetworkV_2[[Customer type]:[Customer type]],$F355)</f>
        <v>0</v>
      </c>
      <c r="I355" s="61">
        <f>SUMIFS(Calc_NetworkV_2[Jemena],Calc_NetworkV_2[[Cost item]:[Cost item]],$C354,Calc_NetworkV_2[[Customer type]:[Customer type]],$F355)</f>
        <v>0</v>
      </c>
      <c r="J355" s="61">
        <f>SUMIFS(Calc_NetworkV_2[Powercor],Calc_NetworkV_2[[Cost item]:[Cost item]],$C354,Calc_NetworkV_2[[Customer type]:[Customer type]],$F355)</f>
        <v>0</v>
      </c>
      <c r="K355" s="61">
        <f>SUMIFS(Calc_NetworkV_2[United Energy],Calc_NetworkV_2[[Cost item]:[Cost item]],$C354,Calc_NetworkV_2[[Customer type]:[Customer type]],$F355)</f>
        <v>0</v>
      </c>
    </row>
    <row r="356" spans="2:11" hidden="1" outlineLevel="2" x14ac:dyDescent="0.25">
      <c r="B356"/>
      <c r="C356" s="23" t="s">
        <v>280</v>
      </c>
      <c r="D356" s="23" t="s">
        <v>9</v>
      </c>
      <c r="E356" s="23" t="s">
        <v>282</v>
      </c>
      <c r="F356" s="23" t="s">
        <v>93</v>
      </c>
      <c r="G356" s="61">
        <f>SUMIFS(Calc_Variable_2[Ausnet],Calc_Variable_2[[Customer type]:[Customer type]],"All")+SUMIFS(Calc_Variable_2[Ausnet],Calc_Variable_2[[Customer type]:[Customer type]],$F356)</f>
        <v>9.7491363893470073E-2</v>
      </c>
      <c r="H356" s="61">
        <f>SUMIFS(Calc_Variable_2[Citipower],Calc_Variable_2[[Customer type]:[Customer type]],"All")+SUMIFS(Calc_Variable_2[Citipower],Calc_Variable_2[[Customer type]:[Customer type]],$F356)</f>
        <v>9.5803562973578837E-2</v>
      </c>
      <c r="I356" s="61">
        <f>SUMIFS(Calc_Variable_2[Jemena],Calc_Variable_2[[Customer type]:[Customer type]],"All")+SUMIFS(Calc_Variable_2[Jemena],Calc_Variable_2[[Customer type]:[Customer type]],$F356)</f>
        <v>9.537585089440502E-2</v>
      </c>
      <c r="J356" s="61">
        <f>SUMIFS(Calc_Variable_2[Powercor],Calc_Variable_2[[Customer type]:[Customer type]],"All")+SUMIFS(Calc_Variable_2[Powercor],Calc_Variable_2[[Customer type]:[Customer type]],$F356)</f>
        <v>9.4889700742642621E-2</v>
      </c>
      <c r="K356" s="61">
        <f>SUMIFS(Calc_Variable_2[United Energy],Calc_Variable_2[[Customer type]:[Customer type]],"All")+SUMIFS(Calc_Variable_2[United Energy],Calc_Variable_2[[Customer type]:[Customer type]],$F356)</f>
        <v>9.7222821011307206E-2</v>
      </c>
    </row>
    <row r="357" spans="2:11" hidden="1" outlineLevel="2" x14ac:dyDescent="0.25">
      <c r="B357"/>
      <c r="C357" s="23" t="s">
        <v>203</v>
      </c>
      <c r="D357" s="23" t="s">
        <v>9</v>
      </c>
      <c r="E357" s="23" t="s">
        <v>282</v>
      </c>
      <c r="F357" s="23" t="s">
        <v>93</v>
      </c>
      <c r="G357" s="73" cm="1">
        <f t="array" ref="G357">IF(G355=0,"-",
(G355+G356)*Calc_ROM_2[Ausnet])</f>
        <v>1.5273792779165591E-2</v>
      </c>
      <c r="H357" s="73" t="str" cm="1">
        <f t="array" ref="H357">IF(H355=0,"-",
(H355+H356)*Calc_ROM_2[Citipower])</f>
        <v>-</v>
      </c>
      <c r="I357" s="73" t="str" cm="1">
        <f t="array" ref="I357">IF(I355=0,"-",
(I355+I356)*Calc_ROM_2[Jemena])</f>
        <v>-</v>
      </c>
      <c r="J357" s="73" t="str" cm="1">
        <f t="array" ref="J357">IF(J355=0,"-",
(J355+J356)*Calc_ROM_2[Powercor])</f>
        <v>-</v>
      </c>
      <c r="K357" s="73" t="str" cm="1">
        <f t="array" ref="K357">IF(K355=0,"-",
(K355+K356)*Calc_ROM_2[United Energy])</f>
        <v>-</v>
      </c>
    </row>
    <row r="358" spans="2:11" hidden="1" outlineLevel="2" x14ac:dyDescent="0.25">
      <c r="B358"/>
      <c r="C358" s="23" t="s">
        <v>277</v>
      </c>
      <c r="D358" s="23" t="s">
        <v>9</v>
      </c>
      <c r="E358" s="23" t="s">
        <v>282</v>
      </c>
      <c r="F358" s="23" t="s">
        <v>93</v>
      </c>
      <c r="G358" s="73">
        <f>IF(G355=0,"-",
(G355+G356+G357)*GST)</f>
        <v>2.6815115667263564E-2</v>
      </c>
      <c r="H358" s="73" t="str">
        <f>IF(H355=0,"-",
(H355+H356+H357)*GST)</f>
        <v>-</v>
      </c>
      <c r="I358" s="73" t="str">
        <f>IF(I355=0,"-",
(I355+I356+I357)*GST)</f>
        <v>-</v>
      </c>
      <c r="J358" s="73" t="str">
        <f>IF(J355=0,"-",
(J355+J356+J357)*GST)</f>
        <v>-</v>
      </c>
      <c r="K358" s="73" t="str">
        <f>IF(K355=0,"-",
(K355+K356+K357)*GST)</f>
        <v>-</v>
      </c>
    </row>
    <row r="359" spans="2:11" hidden="1" outlineLevel="2" x14ac:dyDescent="0.25">
      <c r="B359"/>
      <c r="C359" s="23" t="str">
        <f>C354&amp;" charge"</f>
        <v>Block 1 charge</v>
      </c>
      <c r="D359" s="23" t="s">
        <v>9</v>
      </c>
      <c r="E359" s="23" t="s">
        <v>282</v>
      </c>
      <c r="F359" s="23" t="s">
        <v>93</v>
      </c>
      <c r="G359" s="74">
        <f>IF(G355=0,"-",
G355+G356+G357+G358)</f>
        <v>0.29496627233989919</v>
      </c>
      <c r="H359" s="74" t="str">
        <f t="shared" ref="H359" si="83">IF(H355=0,"-",
H355+H356+H357+H358)</f>
        <v>-</v>
      </c>
      <c r="I359" s="74" t="str">
        <f t="shared" ref="I359" si="84">IF(I355=0,"-",
I355+I356+I357+I358)</f>
        <v>-</v>
      </c>
      <c r="J359" s="74" t="str">
        <f t="shared" ref="J359" si="85">IF(J355=0,"-",
J355+J356+J357+J358)</f>
        <v>-</v>
      </c>
      <c r="K359" s="74" t="str">
        <f t="shared" ref="K359" si="86">IF(K355=0,"-",
K355+K356+K357+K358)</f>
        <v>-</v>
      </c>
    </row>
    <row r="360" spans="2:11" hidden="1" outlineLevel="2" x14ac:dyDescent="0.25">
      <c r="B360"/>
      <c r="G360" s="110" cm="1">
        <f t="array" ref="G360">IF($D$254='Lookup refs'!$D$25,
IF(G359=INDEX(RateCheck_VDO2021F[[Ausnet]:[United Energy]],MATCH(Calc_Rates!$C359&amp;"_"&amp;Calc_Rates!$F359,RateCheck_VDO2021F[Rate],0),MATCH(Calc_Rates!G$9,RateCheck_VDO2021F[[#Headers],[Ausnet]:[United Energy]],0)),0,1),
IF(G359="-","-",
IF(ROUND(G359,8)=ROUND((((
SUMIFS(Calc_Variable_2[Ausnet],Calc_Variable_2[Customer type],Calc_Rates!$F359)+
SUMIFS(Calc_Variable_2[Ausnet],Calc_Variable_2[Customer type],"All")+G355)*(1+Calc_ROM_2[Ausnet]))*(1+GST)),8),0,1)))</f>
        <v>0</v>
      </c>
      <c r="H360" s="110" t="str" cm="1">
        <f t="array" ref="H360">IF($D$254='Lookup refs'!$D$25,
IF(H359=INDEX(RateCheck_VDO2021F[[Ausnet]:[United Energy]],MATCH(Calc_Rates!$C359&amp;"_"&amp;Calc_Rates!$F359,RateCheck_VDO2021F[Rate],0),MATCH(Calc_Rates!H$9,RateCheck_VDO2021F[[#Headers],[Ausnet]:[United Energy]],0)),0,1),
IF(H359="-","-",
IF(ROUND(H359,8)=ROUND((((
SUMIFS(Calc_Variable_2[Citipower],Calc_Variable_2[Customer type],Calc_Rates!$F359)+
SUMIFS(Calc_Variable_2[Citipower],Calc_Variable_2[Customer type],"All")+H355)*(1+Calc_ROM_2[Citipower]))*(1+GST)),8),0,1)))</f>
        <v>-</v>
      </c>
      <c r="I360" s="110" t="str" cm="1">
        <f t="array" ref="I360">IF($D$254='Lookup refs'!$D$25,
IF(I359=INDEX(RateCheck_VDO2021F[[Ausnet]:[United Energy]],MATCH(Calc_Rates!$C359&amp;"_"&amp;Calc_Rates!$F359,RateCheck_VDO2021F[Rate],0),MATCH(Calc_Rates!I$9,RateCheck_VDO2021F[[#Headers],[Ausnet]:[United Energy]],0)),0,1),
IF(I359="-","-",
IF(ROUND(I359,8)=ROUND((((
SUMIFS(Calc_Variable_2[Jemena],Calc_Variable_2[Customer type],Calc_Rates!$F359)+
SUMIFS(Calc_Variable_2[Jemena],Calc_Variable_2[Customer type],"All")+I355)*(1+Calc_ROM_2[Jemena]))*(1+GST)),8),0,1)))</f>
        <v>-</v>
      </c>
      <c r="J360" s="110" t="str" cm="1">
        <f t="array" ref="J360">IF($D$254='Lookup refs'!$D$25,
IF(J359=INDEX(RateCheck_VDO2021F[[Ausnet]:[United Energy]],MATCH(Calc_Rates!$C359&amp;"_"&amp;Calc_Rates!$F359,RateCheck_VDO2021F[Rate],0),MATCH(Calc_Rates!J$9,RateCheck_VDO2021F[[#Headers],[Ausnet]:[United Energy]],0)),0,1),
IF(J359="-","-",
IF(ROUND(J359,8)=ROUND((((
SUMIFS(Calc_Variable_2[Powercor],Calc_Variable_2[[Customer type]:[Customer type]],Calc_Rates!$F359)+
SUMIFS(Calc_Variable_2[Powercor],Calc_Variable_2[[Customer type]:[Customer type]],"All")+J355)*(1+Calc_ROM_2[Powercor]))*(1+GST)),8),0,1)))</f>
        <v>-</v>
      </c>
      <c r="K360" s="110" t="str" cm="1">
        <f t="array" ref="K360">IF($D$254='Lookup refs'!$D$25,
IF(K359=INDEX(RateCheck_VDO2021F[[Ausnet]:[United Energy]],MATCH(Calc_Rates!$C359&amp;"_"&amp;Calc_Rates!$F359,RateCheck_VDO2021F[[Rate]:[Rate]],0),MATCH(Calc_Rates!K$9,RateCheck_VDO2021F[[#Headers],[Ausnet]:[United Energy]],0)),0,1),
IF(K359="-","-",
IF(ROUND(K359,8)=ROUND((((
SUMIFS(Calc_Variable_2[United Energy],Calc_Variable_2[[Customer type]:[Customer type]],Calc_Rates!$F359)+
SUMIFS(Calc_Variable_2[United Energy],Calc_Variable_2[[Customer type]:[Customer type]],"All")+K355)*(1+Calc_ROM_2[United Energy]))*(1+GST)),8),0,1)))</f>
        <v>-</v>
      </c>
    </row>
    <row r="361" spans="2:11" ht="15.75" hidden="1" outlineLevel="2" x14ac:dyDescent="0.25">
      <c r="B361"/>
      <c r="C361" s="81" t="s">
        <v>228</v>
      </c>
    </row>
    <row r="362" spans="2:11" hidden="1" outlineLevel="2" x14ac:dyDescent="0.25">
      <c r="B362"/>
      <c r="C362" s="23" t="s">
        <v>286</v>
      </c>
      <c r="D362" s="23" t="s">
        <v>9</v>
      </c>
      <c r="E362" s="23" t="s">
        <v>282</v>
      </c>
      <c r="F362" s="23" t="s">
        <v>93</v>
      </c>
      <c r="G362" s="61">
        <f>SUMIFS(Calc_NetworkV_2[Ausnet],Calc_NetworkV_2[[Cost item]:[Cost item]],$C361,Calc_NetworkV_2[[Customer type]:[Customer type]],$F362)</f>
        <v>0.182667</v>
      </c>
      <c r="H362" s="61">
        <f>SUMIFS(Calc_NetworkV_2[Citipower],Calc_NetworkV_2[[Cost item]:[Cost item]],$C361,Calc_NetworkV_2[[Customer type]:[Customer type]],$F362)</f>
        <v>0</v>
      </c>
      <c r="I362" s="61">
        <f>SUMIFS(Calc_NetworkV_2[Jemena],Calc_NetworkV_2[[Cost item]:[Cost item]],$C361,Calc_NetworkV_2[[Customer type]:[Customer type]],$F362)</f>
        <v>0</v>
      </c>
      <c r="J362" s="61">
        <f>SUMIFS(Calc_NetworkV_2[Powercor],Calc_NetworkV_2[[Cost item]:[Cost item]],$C361,Calc_NetworkV_2[[Customer type]:[Customer type]],$F362)</f>
        <v>0</v>
      </c>
      <c r="K362" s="61">
        <f>SUMIFS(Calc_NetworkV_2[United Energy],Calc_NetworkV_2[[Cost item]:[Cost item]],$C361,Calc_NetworkV_2[[Customer type]:[Customer type]],$F362)</f>
        <v>0</v>
      </c>
    </row>
    <row r="363" spans="2:11" hidden="1" outlineLevel="2" x14ac:dyDescent="0.25">
      <c r="B363"/>
      <c r="C363" s="23" t="s">
        <v>280</v>
      </c>
      <c r="D363" s="23" t="s">
        <v>9</v>
      </c>
      <c r="E363" s="23" t="s">
        <v>282</v>
      </c>
      <c r="F363" s="23" t="s">
        <v>93</v>
      </c>
      <c r="G363" s="61">
        <f>SUMIFS(Calc_Variable_2[Ausnet],Calc_Variable_2[[Customer type]:[Customer type]],"All")+SUMIFS(Calc_Variable_2[Ausnet],Calc_Variable_2[[Customer type]:[Customer type]],$F363)</f>
        <v>9.7491363893470073E-2</v>
      </c>
      <c r="H363" s="61">
        <f>SUMIFS(Calc_Variable_2[Citipower],Calc_Variable_2[[Customer type]:[Customer type]],"All")+SUMIFS(Calc_Variable_2[Citipower],Calc_Variable_2[[Customer type]:[Customer type]],$F363)</f>
        <v>9.5803562973578837E-2</v>
      </c>
      <c r="I363" s="61">
        <f>SUMIFS(Calc_Variable_2[Jemena],Calc_Variable_2[[Customer type]:[Customer type]],"All")+SUMIFS(Calc_Variable_2[Jemena],Calc_Variable_2[[Customer type]:[Customer type]],$F363)</f>
        <v>9.537585089440502E-2</v>
      </c>
      <c r="J363" s="61">
        <f>SUMIFS(Calc_Variable_2[Powercor],Calc_Variable_2[[Customer type]:[Customer type]],"All")+SUMIFS(Calc_Variable_2[Powercor],Calc_Variable_2[[Customer type]:[Customer type]],$F363)</f>
        <v>9.4889700742642621E-2</v>
      </c>
      <c r="K363" s="61">
        <f>SUMIFS(Calc_Variable_2[United Energy],Calc_Variable_2[[Customer type]:[Customer type]],"All")+SUMIFS(Calc_Variable_2[United Energy],Calc_Variable_2[[Customer type]:[Customer type]],$F363)</f>
        <v>9.7222821011307206E-2</v>
      </c>
    </row>
    <row r="364" spans="2:11" hidden="1" outlineLevel="2" x14ac:dyDescent="0.25">
      <c r="B364"/>
      <c r="C364" s="23" t="s">
        <v>203</v>
      </c>
      <c r="D364" s="23" t="s">
        <v>9</v>
      </c>
      <c r="E364" s="23" t="s">
        <v>282</v>
      </c>
      <c r="F364" s="23" t="s">
        <v>93</v>
      </c>
      <c r="G364" s="73" cm="1">
        <f t="array" ref="G364">IF(G362=0,"-",
(G362+G363)*Calc_ROM_2[Ausnet])</f>
        <v>1.6921565179165592E-2</v>
      </c>
      <c r="H364" s="73" t="str" cm="1">
        <f t="array" ref="H364">IF(H362=0,"-",
(H362+H363)*Calc_ROM_2[Citipower])</f>
        <v>-</v>
      </c>
      <c r="I364" s="73" t="str" cm="1">
        <f t="array" ref="I364">IF(I362=0,"-",
(I362+I363)*Calc_ROM_2[Jemena])</f>
        <v>-</v>
      </c>
      <c r="J364" s="73" t="str" cm="1">
        <f t="array" ref="J364">IF(J362=0,"-",
(J362+J363)*Calc_ROM_2[Powercor])</f>
        <v>-</v>
      </c>
      <c r="K364" s="73" t="str" cm="1">
        <f t="array" ref="K364">IF(K362=0,"-",
(K362+K363)*Calc_ROM_2[United Energy])</f>
        <v>-</v>
      </c>
    </row>
    <row r="365" spans="2:11" hidden="1" outlineLevel="2" x14ac:dyDescent="0.25">
      <c r="B365"/>
      <c r="C365" s="23" t="s">
        <v>277</v>
      </c>
      <c r="D365" s="23" t="s">
        <v>9</v>
      </c>
      <c r="E365" s="23" t="s">
        <v>282</v>
      </c>
      <c r="F365" s="23" t="s">
        <v>93</v>
      </c>
      <c r="G365" s="73">
        <f>IF(G362=0,"-",
(G362+G363+G364)*GST)</f>
        <v>2.9707992907263565E-2</v>
      </c>
      <c r="H365" s="73" t="str">
        <f>IF(H362=0,"-",
(H362+H363+H364)*GST)</f>
        <v>-</v>
      </c>
      <c r="I365" s="73" t="str">
        <f>IF(I362=0,"-",
(I362+I363+I364)*GST)</f>
        <v>-</v>
      </c>
      <c r="J365" s="73" t="str">
        <f>IF(J362=0,"-",
(J362+J363+J364)*GST)</f>
        <v>-</v>
      </c>
      <c r="K365" s="73" t="str">
        <f>IF(K362=0,"-",
(K362+K363+K364)*GST)</f>
        <v>-</v>
      </c>
    </row>
    <row r="366" spans="2:11" hidden="1" outlineLevel="2" x14ac:dyDescent="0.25">
      <c r="B366"/>
      <c r="C366" s="23" t="str">
        <f>C361&amp;" charge"</f>
        <v>Balance charge</v>
      </c>
      <c r="D366" s="23" t="s">
        <v>9</v>
      </c>
      <c r="E366" s="23" t="s">
        <v>282</v>
      </c>
      <c r="F366" s="23" t="s">
        <v>93</v>
      </c>
      <c r="G366" s="74">
        <f>IF(G362=0,"-",
G362+G363+G364+G365)</f>
        <v>0.3267879219798992</v>
      </c>
      <c r="H366" s="74" t="str">
        <f t="shared" ref="H366" si="87">IF(H362=0,"-",
H362+H363+H364+H365)</f>
        <v>-</v>
      </c>
      <c r="I366" s="74" t="str">
        <f t="shared" ref="I366" si="88">IF(I362=0,"-",
I362+I363+I364+I365)</f>
        <v>-</v>
      </c>
      <c r="J366" s="74" t="str">
        <f t="shared" ref="J366" si="89">IF(J362=0,"-",
J362+J363+J364+J365)</f>
        <v>-</v>
      </c>
      <c r="K366" s="74" t="str">
        <f t="shared" ref="K366" si="90">IF(K362=0,"-",
K362+K363+K364+K365)</f>
        <v>-</v>
      </c>
    </row>
    <row r="367" spans="2:11" hidden="1" outlineLevel="2" x14ac:dyDescent="0.25">
      <c r="B367"/>
      <c r="G367" s="110" cm="1">
        <f t="array" ref="G367">IF($D$254='Lookup refs'!$D$25,
IF(G366=INDEX(RateCheck_VDO2021F[[Ausnet]:[United Energy]],MATCH(Calc_Rates!$C366&amp;"_"&amp;Calc_Rates!$F366,RateCheck_VDO2021F[Rate],0),MATCH(Calc_Rates!G$9,RateCheck_VDO2021F[[#Headers],[Ausnet]:[United Energy]],0)),0,1),
IF(G366="-","-",
IF(ROUND(G366,8)=ROUND((((
SUMIFS(Calc_Variable_2[Ausnet],Calc_Variable_2[Customer type],Calc_Rates!$F366)+
SUMIFS(Calc_Variable_2[Ausnet],Calc_Variable_2[Customer type],"All")+G362)*(1+Calc_ROM_2[Ausnet]))*(1+GST)),8),0,1)))</f>
        <v>0</v>
      </c>
      <c r="H367" s="110" t="str" cm="1">
        <f t="array" ref="H367">IF($D$254='Lookup refs'!$D$25,
IF(H366=INDEX(RateCheck_VDO2021F[[Ausnet]:[United Energy]],MATCH(Calc_Rates!$C366&amp;"_"&amp;Calc_Rates!$F366,RateCheck_VDO2021F[Rate],0),MATCH(Calc_Rates!H$9,RateCheck_VDO2021F[[#Headers],[Ausnet]:[United Energy]],0)),0,1),
IF(H366="-","-",
IF(ROUND(H366,8)=ROUND((((
SUMIFS(Calc_Variable_2[Citipower],Calc_Variable_2[Customer type],Calc_Rates!$F366)+
SUMIFS(Calc_Variable_2[Citipower],Calc_Variable_2[Customer type],"All")+H362)*(1+Calc_ROM_2[Citipower]))*(1+GST)),8),0,1)))</f>
        <v>-</v>
      </c>
      <c r="I367" s="110" t="str" cm="1">
        <f t="array" ref="I367">IF($D$254='Lookup refs'!$D$25,
IF(I366=INDEX(RateCheck_VDO2021F[[Ausnet]:[United Energy]],MATCH(Calc_Rates!$C366&amp;"_"&amp;Calc_Rates!$F366,RateCheck_VDO2021F[Rate],0),MATCH(Calc_Rates!I$9,RateCheck_VDO2021F[[#Headers],[Ausnet]:[United Energy]],0)),0,1),
IF(I366="-","-",
IF(ROUND(I366,8)=ROUND((((
SUMIFS(Calc_Variable_2[Jemena],Calc_Variable_2[Customer type],Calc_Rates!$F366)+
SUMIFS(Calc_Variable_2[Jemena],Calc_Variable_2[Customer type],"All")+I362)*(1+Calc_ROM_2[Jemena]))*(1+GST)),8),0,1)))</f>
        <v>-</v>
      </c>
      <c r="J367" s="110" t="str" cm="1">
        <f t="array" ref="J367">IF($D$254='Lookup refs'!$D$25,
IF(J366=INDEX(RateCheck_VDO2021F[[Ausnet]:[United Energy]],MATCH(Calc_Rates!$C366&amp;"_"&amp;Calc_Rates!$F366,RateCheck_VDO2021F[Rate],0),MATCH(Calc_Rates!J$9,RateCheck_VDO2021F[[#Headers],[Ausnet]:[United Energy]],0)),0,1),
IF(J366="-","-",
IF(ROUND(J366,8)=ROUND((((
SUMIFS(Calc_Variable_2[Powercor],Calc_Variable_2[[Customer type]:[Customer type]],Calc_Rates!$F366)+
SUMIFS(Calc_Variable_2[Powercor],Calc_Variable_2[[Customer type]:[Customer type]],"All")+J362)*(1+Calc_ROM_2[Powercor]))*(1+GST)),8),0,1)))</f>
        <v>-</v>
      </c>
      <c r="K367" s="110" t="str" cm="1">
        <f t="array" ref="K367">IF($D$254='Lookup refs'!$D$25,
IF(K366=INDEX(RateCheck_VDO2021F[[Ausnet]:[United Energy]],MATCH(Calc_Rates!$C366&amp;"_"&amp;Calc_Rates!$F366,RateCheck_VDO2021F[[Rate]:[Rate]],0),MATCH(Calc_Rates!K$9,RateCheck_VDO2021F[[#Headers],[Ausnet]:[United Energy]],0)),0,1),
IF(K366="-","-",
IF(ROUND(K366,8)=ROUND((((
SUMIFS(Calc_Variable_2[United Energy],Calc_Variable_2[[Customer type]:[Customer type]],Calc_Rates!$F366)+
SUMIFS(Calc_Variable_2[United Energy],Calc_Variable_2[[Customer type]:[Customer type]],"All")+K362)*(1+Calc_ROM_2[United Energy]))*(1+GST)),8),0,1)))</f>
        <v>-</v>
      </c>
    </row>
    <row r="368" spans="2:11" ht="15.75" hidden="1" outlineLevel="2" x14ac:dyDescent="0.25">
      <c r="B368"/>
      <c r="C368" s="81" t="s">
        <v>549</v>
      </c>
    </row>
    <row r="369" spans="2:11" hidden="1" outlineLevel="2" x14ac:dyDescent="0.25">
      <c r="B369"/>
      <c r="C369" s="23" t="s">
        <v>286</v>
      </c>
      <c r="D369" s="23" t="s">
        <v>9</v>
      </c>
      <c r="E369" s="23" t="s">
        <v>282</v>
      </c>
      <c r="F369" s="23" t="s">
        <v>93</v>
      </c>
      <c r="G369" s="61">
        <f>SUMIFS(Calc_NetworkV_2[Ausnet],Calc_NetworkV_2[[Cost item]:[Cost item]],$C368,Calc_NetworkV_2[[Customer type]:[Customer type]],$F369)</f>
        <v>0</v>
      </c>
      <c r="H369" s="61">
        <f>SUMIFS(Calc_NetworkV_2[Citipower],Calc_NetworkV_2[[Cost item]:[Cost item]],$C368,Calc_NetworkV_2[[Customer type]:[Customer type]],$F369)</f>
        <v>8.2100000000000006E-2</v>
      </c>
      <c r="I369" s="61">
        <f>SUMIFS(Calc_NetworkV_2[Jemena],Calc_NetworkV_2[[Cost item]:[Cost item]],$C368,Calc_NetworkV_2[[Customer type]:[Customer type]],$F369)</f>
        <v>0.10973000000000001</v>
      </c>
      <c r="J369" s="61">
        <f>SUMIFS(Calc_NetworkV_2[Powercor],Calc_NetworkV_2[[Cost item]:[Cost item]],$C368,Calc_NetworkV_2[[Customer type]:[Customer type]],$F369)</f>
        <v>9.2899999999999996E-2</v>
      </c>
      <c r="K369" s="61">
        <f>SUMIFS(Calc_NetworkV_2[United Energy],Calc_NetworkV_2[[Cost item]:[Cost item]],$C368,Calc_NetworkV_2[[Customer type]:[Customer type]],$F369)</f>
        <v>8.7899999999999992E-2</v>
      </c>
    </row>
    <row r="370" spans="2:11" hidden="1" outlineLevel="2" x14ac:dyDescent="0.25">
      <c r="B370"/>
      <c r="C370" s="23" t="s">
        <v>280</v>
      </c>
      <c r="D370" s="23" t="s">
        <v>9</v>
      </c>
      <c r="E370" s="23" t="s">
        <v>282</v>
      </c>
      <c r="F370" s="23" t="s">
        <v>93</v>
      </c>
      <c r="G370" s="61">
        <f>SUMIFS(Calc_Variable_2[Ausnet],Calc_Variable_2[[Customer type]:[Customer type]],"All")+SUMIFS(Calc_Variable_2[Ausnet],Calc_Variable_2[[Customer type]:[Customer type]],$F370)</f>
        <v>9.7491363893470073E-2</v>
      </c>
      <c r="H370" s="61">
        <f>SUMIFS(Calc_Variable_2[Citipower],Calc_Variable_2[[Customer type]:[Customer type]],"All")+SUMIFS(Calc_Variable_2[Citipower],Calc_Variable_2[[Customer type]:[Customer type]],$F370)</f>
        <v>9.5803562973578837E-2</v>
      </c>
      <c r="I370" s="61">
        <f>SUMIFS(Calc_Variable_2[Jemena],Calc_Variable_2[[Customer type]:[Customer type]],"All")+SUMIFS(Calc_Variable_2[Jemena],Calc_Variable_2[[Customer type]:[Customer type]],$F370)</f>
        <v>9.537585089440502E-2</v>
      </c>
      <c r="J370" s="61">
        <f>SUMIFS(Calc_Variable_2[Powercor],Calc_Variable_2[[Customer type]:[Customer type]],"All")+SUMIFS(Calc_Variable_2[Powercor],Calc_Variable_2[[Customer type]:[Customer type]],$F370)</f>
        <v>9.4889700742642621E-2</v>
      </c>
      <c r="K370" s="61">
        <f>SUMIFS(Calc_Variable_2[United Energy],Calc_Variable_2[[Customer type]:[Customer type]],"All")+SUMIFS(Calc_Variable_2[United Energy],Calc_Variable_2[[Customer type]:[Customer type]],$F370)</f>
        <v>9.7222821011307206E-2</v>
      </c>
    </row>
    <row r="371" spans="2:11" hidden="1" outlineLevel="2" x14ac:dyDescent="0.25">
      <c r="B371"/>
      <c r="C371" s="23" t="s">
        <v>203</v>
      </c>
      <c r="D371" s="23" t="s">
        <v>9</v>
      </c>
      <c r="E371" s="23" t="s">
        <v>282</v>
      </c>
      <c r="F371" s="23" t="s">
        <v>93</v>
      </c>
      <c r="G371" s="73" t="str" cm="1">
        <f t="array" ref="G371">IF(G369=0,"-",
(G369+G370)*Calc_ROM_2[Ausnet])</f>
        <v>-</v>
      </c>
      <c r="H371" s="73" cm="1">
        <f t="array" ref="H371">IF(H369=0,"-",
(H369+H370)*Calc_ROM_2[Citipower])</f>
        <v>1.0745375203604163E-2</v>
      </c>
      <c r="I371" s="73" cm="1">
        <f t="array" ref="I371">IF(I369=0,"-",
(I369+I370)*Calc_ROM_2[Jemena])</f>
        <v>1.2388393394022064E-2</v>
      </c>
      <c r="J371" s="73" cm="1">
        <f t="array" ref="J371">IF(J369=0,"-",
(J369+J370)*Calc_ROM_2[Powercor])</f>
        <v>1.1342497924855614E-2</v>
      </c>
      <c r="K371" s="73" cm="1">
        <f t="array" ref="K371">IF(K369=0,"-",
(K369+K370)*Calc_ROM_2[United Energy])</f>
        <v>1.1181418389082955E-2</v>
      </c>
    </row>
    <row r="372" spans="2:11" hidden="1" outlineLevel="2" x14ac:dyDescent="0.25">
      <c r="B372"/>
      <c r="C372" s="23" t="s">
        <v>277</v>
      </c>
      <c r="D372" s="23" t="s">
        <v>9</v>
      </c>
      <c r="E372" s="23" t="s">
        <v>282</v>
      </c>
      <c r="F372" s="23" t="s">
        <v>93</v>
      </c>
      <c r="G372" s="73" t="str">
        <f>IF(G369=0,"-",
(G369+G370+G371)*GST)</f>
        <v>-</v>
      </c>
      <c r="H372" s="73">
        <f>IF(H369=0,"-",
(H369+H370+H371)*GST)</f>
        <v>1.8864893817718303E-2</v>
      </c>
      <c r="I372" s="73">
        <f>IF(I369=0,"-",
(I369+I370+I371)*GST)</f>
        <v>2.1749424428842711E-2</v>
      </c>
      <c r="J372" s="73">
        <f>IF(J369=0,"-",
(J369+J370+J371)*GST)</f>
        <v>1.9913219866749824E-2</v>
      </c>
      <c r="K372" s="73">
        <f>IF(K369=0,"-",
(K369+K370+K371)*GST)</f>
        <v>1.9630423940039016E-2</v>
      </c>
    </row>
    <row r="373" spans="2:11" hidden="1" outlineLevel="2" x14ac:dyDescent="0.25">
      <c r="B373"/>
      <c r="C373" s="23" t="str">
        <f>C368&amp;" charge"</f>
        <v>Single rate charge</v>
      </c>
      <c r="D373" s="23" t="s">
        <v>9</v>
      </c>
      <c r="E373" s="23" t="s">
        <v>282</v>
      </c>
      <c r="F373" s="23" t="s">
        <v>93</v>
      </c>
      <c r="G373" s="74" t="str">
        <f>IF(G369=0,"-",
G369+G370+G371+G372)</f>
        <v>-</v>
      </c>
      <c r="H373" s="74">
        <f t="shared" ref="H373" si="91">IF(H369=0,"-",
H369+H370+H371+H372)</f>
        <v>0.20751383199490131</v>
      </c>
      <c r="I373" s="74">
        <f t="shared" ref="I373" si="92">IF(I369=0,"-",
I369+I370+I371+I372)</f>
        <v>0.23924366871726979</v>
      </c>
      <c r="J373" s="74">
        <f t="shared" ref="J373" si="93">IF(J369=0,"-",
J369+J370+J371+J372)</f>
        <v>0.21904541853424805</v>
      </c>
      <c r="K373" s="74">
        <f t="shared" ref="K373" si="94">IF(K369=0,"-",
K369+K370+K371+K372)</f>
        <v>0.21593466334042918</v>
      </c>
    </row>
    <row r="374" spans="2:11" hidden="1" outlineLevel="2" x14ac:dyDescent="0.25">
      <c r="B374"/>
      <c r="G374" s="110" t="str" cm="1">
        <f t="array" ref="G374">IF($D$254='Lookup refs'!$D$25,
IF(G373=INDEX(RateCheck_VDO2021F[[Ausnet]:[United Energy]],MATCH(Calc_Rates!$C373&amp;"_"&amp;Calc_Rates!$F373,RateCheck_VDO2021F[Rate],0),MATCH(Calc_Rates!G$9,RateCheck_VDO2021F[[#Headers],[Ausnet]:[United Energy]],0)),0,1),
IF(G373="-","-",
IF(ROUND(G373,8)=ROUND((((
SUMIFS(Calc_Variable_2[Ausnet],Calc_Variable_2[Customer type],Calc_Rates!$F373)+
SUMIFS(Calc_Variable_2[Ausnet],Calc_Variable_2[Customer type],"All")+G369)*(1+Calc_ROM_2[Ausnet]))*(1+GST)),8),0,1)))</f>
        <v>-</v>
      </c>
      <c r="H374" s="110" cm="1">
        <f t="array" ref="H374">IF($D$254='Lookup refs'!$D$25,
IF(H373=INDEX(RateCheck_VDO2021F[[Ausnet]:[United Energy]],MATCH(Calc_Rates!$C373&amp;"_"&amp;Calc_Rates!$F373,RateCheck_VDO2021F[Rate],0),MATCH(Calc_Rates!H$9,RateCheck_VDO2021F[[#Headers],[Ausnet]:[United Energy]],0)),0,1),
IF(H373="-","-",
IF(ROUND(H373,8)=ROUND((((
SUMIFS(Calc_Variable_2[Citipower],Calc_Variable_2[Customer type],Calc_Rates!$F373)+
SUMIFS(Calc_Variable_2[Citipower],Calc_Variable_2[Customer type],"All")+H369)*(1+Calc_ROM_2[Citipower]))*(1+GST)),8),0,1)))</f>
        <v>0</v>
      </c>
      <c r="I374" s="110" cm="1">
        <f t="array" ref="I374">IF($D$254='Lookup refs'!$D$25,
IF(I373=INDEX(RateCheck_VDO2021F[[Ausnet]:[United Energy]],MATCH(Calc_Rates!$C373&amp;"_"&amp;Calc_Rates!$F373,RateCheck_VDO2021F[Rate],0),MATCH(Calc_Rates!I$9,RateCheck_VDO2021F[[#Headers],[Ausnet]:[United Energy]],0)),0,1),
IF(I373="-","-",
IF(ROUND(I373,8)=ROUND((((
SUMIFS(Calc_Variable_2[Jemena],Calc_Variable_2[Customer type],Calc_Rates!$F373)+
SUMIFS(Calc_Variable_2[Jemena],Calc_Variable_2[Customer type],"All")+I369)*(1+Calc_ROM_2[Jemena]))*(1+GST)),8),0,1)))</f>
        <v>0</v>
      </c>
      <c r="J374" s="110" cm="1">
        <f t="array" ref="J374">IF($D$254='Lookup refs'!$D$25,
IF(J373=INDEX(RateCheck_VDO2021F[[Ausnet]:[United Energy]],MATCH(Calc_Rates!$C373&amp;"_"&amp;Calc_Rates!$F373,RateCheck_VDO2021F[Rate],0),MATCH(Calc_Rates!J$9,RateCheck_VDO2021F[[#Headers],[Ausnet]:[United Energy]],0)),0,1),
IF(J373="-","-",
IF(ROUND(J373,8)=ROUND((((
SUMIFS(Calc_Variable_2[Powercor],Calc_Variable_2[[Customer type]:[Customer type]],Calc_Rates!$F373)+
SUMIFS(Calc_Variable_2[Powercor],Calc_Variable_2[[Customer type]:[Customer type]],"All")+J369)*(1+Calc_ROM_2[Powercor]))*(1+GST)),8),0,1)))</f>
        <v>0</v>
      </c>
      <c r="K374" s="110" cm="1">
        <f t="array" ref="K374">IF($D$254='Lookup refs'!$D$25,
IF(K373=INDEX(RateCheck_VDO2021F[[Ausnet]:[United Energy]],MATCH(Calc_Rates!$C373&amp;"_"&amp;Calc_Rates!$F373,RateCheck_VDO2021F[[Rate]:[Rate]],0),MATCH(Calc_Rates!K$9,RateCheck_VDO2021F[[#Headers],[Ausnet]:[United Energy]],0)),0,1),
IF(K373="-","-",
IF(ROUND(K373,8)=ROUND((((
SUMIFS(Calc_Variable_2[United Energy],Calc_Variable_2[[Customer type]:[Customer type]],Calc_Rates!$F373)+
SUMIFS(Calc_Variable_2[United Energy],Calc_Variable_2[[Customer type]:[Customer type]],"All")+K369)*(1+Calc_ROM_2[United Energy]))*(1+GST)),8),0,1)))</f>
        <v>0</v>
      </c>
    </row>
    <row r="375" spans="2:11" ht="15.75" hidden="1" outlineLevel="2" x14ac:dyDescent="0.25">
      <c r="B375"/>
      <c r="C375" s="1" t="s">
        <v>616</v>
      </c>
    </row>
    <row r="376" spans="2:11" ht="15.75" hidden="1" outlineLevel="2" x14ac:dyDescent="0.25">
      <c r="B376"/>
      <c r="C376" s="81" t="s">
        <v>230</v>
      </c>
    </row>
    <row r="377" spans="2:11" hidden="1" outlineLevel="2" x14ac:dyDescent="0.25">
      <c r="B377"/>
      <c r="C377" s="23" t="s">
        <v>286</v>
      </c>
      <c r="D377" s="23" t="s">
        <v>9</v>
      </c>
      <c r="E377" s="23" t="s">
        <v>282</v>
      </c>
      <c r="F377" s="23" t="s">
        <v>93</v>
      </c>
      <c r="G377" s="61">
        <f>SUMIFS(Calc_NetworkV_2[Ausnet],Calc_NetworkV_2[[Cost item]:[Cost item]],$C376,Calc_NetworkV_2[[Customer type]:[Customer type]],$F377)</f>
        <v>0.17508700000000002</v>
      </c>
      <c r="H377" s="61">
        <f>SUMIFS(Calc_NetworkV_2[Citipower],Calc_NetworkV_2[[Cost item]:[Cost item]],$C376,Calc_NetworkV_2[[Customer type]:[Customer type]],$F377)</f>
        <v>0.13019999999999998</v>
      </c>
      <c r="I377" s="61">
        <f>SUMIFS(Calc_NetworkV_2[Jemena],Calc_NetworkV_2[[Cost item]:[Cost item]],$C376,Calc_NetworkV_2[[Customer type]:[Customer type]],$F377)</f>
        <v>0.14330999999999999</v>
      </c>
      <c r="J377" s="61">
        <f>SUMIFS(Calc_NetworkV_2[Powercor],Calc_NetworkV_2[[Cost item]:[Cost item]],$C376,Calc_NetworkV_2[[Customer type]:[Customer type]],$F377)</f>
        <v>0.14749999999999999</v>
      </c>
      <c r="K377" s="61">
        <f>SUMIFS(Calc_NetworkV_2[United Energy],Calc_NetworkV_2[[Cost item]:[Cost item]],$C376,Calc_NetworkV_2[[Customer type]:[Customer type]],$F377)</f>
        <v>0.1399</v>
      </c>
    </row>
    <row r="378" spans="2:11" hidden="1" outlineLevel="2" x14ac:dyDescent="0.25">
      <c r="B378"/>
      <c r="C378" s="23" t="s">
        <v>280</v>
      </c>
      <c r="D378" s="23" t="s">
        <v>9</v>
      </c>
      <c r="E378" s="23" t="s">
        <v>282</v>
      </c>
      <c r="F378" s="23" t="s">
        <v>93</v>
      </c>
      <c r="G378" s="61">
        <f>SUMIFS(Calc_Variable_2[Ausnet],Calc_Variable_2[[Customer type]:[Customer type]],"All")+SUMIFS(Calc_Variable_2[Ausnet],Calc_Variable_2[[Customer type]:[Customer type]],$F378)</f>
        <v>9.7491363893470073E-2</v>
      </c>
      <c r="H378" s="61">
        <f>SUMIFS(Calc_Variable_2[Citipower],Calc_Variable_2[[Customer type]:[Customer type]],"All")+SUMIFS(Calc_Variable_2[Citipower],Calc_Variable_2[[Customer type]:[Customer type]],$F378)</f>
        <v>9.5803562973578837E-2</v>
      </c>
      <c r="I378" s="61">
        <f>SUMIFS(Calc_Variable_2[Jemena],Calc_Variable_2[[Customer type]:[Customer type]],"All")+SUMIFS(Calc_Variable_2[Jemena],Calc_Variable_2[[Customer type]:[Customer type]],$F378)</f>
        <v>9.537585089440502E-2</v>
      </c>
      <c r="J378" s="61">
        <f>SUMIFS(Calc_Variable_2[Powercor],Calc_Variable_2[[Customer type]:[Customer type]],"All")+SUMIFS(Calc_Variable_2[Powercor],Calc_Variable_2[[Customer type]:[Customer type]],$F378)</f>
        <v>9.4889700742642621E-2</v>
      </c>
      <c r="K378" s="61">
        <f>SUMIFS(Calc_Variable_2[United Energy],Calc_Variable_2[[Customer type]:[Customer type]],"All")+SUMIFS(Calc_Variable_2[United Energy],Calc_Variable_2[[Customer type]:[Customer type]],$F378)</f>
        <v>9.7222821011307206E-2</v>
      </c>
    </row>
    <row r="379" spans="2:11" hidden="1" outlineLevel="2" x14ac:dyDescent="0.25">
      <c r="B379"/>
      <c r="C379" s="23" t="s">
        <v>203</v>
      </c>
      <c r="D379" s="23" t="s">
        <v>9</v>
      </c>
      <c r="E379" s="23" t="s">
        <v>282</v>
      </c>
      <c r="F379" s="23" t="s">
        <v>93</v>
      </c>
      <c r="G379" s="73" cm="1">
        <f t="array" ref="G379">IF(G377=0,"-",
(G377+G378)*Calc_ROM_2[Ausnet])</f>
        <v>1.6463733179165597E-2</v>
      </c>
      <c r="H379" s="73" cm="1">
        <f t="array" ref="H379">IF(H377=0,"-",
(H377+H378)*Calc_ROM_2[Citipower])</f>
        <v>1.3650615203604161E-2</v>
      </c>
      <c r="I379" s="73" cm="1">
        <f t="array" ref="I379">IF(I377=0,"-",
(I377+I378)*Calc_ROM_2[Jemena])</f>
        <v>1.4416625394022064E-2</v>
      </c>
      <c r="J379" s="73" cm="1">
        <f t="array" ref="J379">IF(J377=0,"-",
(J377+J378)*Calc_ROM_2[Powercor])</f>
        <v>1.4640337924855614E-2</v>
      </c>
      <c r="K379" s="73" cm="1">
        <f t="array" ref="K379">IF(K377=0,"-",
(K377+K378)*Calc_ROM_2[United Energy])</f>
        <v>1.4322218389082956E-2</v>
      </c>
    </row>
    <row r="380" spans="2:11" hidden="1" outlineLevel="2" x14ac:dyDescent="0.25">
      <c r="B380"/>
      <c r="C380" s="23" t="s">
        <v>277</v>
      </c>
      <c r="D380" s="23" t="s">
        <v>9</v>
      </c>
      <c r="E380" s="23" t="s">
        <v>282</v>
      </c>
      <c r="F380" s="23" t="s">
        <v>93</v>
      </c>
      <c r="G380" s="73">
        <f>IF(G377=0,"-",
(G377+G378+G379)*GST)</f>
        <v>2.8904209707263574E-2</v>
      </c>
      <c r="H380" s="73">
        <f>IF(H377=0,"-",
(H377+H378+H379)*GST)</f>
        <v>2.3965417817718299E-2</v>
      </c>
      <c r="I380" s="73">
        <f>IF(I377=0,"-",
(I377+I378+I379)*GST)</f>
        <v>2.5310247628842708E-2</v>
      </c>
      <c r="J380" s="73">
        <f>IF(J377=0,"-",
(J377+J378+J379)*GST)</f>
        <v>2.5703003866749827E-2</v>
      </c>
      <c r="K380" s="73">
        <f>IF(K377=0,"-",
(K377+K378+K379)*GST)</f>
        <v>2.5144503940039017E-2</v>
      </c>
    </row>
    <row r="381" spans="2:11" hidden="1" outlineLevel="2" x14ac:dyDescent="0.25">
      <c r="B381"/>
      <c r="C381" s="23" t="str">
        <f>C376&amp;" charge"</f>
        <v>Peak charge</v>
      </c>
      <c r="D381" s="23" t="s">
        <v>9</v>
      </c>
      <c r="E381" s="23" t="s">
        <v>282</v>
      </c>
      <c r="F381" s="23" t="s">
        <v>93</v>
      </c>
      <c r="G381" s="74">
        <f>IF(G377=0,"-",
G377+G378+G379+G380)</f>
        <v>0.31794630677989932</v>
      </c>
      <c r="H381" s="74">
        <f t="shared" ref="H381" si="95">IF(H377=0,"-",
H377+H378+H379+H380)</f>
        <v>0.26361959599490126</v>
      </c>
      <c r="I381" s="74">
        <f t="shared" ref="I381" si="96">IF(I377=0,"-",
I377+I378+I379+I380)</f>
        <v>0.27841272391726979</v>
      </c>
      <c r="J381" s="74">
        <f t="shared" ref="J381" si="97">IF(J377=0,"-",
J377+J378+J379+J380)</f>
        <v>0.28273304253424808</v>
      </c>
      <c r="K381" s="74">
        <f t="shared" ref="K381" si="98">IF(K377=0,"-",
K377+K378+K379+K380)</f>
        <v>0.27658954334042918</v>
      </c>
    </row>
    <row r="382" spans="2:11" hidden="1" outlineLevel="2" x14ac:dyDescent="0.25">
      <c r="B382"/>
      <c r="G382" s="110" cm="1">
        <f t="array" ref="G382">IF($D$254='Lookup refs'!$D$25,
IF(G381=INDEX(RateCheck_VDO2021F[[Ausnet]:[United Energy]],MATCH(Calc_Rates!$C381&amp;"_"&amp;Calc_Rates!$F381,RateCheck_VDO2021F[Rate],0),MATCH(Calc_Rates!G$9,RateCheck_VDO2021F[[#Headers],[Ausnet]:[United Energy]],0)),0,1),
IF(G381="-","-",
IF(ROUND(G381,8)=ROUND((((
SUMIFS(Calc_Variable_2[Ausnet],Calc_Variable_2[Customer type],Calc_Rates!$F381)+
SUMIFS(Calc_Variable_2[Ausnet],Calc_Variable_2[Customer type],"All")+G377)*(1+Calc_ROM_2[Ausnet]))*(1+GST)),8),0,1)))</f>
        <v>0</v>
      </c>
      <c r="H382" s="110" cm="1">
        <f t="array" ref="H382">IF($D$254='Lookup refs'!$D$25,
IF(H381=INDEX(RateCheck_VDO2021F[[Ausnet]:[United Energy]],MATCH(Calc_Rates!$C381&amp;"_"&amp;Calc_Rates!$F381,RateCheck_VDO2021F[Rate],0),MATCH(Calc_Rates!H$9,RateCheck_VDO2021F[[#Headers],[Ausnet]:[United Energy]],0)),0,1),
IF(H381="-","-",
IF(ROUND(H381,8)=ROUND((((
SUMIFS(Calc_Variable_2[Citipower],Calc_Variable_2[Customer type],Calc_Rates!$F381)+
SUMIFS(Calc_Variable_2[Citipower],Calc_Variable_2[Customer type],"All")+H377)*(1+Calc_ROM_2[Citipower]))*(1+GST)),8),0,1)))</f>
        <v>0</v>
      </c>
      <c r="I382" s="110" cm="1">
        <f t="array" ref="I382">IF($D$254='Lookup refs'!$D$25,
IF(I381=INDEX(RateCheck_VDO2021F[[Ausnet]:[United Energy]],MATCH(Calc_Rates!$C381&amp;"_"&amp;Calc_Rates!$F381,RateCheck_VDO2021F[Rate],0),MATCH(Calc_Rates!I$9,RateCheck_VDO2021F[[#Headers],[Ausnet]:[United Energy]],0)),0,1),
IF(I381="-","-",
IF(ROUND(I381,8)=ROUND((((
SUMIFS(Calc_Variable_2[Jemena],Calc_Variable_2[Customer type],Calc_Rates!$F381)+
SUMIFS(Calc_Variable_2[Jemena],Calc_Variable_2[Customer type],"All")+I377)*(1+Calc_ROM_2[Jemena]))*(1+GST)),8),0,1)))</f>
        <v>0</v>
      </c>
      <c r="J382" s="110" cm="1">
        <f t="array" ref="J382">IF($D$254='Lookup refs'!$D$25,
IF(J381=INDEX(RateCheck_VDO2021F[[Ausnet]:[United Energy]],MATCH(Calc_Rates!$C381&amp;"_"&amp;Calc_Rates!$F381,RateCheck_VDO2021F[Rate],0),MATCH(Calc_Rates!J$9,RateCheck_VDO2021F[[#Headers],[Ausnet]:[United Energy]],0)),0,1),
IF(J381="-","-",
IF(ROUND(J381,8)=ROUND((((
SUMIFS(Calc_Variable_2[Powercor],Calc_Variable_2[[Customer type]:[Customer type]],Calc_Rates!$F381)+
SUMIFS(Calc_Variable_2[Powercor],Calc_Variable_2[[Customer type]:[Customer type]],"All")+J377)*(1+Calc_ROM_2[Powercor]))*(1+GST)),8),0,1)))</f>
        <v>0</v>
      </c>
      <c r="K382" s="110" cm="1">
        <f t="array" ref="K382">IF($D$254='Lookup refs'!$D$25,
IF(K381=INDEX(RateCheck_VDO2021F[[Ausnet]:[United Energy]],MATCH(Calc_Rates!$C381&amp;"_"&amp;Calc_Rates!$F381,RateCheck_VDO2021F[[Rate]:[Rate]],0),MATCH(Calc_Rates!K$9,RateCheck_VDO2021F[[#Headers],[Ausnet]:[United Energy]],0)),0,1),
IF(K381="-","-",
IF(ROUND(K381,8)=ROUND((((
SUMIFS(Calc_Variable_2[United Energy],Calc_Variable_2[[Customer type]:[Customer type]],Calc_Rates!$F381)+
SUMIFS(Calc_Variable_2[United Energy],Calc_Variable_2[[Customer type]:[Customer type]],"All")+K377)*(1+Calc_ROM_2[United Energy]))*(1+GST)),8),0,1)))</f>
        <v>0</v>
      </c>
    </row>
    <row r="383" spans="2:11" ht="15.75" hidden="1" outlineLevel="2" x14ac:dyDescent="0.25">
      <c r="B383"/>
      <c r="C383" s="81" t="s">
        <v>609</v>
      </c>
    </row>
    <row r="384" spans="2:11" hidden="1" outlineLevel="2" x14ac:dyDescent="0.25">
      <c r="B384"/>
      <c r="C384" s="23" t="s">
        <v>286</v>
      </c>
      <c r="D384" s="23" t="s">
        <v>9</v>
      </c>
      <c r="E384" s="23" t="s">
        <v>282</v>
      </c>
      <c r="F384" s="23" t="s">
        <v>93</v>
      </c>
      <c r="G384" s="61">
        <f>SUMIFS(Calc_NetworkV_2[Ausnet],Calc_NetworkV_2[[Cost item]:[Cost item]],$C383,Calc_NetworkV_2[[Customer type]:[Customer type]],$F384)</f>
        <v>4.2655999999999999E-2</v>
      </c>
      <c r="H384" s="61">
        <f>SUMIFS(Calc_NetworkV_2[Citipower],Calc_NetworkV_2[[Cost item]:[Cost item]],$C383,Calc_NetworkV_2[[Customer type]:[Customer type]],$F384)</f>
        <v>2.8900000000000002E-2</v>
      </c>
      <c r="I384" s="61">
        <f>SUMIFS(Calc_NetworkV_2[Jemena],Calc_NetworkV_2[[Cost item]:[Cost item]],$C383,Calc_NetworkV_2[[Customer type]:[Customer type]],$F384)</f>
        <v>3.0520000000000002E-2</v>
      </c>
      <c r="J384" s="61">
        <f>SUMIFS(Calc_NetworkV_2[Powercor],Calc_NetworkV_2[[Cost item]:[Cost item]],$C383,Calc_NetworkV_2[[Customer type]:[Customer type]],$F384)</f>
        <v>3.2799999999999996E-2</v>
      </c>
      <c r="K384" s="61">
        <f>SUMIFS(Calc_NetworkV_2[United Energy],Calc_NetworkV_2[[Cost item]:[Cost item]],$C383,Calc_NetworkV_2[[Customer type]:[Customer type]],$F384)</f>
        <v>3.1099999999999999E-2</v>
      </c>
    </row>
    <row r="385" spans="1:11" hidden="1" outlineLevel="2" x14ac:dyDescent="0.25">
      <c r="B385"/>
      <c r="C385" s="23" t="s">
        <v>280</v>
      </c>
      <c r="D385" s="23" t="s">
        <v>9</v>
      </c>
      <c r="E385" s="23" t="s">
        <v>282</v>
      </c>
      <c r="F385" s="23" t="s">
        <v>93</v>
      </c>
      <c r="G385" s="61">
        <f>SUMIFS(Calc_Variable_2[Ausnet],Calc_Variable_2[[Customer type]:[Customer type]],"All")+SUMIFS(Calc_Variable_2[Ausnet],Calc_Variable_2[[Customer type]:[Customer type]],$F385)</f>
        <v>9.7491363893470073E-2</v>
      </c>
      <c r="H385" s="61">
        <f>SUMIFS(Calc_Variable_2[Citipower],Calc_Variable_2[[Customer type]:[Customer type]],"All")+SUMIFS(Calc_Variable_2[Citipower],Calc_Variable_2[[Customer type]:[Customer type]],$F385)</f>
        <v>9.5803562973578837E-2</v>
      </c>
      <c r="I385" s="61">
        <f>SUMIFS(Calc_Variable_2[Jemena],Calc_Variable_2[[Customer type]:[Customer type]],"All")+SUMIFS(Calc_Variable_2[Jemena],Calc_Variable_2[[Customer type]:[Customer type]],$F385)</f>
        <v>9.537585089440502E-2</v>
      </c>
      <c r="J385" s="61">
        <f>SUMIFS(Calc_Variable_2[Powercor],Calc_Variable_2[[Customer type]:[Customer type]],"All")+SUMIFS(Calc_Variable_2[Powercor],Calc_Variable_2[[Customer type]:[Customer type]],$F385)</f>
        <v>9.4889700742642621E-2</v>
      </c>
      <c r="K385" s="61">
        <f>SUMIFS(Calc_Variable_2[United Energy],Calc_Variable_2[[Customer type]:[Customer type]],"All")+SUMIFS(Calc_Variable_2[United Energy],Calc_Variable_2[[Customer type]:[Customer type]],$F385)</f>
        <v>9.7222821011307206E-2</v>
      </c>
    </row>
    <row r="386" spans="1:11" ht="15.75" hidden="1" outlineLevel="2" collapsed="1" x14ac:dyDescent="0.25">
      <c r="A386" s="1" t="s">
        <v>23</v>
      </c>
      <c r="B386"/>
      <c r="C386" s="23" t="s">
        <v>203</v>
      </c>
      <c r="D386" s="23" t="s">
        <v>9</v>
      </c>
      <c r="E386" s="23" t="s">
        <v>282</v>
      </c>
      <c r="F386" s="23" t="s">
        <v>93</v>
      </c>
      <c r="G386" s="73" cm="1">
        <f t="array" ref="G386">IF(G384=0,"-",
(G384+G385)*Calc_ROM_2[Ausnet])</f>
        <v>8.4649007791655923E-3</v>
      </c>
      <c r="H386" s="73" cm="1">
        <f t="array" ref="H386">IF(H384=0,"-",
(H384+H385)*Calc_ROM_2[Citipower])</f>
        <v>7.532095203604163E-3</v>
      </c>
      <c r="I386" s="73" cm="1">
        <f t="array" ref="I386">IF(I384=0,"-",
(I384+I385)*Calc_ROM_2[Jemena])</f>
        <v>7.6041093940220636E-3</v>
      </c>
      <c r="J386" s="73" cm="1">
        <f t="array" ref="J386">IF(J384=0,"-",
(J384+J385)*Calc_ROM_2[Powercor])</f>
        <v>7.7124579248556155E-3</v>
      </c>
      <c r="K386" s="73" cm="1">
        <f t="array" ref="K386">IF(K384=0,"-",
(K384+K385)*Calc_ROM_2[United Energy])</f>
        <v>7.7506983890829554E-3</v>
      </c>
    </row>
    <row r="387" spans="1:11" hidden="1" outlineLevel="2" x14ac:dyDescent="0.25">
      <c r="B387"/>
      <c r="C387" s="23" t="s">
        <v>277</v>
      </c>
      <c r="D387" s="23" t="s">
        <v>9</v>
      </c>
      <c r="E387" s="23" t="s">
        <v>282</v>
      </c>
      <c r="F387" s="23" t="s">
        <v>93</v>
      </c>
      <c r="G387" s="73">
        <f>IF(G384=0,"-",
(G384+G385+G386)*GST)</f>
        <v>1.4861226467263566E-2</v>
      </c>
      <c r="H387" s="73">
        <f>IF(H384=0,"-",
(H384+H385+H386)*GST)</f>
        <v>1.3223565817718301E-2</v>
      </c>
      <c r="I387" s="73">
        <f>IF(I384=0,"-",
(I384+I385+I386)*GST)</f>
        <v>1.3349996028842709E-2</v>
      </c>
      <c r="J387" s="73">
        <f>IF(J384=0,"-",
(J384+J385+J386)*GST)</f>
        <v>1.3540215866749826E-2</v>
      </c>
      <c r="K387" s="73">
        <f>IF(K384=0,"-",
(K384+K385+K386)*GST)</f>
        <v>1.3607351940039017E-2</v>
      </c>
    </row>
    <row r="388" spans="1:11" hidden="1" outlineLevel="2" x14ac:dyDescent="0.25">
      <c r="B388"/>
      <c r="C388" s="23" t="str">
        <f>C383&amp;" charge"</f>
        <v>Off peak charge</v>
      </c>
      <c r="D388" s="23" t="s">
        <v>9</v>
      </c>
      <c r="E388" s="23" t="s">
        <v>282</v>
      </c>
      <c r="F388" s="23" t="s">
        <v>93</v>
      </c>
      <c r="G388" s="74">
        <f>IF(G384=0,"-",
G384+G385+G386+G387)</f>
        <v>0.16347349113989923</v>
      </c>
      <c r="H388" s="74">
        <f t="shared" ref="H388" si="99">IF(H384=0,"-",
H384+H385+H386+H387)</f>
        <v>0.1454592239949013</v>
      </c>
      <c r="I388" s="74">
        <f t="shared" ref="I388" si="100">IF(I384=0,"-",
I384+I385+I386+I387)</f>
        <v>0.1468499563172698</v>
      </c>
      <c r="J388" s="74">
        <f t="shared" ref="J388" si="101">IF(J384=0,"-",
J384+J385+J386+J387)</f>
        <v>0.14894237453424808</v>
      </c>
      <c r="K388" s="74">
        <f t="shared" ref="K388" si="102">IF(K384=0,"-",
K384+K385+K386+K387)</f>
        <v>0.14968087134042918</v>
      </c>
    </row>
    <row r="389" spans="1:11" hidden="1" outlineLevel="2" x14ac:dyDescent="0.25">
      <c r="B389"/>
      <c r="G389" s="110" cm="1">
        <f t="array" ref="G389">IF($D$254='Lookup refs'!$D$25,
IF(G388=INDEX(RateCheck_VDO2021F[[Ausnet]:[United Energy]],MATCH(Calc_Rates!$C388&amp;"_"&amp;Calc_Rates!$F388,RateCheck_VDO2021F[Rate],0),MATCH(Calc_Rates!G$9,RateCheck_VDO2021F[[#Headers],[Ausnet]:[United Energy]],0)),0,1),
IF(G388="-","-",
IF(ROUND(G388,8)=ROUND((((
SUMIFS(Calc_Variable_2[Ausnet],Calc_Variable_2[Customer type],Calc_Rates!$F388)+
SUMIFS(Calc_Variable_2[Ausnet],Calc_Variable_2[Customer type],"All")+G384)*(1+Calc_ROM_2[Ausnet]))*(1+GST)),8),0,1)))</f>
        <v>0</v>
      </c>
      <c r="H389" s="110" cm="1">
        <f t="array" ref="H389">IF($D$254='Lookup refs'!$D$25,
IF(H388=INDEX(RateCheck_VDO2021F[[Ausnet]:[United Energy]],MATCH(Calc_Rates!$C388&amp;"_"&amp;Calc_Rates!$F388,RateCheck_VDO2021F[Rate],0),MATCH(Calc_Rates!H$9,RateCheck_VDO2021F[[#Headers],[Ausnet]:[United Energy]],0)),0,1),
IF(H388="-","-",
IF(ROUND(H388,8)=ROUND((((
SUMIFS(Calc_Variable_2[Citipower],Calc_Variable_2[Customer type],Calc_Rates!$F388)+
SUMIFS(Calc_Variable_2[Citipower],Calc_Variable_2[Customer type],"All")+H384)*(1+Calc_ROM_2[Citipower]))*(1+GST)),8),0,1)))</f>
        <v>0</v>
      </c>
      <c r="I389" s="110" cm="1">
        <f t="array" ref="I389">IF($D$254='Lookup refs'!$D$25,
IF(I388=INDEX(RateCheck_VDO2021F[[Ausnet]:[United Energy]],MATCH(Calc_Rates!$C388&amp;"_"&amp;Calc_Rates!$F388,RateCheck_VDO2021F[Rate],0),MATCH(Calc_Rates!I$9,RateCheck_VDO2021F[[#Headers],[Ausnet]:[United Energy]],0)),0,1),
IF(I388="-","-",
IF(ROUND(I388,8)=ROUND((((
SUMIFS(Calc_Variable_2[Jemena],Calc_Variable_2[Customer type],Calc_Rates!$F388)+
SUMIFS(Calc_Variable_2[Jemena],Calc_Variable_2[Customer type],"All")+I384)*(1+Calc_ROM_2[Jemena]))*(1+GST)),8),0,1)))</f>
        <v>0</v>
      </c>
      <c r="J389" s="110" cm="1">
        <f t="array" ref="J389">IF($D$254='Lookup refs'!$D$25,
IF(J388=INDEX(RateCheck_VDO2021F[[Ausnet]:[United Energy]],MATCH(Calc_Rates!$C388&amp;"_"&amp;Calc_Rates!$F388,RateCheck_VDO2021F[Rate],0),MATCH(Calc_Rates!J$9,RateCheck_VDO2021F[[#Headers],[Ausnet]:[United Energy]],0)),0,1),
IF(J388="-","-",
IF(ROUND(J388,8)=ROUND((((
SUMIFS(Calc_Variable_2[Powercor],Calc_Variable_2[[Customer type]:[Customer type]],Calc_Rates!$F388)+
SUMIFS(Calc_Variable_2[Powercor],Calc_Variable_2[[Customer type]:[Customer type]],"All")+J384)*(1+Calc_ROM_2[Powercor]))*(1+GST)),8),0,1)))</f>
        <v>0</v>
      </c>
      <c r="K389" s="110" cm="1">
        <f t="array" ref="K389">IF($D$254='Lookup refs'!$D$25,
IF(K388=INDEX(RateCheck_VDO2021F[[Ausnet]:[United Energy]],MATCH(Calc_Rates!$C388&amp;"_"&amp;Calc_Rates!$F388,RateCheck_VDO2021F[[Rate]:[Rate]],0),MATCH(Calc_Rates!K$9,RateCheck_VDO2021F[[#Headers],[Ausnet]:[United Energy]],0)),0,1),
IF(K388="-","-",
IF(ROUND(K388,8)=ROUND((((
SUMIFS(Calc_Variable_2[United Energy],Calc_Variable_2[[Customer type]:[Customer type]],Calc_Rates!$F388)+
SUMIFS(Calc_Variable_2[United Energy],Calc_Variable_2[[Customer type]:[Customer type]],"All")+K384)*(1+Calc_ROM_2[United Energy]))*(1+GST)),8),0,1)))</f>
        <v>0</v>
      </c>
    </row>
    <row r="390" spans="1:11" hidden="1" outlineLevel="1" x14ac:dyDescent="0.25">
      <c r="B390"/>
    </row>
    <row r="391" spans="1:11" ht="16.5" hidden="1" outlineLevel="1" collapsed="1" thickBot="1" x14ac:dyDescent="0.3">
      <c r="B391" s="9">
        <f ca="1">MAX(B$3:B389)+0.1</f>
        <v>12.899999999999997</v>
      </c>
      <c r="C391" s="28" t="s">
        <v>289</v>
      </c>
      <c r="D391" s="28"/>
      <c r="E391" s="28"/>
      <c r="F391" s="28"/>
      <c r="G391" s="28"/>
      <c r="H391" s="28"/>
      <c r="I391" s="28"/>
      <c r="J391" s="28"/>
      <c r="K391" s="28"/>
    </row>
    <row r="392" spans="1:11" hidden="1" outlineLevel="2" x14ac:dyDescent="0.25"/>
    <row r="393" spans="1:11" ht="15.75" hidden="1" outlineLevel="2" x14ac:dyDescent="0.25">
      <c r="C393" s="29" t="s">
        <v>249</v>
      </c>
    </row>
    <row r="394" spans="1:11" ht="15.75" hidden="1" outlineLevel="2" x14ac:dyDescent="0.25">
      <c r="C394" s="54" t="s">
        <v>290</v>
      </c>
      <c r="D394" s="76">
        <f>IFERROR(INDEX(Input_CPI[Indice],MATCH($D$254,Input_CPI[Decision paper],0),1),"-")</f>
        <v>119.7</v>
      </c>
      <c r="I394" s="78"/>
    </row>
    <row r="395" spans="1:11" ht="15.75" hidden="1" outlineLevel="2" x14ac:dyDescent="0.25">
      <c r="C395" s="29"/>
      <c r="G395" s="303"/>
    </row>
    <row r="396" spans="1:11" ht="15.75" hidden="1" outlineLevel="2" x14ac:dyDescent="0.25">
      <c r="C396" s="43" t="s">
        <v>46</v>
      </c>
      <c r="D396" s="43" t="s">
        <v>102</v>
      </c>
      <c r="E396" s="43" t="s">
        <v>103</v>
      </c>
      <c r="F396" s="43" t="s">
        <v>91</v>
      </c>
      <c r="G396" s="43" t="s">
        <v>805</v>
      </c>
      <c r="H396" s="60" t="s">
        <v>291</v>
      </c>
      <c r="I396" s="60" t="s">
        <v>384</v>
      </c>
      <c r="K396" s="78"/>
    </row>
    <row r="397" spans="1:11" hidden="1" outlineLevel="2" x14ac:dyDescent="0.25">
      <c r="C397" s="23" t="s">
        <v>107</v>
      </c>
      <c r="D397" s="23"/>
      <c r="E397" s="23" t="str">
        <f>INDEX(Input_ForRateCalc[Unit],MATCH(Calc_CPI_2[[#This Row],[Cost item]],Input_ForRateCalc[Cost item],0),1)</f>
        <v>$</v>
      </c>
      <c r="F397" s="23" t="str">
        <f>INDEX(Input_ForRateCalc[Customer type],MATCH(Calc_CPI_2[[#This Row],[Cost item]],Input_ForRateCalc[Cost item],0),1)</f>
        <v>All</v>
      </c>
      <c r="G397" s="23" t="str">
        <f>INDEX(Input_CostItemCPI[[VDO 2021 - Final]:[VDO 2022 - Final]],MATCH(Calc_CPI_2[[#This Row],[Cost item]],Input_CostItemCPI[Cost item],0),MATCH(Calc_Rates!$D$254,Input_CostItemCPI[[#Headers],[VDO 2021 - Final]:[VDO 2022 - Final]],0))</f>
        <v>Yes</v>
      </c>
      <c r="H397" s="56">
        <f>IF(Calc_CPI_2[[#This Row],[Adjust?]]="No",0,
IFERROR(
($D$394-
INDEX(CPI[Indice],MATCH(
INDEX(Input_ForRateCalc[[F-PreviousVDO_InputDate]:[F-CurrentVDO_Input]],MATCH(Calc_Rates!$C397,Input_ForRateCalc[Cost item],0),MATCH(Calc_Rates!$D$254&amp;" - input date",Inputs!H$8:Q$8,0)),
CPI[Period],0),1))/
INDEX(CPI[Indice],MATCH(
INDEX(Input_ForRateCalc[[F-PreviousVDO_InputDate]:[F-CurrentVDO_Input]],MATCH(Calc_Rates!$C397,Input_ForRateCalc[Cost item],0),MATCH(Calc_Rates!$D$254&amp;" - input date",Inputs!H$8:Q$8,0)),
CPI[Period],0),1),"-"))</f>
        <v>8.1300813008130079E-2</v>
      </c>
      <c r="I397" s="61">
        <f>IFERROR((H397)*
INDEX(Input_ForRateCalc[[F-PreviousVDO_InputDate]:[F-CurrentVDO_Input]],MATCH(Calc_Rates!$C397,Input_ForRateCalc[Cost item],0),MATCH($D$254,Inputs!$H$8:$Q$8,0)),"-")</f>
        <v>9.8430894308943078</v>
      </c>
    </row>
    <row r="398" spans="1:11" hidden="1" outlineLevel="2" x14ac:dyDescent="0.25">
      <c r="C398" s="23" t="s">
        <v>851</v>
      </c>
      <c r="D398" s="259"/>
      <c r="E398" s="23" t="str">
        <f>INDEX(Input_ForRateCalc[Unit],MATCH(Calc_CPI_2[[#This Row],[Cost item]],Input_ForRateCalc[Cost item],0),1)</f>
        <v>$</v>
      </c>
      <c r="F398" s="23" t="str">
        <f>INDEX(Input_ForRateCalc[Customer type],MATCH(Calc_CPI_2[[#This Row],[Cost item]],Input_ForRateCalc[Cost item],0),1)</f>
        <v>All</v>
      </c>
      <c r="G398" s="125" t="str">
        <f>INDEX(Input_CostItemCPI[[VDO 2021 - Final]:[VDO 2022 - Final]],MATCH(Calc_CPI_2[[#This Row],[Cost item]],Input_CostItemCPI[Cost item],0),MATCH(Calc_Rates!$D$254,Input_CostItemCPI[[#Headers],[VDO 2021 - Final]:[VDO 2022 - Final]],0))</f>
        <v>No</v>
      </c>
      <c r="H398" s="365">
        <f>IF(Calc_CPI_2[[#This Row],[Adjust?]]="No",0,
IFERROR(
($D$394-
INDEX(CPI[Indice],MATCH(
INDEX(Input_ForRateCalc[[F-PreviousVDO_InputDate]:[F-CurrentVDO_Input]],MATCH(Calc_Rates!$C398,Input_ForRateCalc[Cost item],0),MATCH(Calc_Rates!$D$254&amp;" - input date",Inputs!H$8:Q$8,0)),
CPI[Period],0),1))/
INDEX(CPI[Indice],MATCH(
INDEX(Input_ForRateCalc[[F-PreviousVDO_InputDate]:[F-CurrentVDO_Input]],MATCH(Calc_Rates!$C398,Input_ForRateCalc[Cost item],0),MATCH(Calc_Rates!$D$254&amp;" - input date",Inputs!H$8:Q$8,0)),
CPI[Period],0),1),"-"))</f>
        <v>0</v>
      </c>
      <c r="I398" s="61">
        <f>IFERROR((H398)*
INDEX(Input_ForRateCalc[[F-PreviousVDO_InputDate]:[F-CurrentVDO_Input]],MATCH(Calc_Rates!$C398,Input_ForRateCalc[Cost item],0),MATCH($D$254,Inputs!$H$8:$Q$8,0)),"-")</f>
        <v>0</v>
      </c>
    </row>
    <row r="399" spans="1:11" hidden="1" outlineLevel="2" x14ac:dyDescent="0.25">
      <c r="C399" s="125" t="s">
        <v>114</v>
      </c>
      <c r="D399" s="23"/>
      <c r="E399" s="23" t="str">
        <f>INDEX(Input_ForRateCalc[Unit],MATCH(Calc_CPI_2[[#This Row],[Cost item]],Input_ForRateCalc[Cost item],0),1)</f>
        <v>$</v>
      </c>
      <c r="F399" s="23" t="str">
        <f>INDEX(Input_ForRateCalc[Customer type],MATCH(Calc_CPI_2[[#This Row],[Cost item]],Input_ForRateCalc[Cost item],0),1)</f>
        <v>All</v>
      </c>
      <c r="G399" s="23" t="str">
        <f>INDEX(Input_CostItemCPI[[VDO 2021 - Final]:[VDO 2022 - Final]],MATCH(Calc_CPI_2[[#This Row],[Cost item]],Input_CostItemCPI[Cost item],0),MATCH(Calc_Rates!$D$254,Input_CostItemCPI[[#Headers],[VDO 2021 - Final]:[VDO 2022 - Final]],0))</f>
        <v>Yes</v>
      </c>
      <c r="H399" s="56">
        <f>IF(Calc_CPI_2[[#This Row],[Adjust?]]="No",0,
IFERROR(
($D$394-
INDEX(CPI[Indice],MATCH(
INDEX(Input_ForRateCalc[[F-PreviousVDO_InputDate]:[F-CurrentVDO_Input]],MATCH(Calc_Rates!$C399,Input_ForRateCalc[Cost item],0),MATCH(Calc_Rates!$D$254&amp;" - input date",Inputs!H$8:Q$8,0)),
CPI[Period],0),1))/
INDEX(CPI[Indice],MATCH(
INDEX(Input_ForRateCalc[[F-PreviousVDO_InputDate]:[F-CurrentVDO_Input]],MATCH(Calc_Rates!$C399,Input_ForRateCalc[Cost item],0),MATCH(Calc_Rates!$D$254&amp;" - input date",Inputs!H$8:Q$8,0)),
CPI[Period],0),1),"-"))</f>
        <v>4.2682926829268344E-2</v>
      </c>
      <c r="I399" s="61">
        <f>IFERROR((H399)*
INDEX(Input_ForRateCalc[[F-PreviousVDO_InputDate]:[F-CurrentVDO_Input]],MATCH(Calc_Rates!$C399,Input_ForRateCalc[Cost item],0),MATCH($D$254,Inputs!$H$8:$Q$8,0)),"-")</f>
        <v>1.621951219512197</v>
      </c>
    </row>
    <row r="400" spans="1:11" hidden="1" outlineLevel="2" x14ac:dyDescent="0.25">
      <c r="C400" s="23" t="s">
        <v>116</v>
      </c>
      <c r="D400" s="23"/>
      <c r="E400" s="23" t="str">
        <f>INDEX(Input_ForRateCalc[Unit],MATCH(Calc_CPI_2[[#This Row],[Cost item]],Input_ForRateCalc[Cost item],0),1)</f>
        <v>$</v>
      </c>
      <c r="F400" s="23" t="str">
        <f>INDEX(Input_ForRateCalc[Customer type],MATCH(Calc_CPI_2[[#This Row],[Cost item]],Input_ForRateCalc[Cost item],0),1)</f>
        <v>All</v>
      </c>
      <c r="G400" s="23" t="str">
        <f>INDEX(Input_CostItemCPI[[VDO 2021 - Final]:[VDO 2022 - Final]],MATCH(Calc_CPI_2[[#This Row],[Cost item]],Input_CostItemCPI[Cost item],0),MATCH(Calc_Rates!$D$254,Input_CostItemCPI[[#Headers],[VDO 2021 - Final]:[VDO 2022 - Final]],0))</f>
        <v>No</v>
      </c>
      <c r="H400" s="56">
        <f>IF(Calc_CPI_2[[#This Row],[Adjust?]]="No",0,
IFERROR(
($D$394-
INDEX(CPI[Indice],MATCH(
INDEX(Input_ForRateCalc[[F-PreviousVDO_InputDate]:[F-CurrentVDO_Input]],MATCH(Calc_Rates!$C400,Input_ForRateCalc[Cost item],0),MATCH(Calc_Rates!$D$254&amp;" - input date",Inputs!H$8:Q$8,0)),
CPI[Period],0),1))/
INDEX(CPI[Indice],MATCH(
INDEX(Input_ForRateCalc[[F-PreviousVDO_InputDate]:[F-CurrentVDO_Input]],MATCH(Calc_Rates!$C400,Input_ForRateCalc[Cost item],0),MATCH(Calc_Rates!$D$254&amp;" - input date",Inputs!H$8:Q$8,0)),
CPI[Period],0),1),"-"))</f>
        <v>0</v>
      </c>
      <c r="I400" s="61">
        <f>IFERROR((H400)*
INDEX(Input_ForRateCalc[[F-PreviousVDO_InputDate]:[F-CurrentVDO_Input]],MATCH(Calc_Rates!$C400,Input_ForRateCalc[Cost item],0),MATCH($D$254,Inputs!$H$8:$Q$8,0)),"-")</f>
        <v>0</v>
      </c>
    </row>
    <row r="401" spans="1:11" hidden="1" outlineLevel="2" x14ac:dyDescent="0.25">
      <c r="C401" s="23" t="s">
        <v>117</v>
      </c>
      <c r="D401" s="23"/>
      <c r="E401" s="23" t="str">
        <f>INDEX(Input_ForRateCalc[Unit],MATCH(Calc_CPI_2[[#This Row],[Cost item]],Input_ForRateCalc[Cost item],0),1)</f>
        <v>$</v>
      </c>
      <c r="F401" s="23" t="str">
        <f>INDEX(Input_ForRateCalc[Customer type],MATCH(Calc_CPI_2[[#This Row],[Cost item]],Input_ForRateCalc[Cost item],0),1)</f>
        <v>All</v>
      </c>
      <c r="G401" s="23" t="str">
        <f>INDEX(Input_CostItemCPI[[VDO 2021 - Final]:[VDO 2022 - Final]],MATCH(Calc_CPI_2[[#This Row],[Cost item]],Input_CostItemCPI[Cost item],0),MATCH(Calc_Rates!$D$254,Input_CostItemCPI[[#Headers],[VDO 2021 - Final]:[VDO 2022 - Final]],0))</f>
        <v>Yes</v>
      </c>
      <c r="H401" s="56">
        <f>IF(Calc_CPI_2[[#This Row],[Adjust?]]="No",0,
IFERROR(
($D$394-
INDEX(CPI[Indice],MATCH(
INDEX(Input_ForRateCalc[[F-PreviousVDO_InputDate]:[F-CurrentVDO_Input]],MATCH(Calc_Rates!$C401,Input_ForRateCalc[Cost item],0),MATCH(Calc_Rates!$D$254&amp;" - input date",Inputs!H$8:Q$8,0)),
CPI[Period],0),1))/
INDEX(CPI[Indice],MATCH(
INDEX(Input_ForRateCalc[[F-PreviousVDO_InputDate]:[F-CurrentVDO_Input]],MATCH(Calc_Rates!$C401,Input_ForRateCalc[Cost item],0),MATCH(Calc_Rates!$D$254&amp;" - input date",Inputs!H$8:Q$8,0)),
CPI[Period],0),1),"-"))</f>
        <v>4.63286713286713E-2</v>
      </c>
      <c r="I401" s="61">
        <f>IFERROR((H401)*
INDEX(Input_ForRateCalc[[F-PreviousVDO_InputDate]:[F-CurrentVDO_Input]],MATCH(Calc_Rates!$C401,Input_ForRateCalc[Cost item],0),MATCH($D$254,Inputs!$H$8:$Q$8,0)),"-")</f>
        <v>9.545368656969852E-2</v>
      </c>
    </row>
    <row r="402" spans="1:11" hidden="1" outlineLevel="2" x14ac:dyDescent="0.25">
      <c r="C402" s="59" t="s">
        <v>724</v>
      </c>
      <c r="D402" s="23"/>
      <c r="E402" s="23" t="str">
        <f>INDEX(Input_ForRateCalc[Unit],MATCH(Calc_CPI_2[[#This Row],[Cost item]],Input_ForRateCalc[Cost item],0),1)</f>
        <v>$/week</v>
      </c>
      <c r="F402" s="23" t="str">
        <f>INDEX(Input_ForRateCalc[Customer type],MATCH(Calc_CPI_2[[#This Row],[Cost item]],Input_ForRateCalc[Cost item],0),1)</f>
        <v>All</v>
      </c>
      <c r="G402" s="23" t="str">
        <f>INDEX(Input_CostItemCPI[[VDO 2021 - Final]:[VDO 2022 - Final]],MATCH(Calc_CPI_2[[#This Row],[Cost item]],Input_CostItemCPI[Cost item],0),MATCH(Calc_Rates!$D$254,Input_CostItemCPI[[#Headers],[VDO 2021 - Final]:[VDO 2022 - Final]],0))</f>
        <v>No</v>
      </c>
      <c r="H402" s="56">
        <f>IF(Calc_CPI_2[[#This Row],[Adjust?]]="No",0,
IFERROR(
($D$394-
INDEX(CPI[Indice],MATCH(
INDEX(Input_ForRateCalc[[F-PreviousVDO_InputDate]:[F-CurrentVDO_Input]],MATCH(Calc_Rates!$C402,Input_ForRateCalc[Cost item],0),MATCH(Calc_Rates!$D$254&amp;" - input date",Inputs!H$8:Q$8,0)),
CPI[Period],0),1))/
INDEX(CPI[Indice],MATCH(
INDEX(Input_ForRateCalc[[F-PreviousVDO_InputDate]:[F-CurrentVDO_Input]],MATCH(Calc_Rates!$C402,Input_ForRateCalc[Cost item],0),MATCH(Calc_Rates!$D$254&amp;" - input date",Inputs!H$8:Q$8,0)),
CPI[Period],0),1),"-"))</f>
        <v>0</v>
      </c>
      <c r="I402" s="61">
        <f>IFERROR((H402)*
INDEX(Input_ForRateCalc[[F-PreviousVDO_InputDate]:[F-CurrentVDO_Input]],MATCH(Calc_Rates!$C402,Input_ForRateCalc[Cost item],0),MATCH($D$254,Inputs!$H$8:$Q$8,0)),"-")</f>
        <v>0</v>
      </c>
    </row>
    <row r="403" spans="1:11" hidden="1" outlineLevel="2" x14ac:dyDescent="0.25">
      <c r="B403" s="372"/>
      <c r="C403" s="44" t="s">
        <v>120</v>
      </c>
      <c r="D403" s="23"/>
      <c r="E403" s="23" t="str">
        <f>INDEX(Input_ForRateCalc[Unit],MATCH(Calc_CPI_2[[#This Row],[Cost item]],Input_ForRateCalc[Cost item],0),1)</f>
        <v>$/week</v>
      </c>
      <c r="F403" s="23" t="str">
        <f>INDEX(Input_ForRateCalc[Customer type],MATCH(Calc_CPI_2[[#This Row],[Cost item]],Input_ForRateCalc[Cost item],0),1)</f>
        <v>All</v>
      </c>
      <c r="G403" s="23" t="str">
        <f>INDEX(Input_CostItemCPI[[VDO 2021 - Final]:[VDO 2022 - Final]],MATCH(Calc_CPI_2[[#This Row],[Cost item]],Input_CostItemCPI[Cost item],0),MATCH(Calc_Rates!$D$254,Input_CostItemCPI[[#Headers],[VDO 2021 - Final]:[VDO 2022 - Final]],0))</f>
        <v>No</v>
      </c>
      <c r="H403" s="56">
        <f>IF(Calc_CPI_2[[#This Row],[Adjust?]]="No",0,
IFERROR(
($D$394-
INDEX(CPI[Indice],MATCH(
INDEX(Input_ForRateCalc[[F-PreviousVDO_InputDate]:[F-CurrentVDO_Input]],MATCH(Calc_Rates!$C403,Input_ForRateCalc[Cost item],0),MATCH(Calc_Rates!$D$254&amp;" - input date",Inputs!H$8:Q$8,0)),
CPI[Period],0),1))/
INDEX(CPI[Indice],MATCH(
INDEX(Input_ForRateCalc[[F-PreviousVDO_InputDate]:[F-CurrentVDO_Input]],MATCH(Calc_Rates!$C403,Input_ForRateCalc[Cost item],0),MATCH(Calc_Rates!$D$254&amp;" - input date",Inputs!H$8:Q$8,0)),
CPI[Period],0),1),"-"))</f>
        <v>0</v>
      </c>
      <c r="I403" s="61">
        <f>IFERROR((H403)*
INDEX(Input_ForRateCalc[[F-PreviousVDO_InputDate]:[F-CurrentVDO_Input]],MATCH(Calc_Rates!$C403,Input_ForRateCalc[Cost item],0),MATCH($D$254,Inputs!$H$8:$Q$8,0)),"-")</f>
        <v>0</v>
      </c>
    </row>
    <row r="404" spans="1:11" hidden="1" outlineLevel="2" x14ac:dyDescent="0.25">
      <c r="B404" s="372"/>
      <c r="C404" s="44" t="s">
        <v>160</v>
      </c>
      <c r="D404" s="44"/>
      <c r="E404" s="23" t="str">
        <f>INDEX(Input_ForRateCalc[Unit],MATCH(Calc_CPI_2[[#This Row],[Cost item]],Input_ForRateCalc[Cost item],0),1)</f>
        <v>$/MWh</v>
      </c>
      <c r="F404" s="23" t="str">
        <f>INDEX(Input_ForRateCalc[Customer type],MATCH(Calc_CPI_2[[#This Row],[Cost item]],Input_ForRateCalc[Cost item],0),1)</f>
        <v>All</v>
      </c>
      <c r="G404" s="23" t="str">
        <f>INDEX(Input_CostItemCPI[[VDO 2021 - Final]:[VDO 2022 - Final]],MATCH(Calc_CPI_2[[#This Row],[Cost item]],Input_CostItemCPI[Cost item],0),MATCH(Calc_Rates!$D$254,Input_CostItemCPI[[#Headers],[VDO 2021 - Final]:[VDO 2022 - Final]],0))</f>
        <v>No</v>
      </c>
      <c r="H404" s="56">
        <f>IF(Calc_CPI_2[[#This Row],[Adjust?]]="No",0,
IFERROR(
($D$394-
INDEX(CPI[Indice],MATCH(
INDEX(Input_ForRateCalc[[F-PreviousVDO_InputDate]:[F-CurrentVDO_Input]],MATCH(Calc_Rates!$C404,Input_ForRateCalc[Cost item],0),MATCH(Calc_Rates!$D$254&amp;" - input date",Inputs!H$8:Q$8,0)),
CPI[Period],0),1))/
INDEX(CPI[Indice],MATCH(
INDEX(Input_ForRateCalc[[F-PreviousVDO_InputDate]:[F-CurrentVDO_Input]],MATCH(Calc_Rates!$C404,Input_ForRateCalc[Cost item],0),MATCH(Calc_Rates!$D$254&amp;" - input date",Inputs!H$8:Q$8,0)),
CPI[Period],0),1),"-"))</f>
        <v>0</v>
      </c>
      <c r="I404" s="61">
        <f>IFERROR((H404)*
INDEX(Input_ForRateCalc[[F-PreviousVDO_InputDate]:[F-CurrentVDO_Input]],MATCH(Calc_Rates!$C404,Input_ForRateCalc[Cost item],0),MATCH($D$254,Inputs!$H$8:$Q$8,0)),"-")</f>
        <v>0</v>
      </c>
    </row>
    <row r="405" spans="1:11" hidden="1" outlineLevel="2" x14ac:dyDescent="0.25">
      <c r="B405" s="372"/>
      <c r="C405" s="44" t="s">
        <v>758</v>
      </c>
      <c r="D405" s="259"/>
      <c r="E405" s="23" t="str">
        <f>INDEX(Input_ForRateCalc[Unit],MATCH(Calc_CPI_2[[#This Row],[Cost item]],Input_ForRateCalc[Cost item],0),1)</f>
        <v>$/MWh</v>
      </c>
      <c r="F405" s="125" t="s">
        <v>110</v>
      </c>
      <c r="G405" s="125" t="str">
        <f>INDEX(Input_CostItemCPI[[VDO 2021 - Final]:[VDO 2022 - Final]],MATCH(Calc_CPI_2[[#This Row],[Cost item]],Input_CostItemCPI[Cost item],0),MATCH(Calc_Rates!$D$254,Input_CostItemCPI[[#Headers],[VDO 2021 - Final]:[VDO 2022 - Final]],0))</f>
        <v>No</v>
      </c>
      <c r="H405" s="365">
        <f>IF(Calc_CPI_2[[#This Row],[Adjust?]]="No",0,
IFERROR(
($D$394-
INDEX(CPI[Indice],MATCH(
INDEX(Input_ForRateCalc[[F-PreviousVDO_InputDate]:[F-CurrentVDO_Input]],MATCH(Calc_Rates!$C405,Input_ForRateCalc[Cost item],0),MATCH(Calc_Rates!$D$254&amp;" - input date",Inputs!H$8:Q$8,0)),
CPI[Period],0),1))/
INDEX(CPI[Indice],MATCH(
INDEX(Input_ForRateCalc[[F-PreviousVDO_InputDate]:[F-CurrentVDO_Input]],MATCH(Calc_Rates!$C405,Input_ForRateCalc[Cost item],0),MATCH(Calc_Rates!$D$254&amp;" - input date",Inputs!H$8:Q$8,0)),
CPI[Period],0),1),"-"))</f>
        <v>0</v>
      </c>
      <c r="I405" s="61">
        <f>IFERROR((H405)*
INDEX(Input_ForRateCalc[[F-PreviousVDO_InputDate]:[F-CurrentVDO_Input]],MATCH(Calc_Rates!$C405,Input_ForRateCalc[Cost item],0),MATCH($D$254,Inputs!$H$8:$Q$8,0)),"-")</f>
        <v>0</v>
      </c>
    </row>
    <row r="406" spans="1:11" hidden="1" outlineLevel="2" x14ac:dyDescent="0.25">
      <c r="B406" s="372"/>
      <c r="C406" s="44" t="s">
        <v>757</v>
      </c>
      <c r="D406" s="44"/>
      <c r="E406" s="23" t="str">
        <f>INDEX(Input_ForRateCalc[Unit],MATCH(Calc_CPI_2[[#This Row],[Cost item]],Input_ForRateCalc[Cost item],0),1)</f>
        <v>$/MWh</v>
      </c>
      <c r="F406" s="366" t="s">
        <v>110</v>
      </c>
      <c r="G406" s="366" t="str">
        <f>INDEX(Input_CostItemCPI[[VDO 2021 - Final]:[VDO 2022 - Final]],MATCH(Calc_CPI_2[[#This Row],[Cost item]],Input_CostItemCPI[Cost item],0),MATCH(Calc_Rates!$D$254,Input_CostItemCPI[[#Headers],[VDO 2021 - Final]:[VDO 2022 - Final]],0))</f>
        <v>No</v>
      </c>
      <c r="H406" s="367">
        <f>IF(Calc_CPI_2[[#This Row],[Adjust?]]="No",0,
IFERROR(
($D$394-
INDEX(CPI[Indice],MATCH(
INDEX(Input_ForRateCalc[[F-PreviousVDO_InputDate]:[F-CurrentVDO_Input]],MATCH(Calc_Rates!$C406,Input_ForRateCalc[Cost item],0),MATCH(Calc_Rates!$D$254&amp;" - input date",Inputs!H$8:Q$8,0)),
CPI[Period],0),1))/
INDEX(CPI[Indice],MATCH(
INDEX(Input_ForRateCalc[[F-PreviousVDO_InputDate]:[F-CurrentVDO_Input]],MATCH(Calc_Rates!$C406,Input_ForRateCalc[Cost item],0),MATCH(Calc_Rates!$D$254&amp;" - input date",Inputs!H$8:Q$8,0)),
CPI[Period],0),1),"-"))</f>
        <v>0</v>
      </c>
      <c r="I406" s="61">
        <f>IFERROR((H406)*
INDEX(Input_ForRateCalc[[F-PreviousVDO_InputDate]:[F-CurrentVDO_Input]],MATCH(Calc_Rates!$C406,Input_ForRateCalc[Cost item],0),MATCH($D$254,Inputs!$H$8:$Q$8,0)),"-")</f>
        <v>0</v>
      </c>
    </row>
    <row r="407" spans="1:11" hidden="1" outlineLevel="2" x14ac:dyDescent="0.25"/>
    <row r="408" spans="1:11" ht="15.75" hidden="1" outlineLevel="2" x14ac:dyDescent="0.25">
      <c r="C408" s="29" t="s">
        <v>284</v>
      </c>
    </row>
    <row r="409" spans="1:11" ht="15.75" hidden="1" outlineLevel="2" x14ac:dyDescent="0.25">
      <c r="C409" s="43" t="s">
        <v>46</v>
      </c>
      <c r="D409" s="43" t="s">
        <v>102</v>
      </c>
      <c r="E409" s="43" t="s">
        <v>103</v>
      </c>
      <c r="F409" s="43" t="s">
        <v>91</v>
      </c>
      <c r="G409" s="60" t="s">
        <v>268</v>
      </c>
      <c r="H409" s="60" t="s">
        <v>269</v>
      </c>
      <c r="I409" s="60" t="s">
        <v>270</v>
      </c>
      <c r="J409" s="60" t="s">
        <v>271</v>
      </c>
      <c r="K409" s="60" t="s">
        <v>272</v>
      </c>
    </row>
    <row r="410" spans="1:11" hidden="1" outlineLevel="2" x14ac:dyDescent="0.25">
      <c r="C410" s="23" t="s">
        <v>293</v>
      </c>
      <c r="D410" s="23" t="s">
        <v>9</v>
      </c>
      <c r="E410" s="23" t="s">
        <v>204</v>
      </c>
      <c r="F410" s="23" t="s">
        <v>110</v>
      </c>
      <c r="G410" s="86" cm="1">
        <f t="array" ref="G410">IFERROR(INDEX(Input_ForRateCalc[[F-PreviousVDO_InputDate]:[F-CurrentVDO_Input]],MATCH(Calc_Losses_2[[#This Row],[Cost item]:[Cost item]]&amp;" - "&amp;Calc_Losses_2[[#Headers],[Ausnet]],Input_ForRateCalc[[Cost item]:[Cost item]],0),MATCH($D$254,Inputs!$H$8:$Q$8,0)),"-")</f>
        <v>1.0056461538461539</v>
      </c>
      <c r="H410" s="86" cm="1">
        <f t="array" ref="H410">IFERROR(INDEX(Input_ForRateCalc[[F-PreviousVDO_InputDate]:[F-CurrentVDO_Input]],MATCH(Calc_Losses_2[[#This Row],[Cost item]:[Cost item]]&amp;" - "&amp;Calc_Losses_2[[#Headers],[Citipower]],Input_ForRateCalc[[Cost item]:[Cost item]],0),MATCH($D$254,Inputs!$H$8:$Q$8,0)),"-")</f>
        <v>0.99787777777777775</v>
      </c>
      <c r="I410" s="86" cm="1">
        <f t="array" ref="I410">IFERROR(INDEX(Input_ForRateCalc[[F-PreviousVDO_InputDate]:[F-CurrentVDO_Input]],MATCH(Calc_Losses_2[[#This Row],[Cost item]:[Cost item]]&amp;" - "&amp;Calc_Losses_2[[#Headers],[Jemena]],Input_ForRateCalc[[Cost item]:[Cost item]],0),MATCH($D$254,Inputs!$H$8:$Q$8,0)),"-")</f>
        <v>0.99932500000000002</v>
      </c>
      <c r="J410" s="86" cm="1">
        <f t="array" ref="J410">IFERROR(INDEX(Input_ForRateCalc[[F-PreviousVDO_InputDate]:[F-CurrentVDO_Input]],MATCH(Calc_Losses_2[[#This Row],[Cost item]:[Cost item]]&amp;" - "&amp;Calc_Losses_2[[#Headers],[Powercor]],Input_ForRateCalc[[Cost item]:[Cost item]],0),MATCH($D$254,Inputs!$H$8:$Q$8,0)),"-")</f>
        <v>0.99378947368421044</v>
      </c>
      <c r="K410" s="86" cm="1">
        <f t="array" ref="K410">IFERROR(INDEX(Input_ForRateCalc[[F-PreviousVDO_InputDate]:[F-CurrentVDO_Input]],MATCH(Calc_Losses_2[[#This Row],[Cost item]:[Cost item]]&amp;" - "&amp;Calc_Losses_2[[#Headers],[United Energy]],Input_ForRateCalc[[Cost item]:[Cost item]],0),MATCH($D$254,Inputs!$H$8:$Q$8,0)),"-")</f>
        <v>0.99566363636363631</v>
      </c>
    </row>
    <row r="411" spans="1:11" hidden="1" outlineLevel="2" x14ac:dyDescent="0.25">
      <c r="C411" s="23" t="s">
        <v>294</v>
      </c>
      <c r="D411" s="23" t="s">
        <v>9</v>
      </c>
      <c r="E411" s="23" t="s">
        <v>204</v>
      </c>
      <c r="F411" s="23" t="s">
        <v>110</v>
      </c>
      <c r="G411" s="86" cm="1">
        <f t="array" ref="G411">IFERROR(INDEX(Input_ForRateCalc[[F-PreviousVDO_InputDate]:[F-CurrentVDO_Input]],MATCH(Calc_Losses_2[[#This Row],[Cost item]:[Cost item]]&amp;" - "&amp;Calc_Losses_2[[#Headers],[Ausnet]],Input_ForRateCalc[[Cost item]:[Cost item]],0),MATCH($D$254,Inputs!$H$8:$Q$8,0)),"-")</f>
        <v>1.0733923356752877</v>
      </c>
      <c r="H411" s="86" cm="1">
        <f t="array" ref="H411">IFERROR(INDEX(Input_ForRateCalc[[F-PreviousVDO_InputDate]:[F-CurrentVDO_Input]],MATCH(Calc_Losses_2[[#This Row],[Cost item]:[Cost item]]&amp;" - "&amp;Calc_Losses_2[[#Headers],[Citipower]],Input_ForRateCalc[[Cost item]:[Cost item]],0),MATCH($D$254,Inputs!$H$8:$Q$8,0)),"-")</f>
        <v>1.05</v>
      </c>
      <c r="I411" s="86" cm="1">
        <f t="array" ref="I411">IFERROR(INDEX(Input_ForRateCalc[[F-PreviousVDO_InputDate]:[F-CurrentVDO_Input]],MATCH(Calc_Losses_2[[#This Row],[Cost item]:[Cost item]]&amp;" - "&amp;Calc_Losses_2[[#Headers],[Jemena]],Input_ForRateCalc[[Cost item]:[Cost item]],0),MATCH($D$254,Inputs!$H$8:$Q$8,0)),"-")</f>
        <v>1.0429999999999999</v>
      </c>
      <c r="J411" s="86" cm="1">
        <f t="array" ref="J411">IFERROR(INDEX(Input_ForRateCalc[[F-PreviousVDO_InputDate]:[F-CurrentVDO_Input]],MATCH(Calc_Losses_2[[#This Row],[Cost item]:[Cost item]]&amp;" - "&amp;Calc_Losses_2[[#Headers],[Powercor]],Input_ForRateCalc[[Cost item]:[Cost item]],0),MATCH($D$254,Inputs!$H$8:$Q$8,0)),"-")</f>
        <v>1.0782239470237072</v>
      </c>
      <c r="K411" s="86" cm="1">
        <f t="array" ref="K411">IFERROR(INDEX(Input_ForRateCalc[[F-PreviousVDO_InputDate]:[F-CurrentVDO_Input]],MATCH(Calc_Losses_2[[#This Row],[Cost item]:[Cost item]]&amp;" - "&amp;Calc_Losses_2[[#Headers],[United Energy]],Input_ForRateCalc[[Cost item]:[Cost item]],0),MATCH($D$254,Inputs!$H$8:$Q$8,0)),"-")</f>
        <v>1.0525</v>
      </c>
    </row>
    <row r="412" spans="1:11" hidden="1" outlineLevel="2" x14ac:dyDescent="0.25">
      <c r="C412" s="44" t="s">
        <v>295</v>
      </c>
      <c r="D412" s="23" t="s">
        <v>9</v>
      </c>
      <c r="E412" s="44" t="s">
        <v>204</v>
      </c>
      <c r="F412" s="23" t="s">
        <v>110</v>
      </c>
      <c r="G412" s="71">
        <f>(G410*G411)-1</f>
        <v>7.9452873939792834E-2</v>
      </c>
      <c r="H412" s="71">
        <f t="shared" ref="H412:K412" si="103">(H410*H411)-1</f>
        <v>4.7771666666666768E-2</v>
      </c>
      <c r="I412" s="71">
        <f t="shared" si="103"/>
        <v>4.2295975000000041E-2</v>
      </c>
      <c r="J412" s="71">
        <f t="shared" si="103"/>
        <v>7.1527608826401856E-2</v>
      </c>
      <c r="K412" s="71">
        <f t="shared" si="103"/>
        <v>4.7935977272727248E-2</v>
      </c>
    </row>
    <row r="413" spans="1:11" hidden="1" outlineLevel="2" x14ac:dyDescent="0.25">
      <c r="B413"/>
    </row>
    <row r="414" spans="1:11" ht="15.75" hidden="1" outlineLevel="2" collapsed="1" x14ac:dyDescent="0.25">
      <c r="A414" s="1" t="s">
        <v>23</v>
      </c>
      <c r="C414" s="29" t="s">
        <v>203</v>
      </c>
    </row>
    <row r="415" spans="1:11" ht="15.75" hidden="1" outlineLevel="2" x14ac:dyDescent="0.25">
      <c r="C415" s="43" t="s">
        <v>46</v>
      </c>
      <c r="D415" s="43" t="s">
        <v>102</v>
      </c>
      <c r="E415" s="43" t="s">
        <v>103</v>
      </c>
      <c r="F415" s="43" t="s">
        <v>91</v>
      </c>
      <c r="G415" s="60" t="s">
        <v>268</v>
      </c>
      <c r="H415" s="60" t="s">
        <v>269</v>
      </c>
      <c r="I415" s="60" t="s">
        <v>270</v>
      </c>
      <c r="J415" s="60" t="s">
        <v>271</v>
      </c>
      <c r="K415" s="60" t="s">
        <v>272</v>
      </c>
    </row>
    <row r="416" spans="1:11" hidden="1" outlineLevel="2" x14ac:dyDescent="0.25">
      <c r="C416" s="23" t="s">
        <v>203</v>
      </c>
      <c r="D416" s="23" t="s">
        <v>9</v>
      </c>
      <c r="E416" s="23" t="s">
        <v>204</v>
      </c>
      <c r="F416" s="23" t="s">
        <v>110</v>
      </c>
      <c r="G416" s="86" cm="1">
        <f t="array" ref="G416">IFERROR(INDEX(Input_ForRateCalc[[F-PreviousVDO_InputDate]:[F-CurrentVDO_Input]],MATCH(Calc_ROM_2[[#This Row],[Cost item]:[Cost item]],Input_ForRateCalc[[Cost item]:[Cost item]],0),MATCH($D$254,Inputs!$H$8:$Q$8,0)),"-")</f>
        <v>6.0400000000000002E-2</v>
      </c>
      <c r="H416" s="86" cm="1">
        <f t="array" ref="H416">IFERROR(INDEX(Input_ForRateCalc[[F-PreviousVDO_InputDate]:[F-CurrentVDO_Input]],MATCH(Calc_ROM_2[[#This Row],[Cost item]:[Cost item]],Input_ForRateCalc[[Cost item]:[Cost item]],0),MATCH($D$254,Inputs!$H$8:$Q$8,0)),"-")</f>
        <v>6.0400000000000002E-2</v>
      </c>
      <c r="I416" s="86" cm="1">
        <f t="array" ref="I416">IFERROR(INDEX(Input_ForRateCalc[[F-PreviousVDO_InputDate]:[F-CurrentVDO_Input]],MATCH(Calc_ROM_2[[#This Row],[Cost item]:[Cost item]],Input_ForRateCalc[[Cost item]:[Cost item]],0),MATCH($D$254,Inputs!$H$8:$Q$8,0)),"-")</f>
        <v>6.0400000000000002E-2</v>
      </c>
      <c r="J416" s="86" cm="1">
        <f t="array" ref="J416">IFERROR(INDEX(Input_ForRateCalc[[F-PreviousVDO_InputDate]:[F-CurrentVDO_Input]],MATCH(Calc_ROM_2[[#This Row],[Cost item]:[Cost item]],Input_ForRateCalc[[Cost item]:[Cost item]],0),MATCH($D$254,Inputs!$H$8:$Q$8,0)),"-")</f>
        <v>6.0400000000000002E-2</v>
      </c>
      <c r="K416" s="86" cm="1">
        <f t="array" ref="K416">IFERROR(INDEX(Input_ForRateCalc[[F-PreviousVDO_InputDate]:[F-CurrentVDO_Input]],MATCH(Calc_ROM_2[[#This Row],[Cost item]:[Cost item]],Input_ForRateCalc[[Cost item]:[Cost item]],0),MATCH($D$254,Inputs!$H$8:$Q$8,0)),"-")</f>
        <v>6.0400000000000002E-2</v>
      </c>
    </row>
    <row r="417" spans="1:16" hidden="1" outlineLevel="1" x14ac:dyDescent="0.25">
      <c r="B417"/>
    </row>
    <row r="418" spans="1:16" hidden="1" outlineLevel="1" x14ac:dyDescent="0.25">
      <c r="B418"/>
    </row>
    <row r="419" spans="1:16" ht="16.5" hidden="1" outlineLevel="1" collapsed="1" thickBot="1" x14ac:dyDescent="0.3">
      <c r="B419" s="235">
        <f ca="1">MAX(B$3:B418)+0.1</f>
        <v>12.999999999999996</v>
      </c>
      <c r="C419" s="28" t="s">
        <v>296</v>
      </c>
      <c r="D419" s="28"/>
      <c r="E419" s="28"/>
      <c r="F419" s="28"/>
      <c r="G419" s="28"/>
      <c r="H419" s="28"/>
      <c r="I419" s="28"/>
      <c r="J419" s="28"/>
      <c r="K419" s="28"/>
    </row>
    <row r="420" spans="1:16" hidden="1" outlineLevel="2" x14ac:dyDescent="0.25"/>
    <row r="421" spans="1:16" ht="15.75" hidden="1" outlineLevel="2" collapsed="1" x14ac:dyDescent="0.25">
      <c r="A421" s="1" t="s">
        <v>23</v>
      </c>
      <c r="C421" s="43" t="s">
        <v>46</v>
      </c>
      <c r="D421" s="43" t="s">
        <v>102</v>
      </c>
      <c r="E421" s="43" t="s">
        <v>103</v>
      </c>
      <c r="F421" s="43" t="s">
        <v>91</v>
      </c>
      <c r="G421" s="60" t="s">
        <v>268</v>
      </c>
      <c r="H421" s="60" t="s">
        <v>269</v>
      </c>
      <c r="I421" s="60" t="s">
        <v>270</v>
      </c>
      <c r="J421" s="60" t="s">
        <v>271</v>
      </c>
      <c r="K421" s="60" t="s">
        <v>272</v>
      </c>
    </row>
    <row r="422" spans="1:16" hidden="1" outlineLevel="2" x14ac:dyDescent="0.25">
      <c r="B422" s="372"/>
      <c r="C422" s="23" t="s">
        <v>292</v>
      </c>
      <c r="D422" s="23" t="s">
        <v>108</v>
      </c>
      <c r="E422" s="23" t="s">
        <v>109</v>
      </c>
      <c r="F422" s="23" t="s">
        <v>110</v>
      </c>
      <c r="G422" s="61" cm="1">
        <f t="array" ref="G422">IFERROR(
IFERROR(INDEX(Calc_CPI_2[[CPI uplift factor]:[CPI uplift factor]],MATCH($C422&amp;" - base",Calc_CPI_2[[Cost item]:[Cost item]],0),1),0)+
IFERROR(INDEX(Calc_CPI_2[[CPI uplift factor]:[CPI uplift factor]],MATCH($C422&amp;" - regulatory cost allowance",Calc_CPI_2[[Cost item]:[Cost item]],0),1),0)+
INDEX(Input_ForRateCalc[[F-PreviousVDO_InputDate]:[F-CurrentVDO_Input]],MATCH(Calc_Retail_2[[#This Row],[Cost item]:[Cost item]]&amp;" - base",Input_ForRateCalc[[Cost item]:[Cost item]],0),MATCH($D$254,Inputs!$H$8:$Q$8,0))+
INDEX(Input_ForRateCalc[[F-PreviousVDO_InputDate]:[F-CurrentVDO_Input]],MATCH(Calc_Retail_2[[#This Row],[Cost item]:[Cost item]]&amp;" - 5 min settlement allowance",Input_ForRateCalc[[Cost item]:[Cost item]],0),MATCH($D$254,Inputs!$H$8:$Q$8,0))+
INDEX(Input_ForRateCalc[[F-PreviousVDO_InputDate]:[F-CurrentVDO_Input]],MATCH(Calc_Retail_2[[#This Row],[Cost item]:[Cost item]]&amp;" - regulatory cost allowance",Input_ForRateCalc[[Cost item]:[Cost item]],0),MATCH($D$254,Inputs!$H$8:$Q$8,0))+
INDEX(Input_ForRateCalc[[F-PreviousVDO_InputDate]:[F-CurrentVDO_Input]],MATCH(Calc_Retail_2[[#This Row],[Cost item]:[Cost item]]&amp;" - bad debt allowance",Input_ForRateCalc[[Cost item]:[Cost item]],0),MATCH($D$254,Inputs!$H$8:$Q$8,0)),"-")</f>
        <v>141.75366943089429</v>
      </c>
      <c r="H422" s="61" cm="1">
        <f t="array" ref="H422">IFERROR(
IFERROR(INDEX(Calc_CPI_2[[CPI uplift factor]:[CPI uplift factor]],MATCH($C422&amp;" - base",Calc_CPI_2[[Cost item]:[Cost item]],0),1),0)+
IFERROR(INDEX(Calc_CPI_2[[CPI uplift factor]:[CPI uplift factor]],MATCH($C422&amp;" - regulatory cost allowance",Calc_CPI_2[[Cost item]:[Cost item]],0),1),0)+
INDEX(Input_ForRateCalc[[F-PreviousVDO_InputDate]:[F-CurrentVDO_Input]],MATCH(Calc_Retail_2[[#This Row],[Cost item]:[Cost item]]&amp;" - base",Input_ForRateCalc[[Cost item]:[Cost item]],0),MATCH($D$254,Inputs!$H$8:$Q$8,0))+
INDEX(Input_ForRateCalc[[F-PreviousVDO_InputDate]:[F-CurrentVDO_Input]],MATCH(Calc_Retail_2[[#This Row],[Cost item]:[Cost item]]&amp;" - 5 min settlement allowance",Input_ForRateCalc[[Cost item]:[Cost item]],0),MATCH($D$254,Inputs!$H$8:$Q$8,0))+
INDEX(Input_ForRateCalc[[F-PreviousVDO_InputDate]:[F-CurrentVDO_Input]],MATCH(Calc_Retail_2[[#This Row],[Cost item]:[Cost item]]&amp;" - regulatory cost allowance",Input_ForRateCalc[[Cost item]:[Cost item]],0),MATCH($D$254,Inputs!$H$8:$Q$8,0))+
INDEX(Input_ForRateCalc[[F-PreviousVDO_InputDate]:[F-CurrentVDO_Input]],MATCH(Calc_Retail_2[[#This Row],[Cost item]:[Cost item]]&amp;" - bad debt allowance",Input_ForRateCalc[[Cost item]:[Cost item]],0),MATCH($D$254,Inputs!$H$8:$Q$8,0)),"-")</f>
        <v>141.75366943089429</v>
      </c>
      <c r="I422" s="61" cm="1">
        <f t="array" ref="I422">IFERROR(
IFERROR(INDEX(Calc_CPI_2[[CPI uplift factor]:[CPI uplift factor]],MATCH($C422&amp;" - base",Calc_CPI_2[[Cost item]:[Cost item]],0),1),0)+
IFERROR(INDEX(Calc_CPI_2[[CPI uplift factor]:[CPI uplift factor]],MATCH($C422&amp;" - regulatory cost allowance",Calc_CPI_2[[Cost item]:[Cost item]],0),1),0)+
INDEX(Input_ForRateCalc[[F-PreviousVDO_InputDate]:[F-CurrentVDO_Input]],MATCH(Calc_Retail_2[[#This Row],[Cost item]:[Cost item]]&amp;" - base",Input_ForRateCalc[[Cost item]:[Cost item]],0),MATCH($D$254,Inputs!$H$8:$Q$8,0))+
INDEX(Input_ForRateCalc[[F-PreviousVDO_InputDate]:[F-CurrentVDO_Input]],MATCH(Calc_Retail_2[[#This Row],[Cost item]:[Cost item]]&amp;" - 5 min settlement allowance",Input_ForRateCalc[[Cost item]:[Cost item]],0),MATCH($D$254,Inputs!$H$8:$Q$8,0))+
INDEX(Input_ForRateCalc[[F-PreviousVDO_InputDate]:[F-CurrentVDO_Input]],MATCH(Calc_Retail_2[[#This Row],[Cost item]:[Cost item]]&amp;" - regulatory cost allowance",Input_ForRateCalc[[Cost item]:[Cost item]],0),MATCH($D$254,Inputs!$H$8:$Q$8,0))+
INDEX(Input_ForRateCalc[[F-PreviousVDO_InputDate]:[F-CurrentVDO_Input]],MATCH(Calc_Retail_2[[#This Row],[Cost item]:[Cost item]]&amp;" - bad debt allowance",Input_ForRateCalc[[Cost item]:[Cost item]],0),MATCH($D$254,Inputs!$H$8:$Q$8,0)),"-")</f>
        <v>141.75366943089429</v>
      </c>
      <c r="J422" s="61" cm="1">
        <f t="array" ref="J422">IFERROR(
IFERROR(INDEX(Calc_CPI_2[[CPI uplift factor]:[CPI uplift factor]],MATCH($C422&amp;" - base",Calc_CPI_2[[Cost item]:[Cost item]],0),1),0)+
IFERROR(INDEX(Calc_CPI_2[[CPI uplift factor]:[CPI uplift factor]],MATCH($C422&amp;" - regulatory cost allowance",Calc_CPI_2[[Cost item]:[Cost item]],0),1),0)+
INDEX(Input_ForRateCalc[[F-PreviousVDO_InputDate]:[F-CurrentVDO_Input]],MATCH(Calc_Retail_2[[#This Row],[Cost item]:[Cost item]]&amp;" - base",Input_ForRateCalc[[Cost item]:[Cost item]],0),MATCH($D$254,Inputs!$H$8:$Q$8,0))+
INDEX(Input_ForRateCalc[[F-PreviousVDO_InputDate]:[F-CurrentVDO_Input]],MATCH(Calc_Retail_2[[#This Row],[Cost item]:[Cost item]]&amp;" - 5 min settlement allowance",Input_ForRateCalc[[Cost item]:[Cost item]],0),MATCH($D$254,Inputs!$H$8:$Q$8,0))+
INDEX(Input_ForRateCalc[[F-PreviousVDO_InputDate]:[F-CurrentVDO_Input]],MATCH(Calc_Retail_2[[#This Row],[Cost item]:[Cost item]]&amp;" - regulatory cost allowance",Input_ForRateCalc[[Cost item]:[Cost item]],0),MATCH($D$254,Inputs!$H$8:$Q$8,0))+
INDEX(Input_ForRateCalc[[F-PreviousVDO_InputDate]:[F-CurrentVDO_Input]],MATCH(Calc_Retail_2[[#This Row],[Cost item]:[Cost item]]&amp;" - bad debt allowance",Input_ForRateCalc[[Cost item]:[Cost item]],0),MATCH($D$254,Inputs!$H$8:$Q$8,0)),"-")</f>
        <v>141.75366943089429</v>
      </c>
      <c r="K422" s="61" cm="1">
        <f t="array" ref="K422">IFERROR(
IFERROR(INDEX(Calc_CPI_2[[CPI uplift factor]:[CPI uplift factor]],MATCH($C422&amp;" - base",Calc_CPI_2[[Cost item]:[Cost item]],0),1),0)+
IFERROR(INDEX(Calc_CPI_2[[CPI uplift factor]:[CPI uplift factor]],MATCH($C422&amp;" - regulatory cost allowance",Calc_CPI_2[[Cost item]:[Cost item]],0),1),0)+
INDEX(Input_ForRateCalc[[F-PreviousVDO_InputDate]:[F-CurrentVDO_Input]],MATCH(Calc_Retail_2[[#This Row],[Cost item]:[Cost item]]&amp;" - base",Input_ForRateCalc[[Cost item]:[Cost item]],0),MATCH($D$254,Inputs!$H$8:$Q$8,0))+
INDEX(Input_ForRateCalc[[F-PreviousVDO_InputDate]:[F-CurrentVDO_Input]],MATCH(Calc_Retail_2[[#This Row],[Cost item]:[Cost item]]&amp;" - 5 min settlement allowance",Input_ForRateCalc[[Cost item]:[Cost item]],0),MATCH($D$254,Inputs!$H$8:$Q$8,0))+
INDEX(Input_ForRateCalc[[F-PreviousVDO_InputDate]:[F-CurrentVDO_Input]],MATCH(Calc_Retail_2[[#This Row],[Cost item]:[Cost item]]&amp;" - regulatory cost allowance",Input_ForRateCalc[[Cost item]:[Cost item]],0),MATCH($D$254,Inputs!$H$8:$Q$8,0))+
INDEX(Input_ForRateCalc[[F-PreviousVDO_InputDate]:[F-CurrentVDO_Input]],MATCH(Calc_Retail_2[[#This Row],[Cost item]:[Cost item]]&amp;" - bad debt allowance",Input_ForRateCalc[[Cost item]:[Cost item]],0),MATCH($D$254,Inputs!$H$8:$Q$8,0)),"-")</f>
        <v>141.75366943089429</v>
      </c>
    </row>
    <row r="423" spans="1:16" hidden="1" outlineLevel="2" x14ac:dyDescent="0.25">
      <c r="C423" s="44" t="s">
        <v>114</v>
      </c>
      <c r="D423" s="44" t="s">
        <v>108</v>
      </c>
      <c r="E423" s="23" t="s">
        <v>109</v>
      </c>
      <c r="F423" s="23" t="s">
        <v>110</v>
      </c>
      <c r="G423" s="61" cm="1">
        <f t="array" ref="G423">IFERROR(
IFERROR(INDEX(Calc_CPI_2[[CPI uplift factor]:[CPI uplift factor]],MATCH($C423,Calc_CPI_2[[Cost item]:[Cost item]],0),1),0)+
INDEX(Input_ForRateCalc[[F-PreviousVDO_InputDate]:[F-CurrentVDO_Input]],MATCH(Calc_Retail_2[[#This Row],[Cost item]:[Cost item]],Input_ForRateCalc[[Cost item]:[Cost item]],0),MATCH($D$254,Inputs!$H$8:$Q$8,0)),"-")</f>
        <v>39.621951219512198</v>
      </c>
      <c r="H423" s="61" cm="1">
        <f t="array" ref="H423">IFERROR(
IFERROR(INDEX(Calc_CPI_2[[CPI uplift factor]:[CPI uplift factor]],MATCH($C423,Calc_CPI_2[[Cost item]:[Cost item]],0),1),0)+
INDEX(Input_ForRateCalc[[F-PreviousVDO_InputDate]:[F-CurrentVDO_Input]],MATCH(Calc_Retail_2[[#This Row],[Cost item]:[Cost item]],Input_ForRateCalc[[Cost item]:[Cost item]],0),MATCH($D$254,Inputs!$H$8:$Q$8,0)),"-")</f>
        <v>39.621951219512198</v>
      </c>
      <c r="I423" s="61" cm="1">
        <f t="array" ref="I423">IFERROR(
IFERROR(INDEX(Calc_CPI_2[[CPI uplift factor]:[CPI uplift factor]],MATCH($C423,Calc_CPI_2[[Cost item]:[Cost item]],0),1),0)+
INDEX(Input_ForRateCalc[[F-PreviousVDO_InputDate]:[F-CurrentVDO_Input]],MATCH(Calc_Retail_2[[#This Row],[Cost item]:[Cost item]],Input_ForRateCalc[[Cost item]:[Cost item]],0),MATCH($D$254,Inputs!$H$8:$Q$8,0)),"-")</f>
        <v>39.621951219512198</v>
      </c>
      <c r="J423" s="61" cm="1">
        <f t="array" ref="J423">IFERROR(
IFERROR(INDEX(Calc_CPI_2[[CPI uplift factor]:[CPI uplift factor]],MATCH($C423,Calc_CPI_2[[Cost item]:[Cost item]],0),1),0)+
INDEX(Input_ForRateCalc[[F-PreviousVDO_InputDate]:[F-CurrentVDO_Input]],MATCH(Calc_Retail_2[[#This Row],[Cost item]:[Cost item]],Input_ForRateCalc[[Cost item]:[Cost item]],0),MATCH($D$254,Inputs!$H$8:$Q$8,0)),"-")</f>
        <v>39.621951219512198</v>
      </c>
      <c r="K423" s="61" cm="1">
        <f t="array" ref="K423">IFERROR(
IFERROR(INDEX(Calc_CPI_2[[CPI uplift factor]:[CPI uplift factor]],MATCH($C423,Calc_CPI_2[[Cost item]:[Cost item]],0),1),0)+
INDEX(Input_ForRateCalc[[F-PreviousVDO_InputDate]:[F-CurrentVDO_Input]],MATCH(Calc_Retail_2[[#This Row],[Cost item]:[Cost item]],Input_ForRateCalc[[Cost item]:[Cost item]],0),MATCH($D$254,Inputs!$H$8:$Q$8,0)),"-")</f>
        <v>39.621951219512198</v>
      </c>
    </row>
    <row r="424" spans="1:16" hidden="1" outlineLevel="1" x14ac:dyDescent="0.25"/>
    <row r="425" spans="1:16" ht="16.5" hidden="1" outlineLevel="1" collapsed="1" thickBot="1" x14ac:dyDescent="0.3">
      <c r="B425" s="9">
        <f ca="1">MAX(B$3:B424)+0.1</f>
        <v>13.099999999999996</v>
      </c>
      <c r="C425" s="28" t="s">
        <v>273</v>
      </c>
      <c r="D425" s="28"/>
      <c r="E425" s="28"/>
      <c r="F425" s="28"/>
      <c r="G425" s="28"/>
      <c r="H425" s="28"/>
      <c r="I425" s="28"/>
      <c r="J425" s="28"/>
      <c r="K425" s="28"/>
    </row>
    <row r="426" spans="1:16" hidden="1" outlineLevel="2" x14ac:dyDescent="0.25"/>
    <row r="427" spans="1:16" ht="15.75" hidden="1" outlineLevel="2" x14ac:dyDescent="0.25">
      <c r="C427" s="43" t="s">
        <v>46</v>
      </c>
      <c r="D427" s="43" t="s">
        <v>102</v>
      </c>
      <c r="E427" s="43" t="s">
        <v>103</v>
      </c>
      <c r="F427" s="43" t="s">
        <v>91</v>
      </c>
      <c r="G427" s="60" t="s">
        <v>268</v>
      </c>
      <c r="H427" s="60" t="s">
        <v>269</v>
      </c>
      <c r="I427" s="60" t="s">
        <v>270</v>
      </c>
      <c r="J427" s="60" t="s">
        <v>271</v>
      </c>
      <c r="K427" s="60" t="s">
        <v>272</v>
      </c>
    </row>
    <row r="428" spans="1:16" hidden="1" outlineLevel="2" x14ac:dyDescent="0.25">
      <c r="C428" s="23" t="s">
        <v>117</v>
      </c>
      <c r="D428" s="23" t="s">
        <v>108</v>
      </c>
      <c r="E428" s="23" t="s">
        <v>109</v>
      </c>
      <c r="F428" s="23" t="s">
        <v>110</v>
      </c>
      <c r="G428" s="61" cm="1">
        <f t="array" ref="G428">IFERROR(
IF(Calc_OtherCosts_2[[#This Row],[Fixed/Variable]:[Fixed/Variable]]="Fixed",
(IFERROR(INDEX(Calc_CPI_2[[CPI uplift factor]:[CPI uplift factor]],MATCH($C428,Calc_CPI_2[[Cost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factor]],MATCH($C428,Calc_CPI_2[[Cost item]:[Cost item]],0),1),0)+
INDEX(Input_ForRateCalc[[F-PreviousVDO_InputDate]:[F-CurrentVDO_Input]],MATCH(Calc_OtherCosts_2[[#This Row],[Cost item]:[Cost item]],Input_ForRateCalc[[Cost item]:[Cost item]],0),MATCH($D$254,Inputs!$H$8:$Q$8,0)))/1000),"-")</f>
        <v>2.1558125061118716</v>
      </c>
      <c r="H428" s="61" cm="1">
        <f t="array" ref="H428">IFERROR(
IF(Calc_OtherCosts_2[[#This Row],[Fixed/Variable]:[Fixed/Variable]]="Fixed",
(IFERROR(INDEX(Calc_CPI_2[[CPI uplift factor]:[CPI uplift factor]],MATCH($C428,Calc_CPI_2[[Cost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factor]],MATCH($C428,Calc_CPI_2[[Cost item]:[Cost item]],0),1),0)+
INDEX(Input_ForRateCalc[[F-PreviousVDO_InputDate]:[F-CurrentVDO_Input]],MATCH(Calc_OtherCosts_2[[#This Row],[Cost item]:[Cost item]],Input_ForRateCalc[[Cost item]:[Cost item]],0),MATCH($D$254,Inputs!$H$8:$Q$8,0)))/1000),"-")</f>
        <v>2.1558125061118716</v>
      </c>
      <c r="I428" s="61" cm="1">
        <f t="array" ref="I428">IFERROR(
IF(Calc_OtherCosts_2[[#This Row],[Fixed/Variable]:[Fixed/Variable]]="Fixed",
(IFERROR(INDEX(Calc_CPI_2[[CPI uplift factor]:[CPI uplift factor]],MATCH($C428,Calc_CPI_2[[Cost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factor]],MATCH($C428,Calc_CPI_2[[Cost item]:[Cost item]],0),1),0)+
INDEX(Input_ForRateCalc[[F-PreviousVDO_InputDate]:[F-CurrentVDO_Input]],MATCH(Calc_OtherCosts_2[[#This Row],[Cost item]:[Cost item]],Input_ForRateCalc[[Cost item]:[Cost item]],0),MATCH($D$254,Inputs!$H$8:$Q$8,0)))/1000),"-")</f>
        <v>2.1558125061118716</v>
      </c>
      <c r="J428" s="61" cm="1">
        <f t="array" ref="J428">IFERROR(
IF(Calc_OtherCosts_2[[#This Row],[Fixed/Variable]:[Fixed/Variable]]="Fixed",
(IFERROR(INDEX(Calc_CPI_2[[CPI uplift factor]:[CPI uplift factor]],MATCH($C428,Calc_CPI_2[[Cost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factor]],MATCH($C428,Calc_CPI_2[[Cost item]:[Cost item]],0),1),0)+
INDEX(Input_ForRateCalc[[F-PreviousVDO_InputDate]:[F-CurrentVDO_Input]],MATCH(Calc_OtherCosts_2[[#This Row],[Cost item]:[Cost item]],Input_ForRateCalc[[Cost item]:[Cost item]],0),MATCH($D$254,Inputs!$H$8:$Q$8,0)))/1000),"-")</f>
        <v>2.1558125061118716</v>
      </c>
      <c r="K428" s="61" cm="1">
        <f t="array" ref="K428">IFERROR(
IF(Calc_OtherCosts_2[[#This Row],[Fixed/Variable]:[Fixed/Variable]]="Fixed",
(IFERROR(INDEX(Calc_CPI_2[[CPI uplift factor]:[CPI uplift factor]],MATCH($C428,Calc_CPI_2[[Cost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factor]],MATCH($C428,Calc_CPI_2[[Cost item]:[Cost item]],0),1),0)+
INDEX(Input_ForRateCalc[[F-PreviousVDO_InputDate]:[F-CurrentVDO_Input]],MATCH(Calc_OtherCosts_2[[#This Row],[Cost item]:[Cost item]],Input_ForRateCalc[[Cost item]:[Cost item]],0),MATCH($D$254,Inputs!$H$8:$Q$8,0)))/1000),"-")</f>
        <v>2.1558125061118716</v>
      </c>
      <c r="M428" s="342"/>
      <c r="N428" s="87"/>
      <c r="P428" s="290"/>
    </row>
    <row r="429" spans="1:16" hidden="1" outlineLevel="2" x14ac:dyDescent="0.25">
      <c r="C429" s="23" t="s">
        <v>118</v>
      </c>
      <c r="D429" s="23" t="s">
        <v>108</v>
      </c>
      <c r="E429" s="23" t="s">
        <v>109</v>
      </c>
      <c r="F429" s="23" t="s">
        <v>110</v>
      </c>
      <c r="G429" s="61" cm="1">
        <f t="array" ref="G429">IFERROR(
IF(Calc_OtherCosts_2[[#This Row],[Fixed/Variable]:[Fixed/Variable]]="Fixed",
(IFERROR(INDEX(Calc_CPI_2[[CPI uplift factor]:[CPI uplift factor]],MATCH($C429,Calc_CPI_2[[Cost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factor]],MATCH($C429,Calc_CPI_2[[Cost item]:[Cost item]],0),1),0)+
INDEX(Input_ForRateCalc[[F-PreviousVDO_InputDate]:[F-CurrentVDO_Input]],MATCH(Calc_OtherCosts_2[[#This Row],[Cost item]:[Cost item]],Input_ForRateCalc[[Cost item]:[Cost item]],0),MATCH($D$254,Inputs!$H$8:$Q$8,0)))/1000),"-")</f>
        <v>0</v>
      </c>
      <c r="H429" s="61" cm="1">
        <f t="array" ref="H429">IFERROR(
IF(Calc_OtherCosts_2[[#This Row],[Fixed/Variable]:[Fixed/Variable]]="Fixed",
(IFERROR(INDEX(Calc_CPI_2[[CPI uplift factor]:[CPI uplift factor]],MATCH($C429,Calc_CPI_2[[Cost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factor]],MATCH($C429,Calc_CPI_2[[Cost item]:[Cost item]],0),1),0)+
INDEX(Input_ForRateCalc[[F-PreviousVDO_InputDate]:[F-CurrentVDO_Input]],MATCH(Calc_OtherCosts_2[[#This Row],[Cost item]:[Cost item]],Input_ForRateCalc[[Cost item]:[Cost item]],0),MATCH($D$254,Inputs!$H$8:$Q$8,0)))/1000),"-")</f>
        <v>0</v>
      </c>
      <c r="I429" s="61" cm="1">
        <f t="array" ref="I429">IFERROR(
IF(Calc_OtherCosts_2[[#This Row],[Fixed/Variable]:[Fixed/Variable]]="Fixed",
(IFERROR(INDEX(Calc_CPI_2[[CPI uplift factor]:[CPI uplift factor]],MATCH($C429,Calc_CPI_2[[Cost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factor]],MATCH($C429,Calc_CPI_2[[Cost item]:[Cost item]],0),1),0)+
INDEX(Input_ForRateCalc[[F-PreviousVDO_InputDate]:[F-CurrentVDO_Input]],MATCH(Calc_OtherCosts_2[[#This Row],[Cost item]:[Cost item]],Input_ForRateCalc[[Cost item]:[Cost item]],0),MATCH($D$254,Inputs!$H$8:$Q$8,0)))/1000),"-")</f>
        <v>0</v>
      </c>
      <c r="J429" s="61" cm="1">
        <f t="array" ref="J429">IFERROR(
IF(Calc_OtherCosts_2[[#This Row],[Fixed/Variable]:[Fixed/Variable]]="Fixed",
(IFERROR(INDEX(Calc_CPI_2[[CPI uplift factor]:[CPI uplift factor]],MATCH($C429,Calc_CPI_2[[Cost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factor]],MATCH($C429,Calc_CPI_2[[Cost item]:[Cost item]],0),1),0)+
INDEX(Input_ForRateCalc[[F-PreviousVDO_InputDate]:[F-CurrentVDO_Input]],MATCH(Calc_OtherCosts_2[[#This Row],[Cost item]:[Cost item]],Input_ForRateCalc[[Cost item]:[Cost item]],0),MATCH($D$254,Inputs!$H$8:$Q$8,0)))/1000),"-")</f>
        <v>0</v>
      </c>
      <c r="K429" s="61" cm="1">
        <f t="array" ref="K429">IFERROR(
IF(Calc_OtherCosts_2[[#This Row],[Fixed/Variable]:[Fixed/Variable]]="Fixed",
(IFERROR(INDEX(Calc_CPI_2[[CPI uplift factor]:[CPI uplift factor]],MATCH($C429,Calc_CPI_2[[Cost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factor]],MATCH($C429,Calc_CPI_2[[Cost item]:[Cost item]],0),1),0)+
INDEX(Input_ForRateCalc[[F-PreviousVDO_InputDate]:[F-CurrentVDO_Input]],MATCH(Calc_OtherCosts_2[[#This Row],[Cost item]:[Cost item]],Input_ForRateCalc[[Cost item]:[Cost item]],0),MATCH($D$254,Inputs!$H$8:$Q$8,0)))/1000),"-")</f>
        <v>0</v>
      </c>
      <c r="M429" s="342"/>
      <c r="N429" s="87"/>
      <c r="P429" s="290"/>
    </row>
    <row r="430" spans="1:16" hidden="1" outlineLevel="2" x14ac:dyDescent="0.25">
      <c r="C430" s="59" t="s">
        <v>724</v>
      </c>
      <c r="D430" s="23" t="s">
        <v>108</v>
      </c>
      <c r="E430" s="23" t="s">
        <v>119</v>
      </c>
      <c r="F430" s="23" t="s">
        <v>110</v>
      </c>
      <c r="G430" s="61" cm="1">
        <f t="array" ref="G430">IFERROR(
IF(Calc_OtherCosts_2[[#This Row],[Fixed/Variable]:[Fixed/Variable]]="Fixed",
(IFERROR(INDEX(Calc_CPI_2[[CPI uplift factor]:[CPI uplift factor]],MATCH($C430,Calc_CPI_2[[Cost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factor]],MATCH($C430,Calc_CPI_2[[Cost item]:[Cost item]],0),1),0)+
INDEX(Input_ForRateCalc[[F-PreviousVDO_InputDate]:[F-CurrentVDO_Input]],MATCH(Calc_OtherCosts_2[[#This Row],[Cost item]:[Cost item]],Input_ForRateCalc[[Cost item]:[Cost item]],0),MATCH($D$254,Inputs!$H$8:$Q$8,0)))/1000),"-")</f>
        <v>0.61619999999999997</v>
      </c>
      <c r="H430" s="61" cm="1">
        <f t="array" ref="H430">IFERROR(
IF(Calc_OtherCosts_2[[#This Row],[Fixed/Variable]:[Fixed/Variable]]="Fixed",
(IFERROR(INDEX(Calc_CPI_2[[CPI uplift factor]:[CPI uplift factor]],MATCH($C430,Calc_CPI_2[[Cost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factor]],MATCH($C430,Calc_CPI_2[[Cost item]:[Cost item]],0),1),0)+
INDEX(Input_ForRateCalc[[F-PreviousVDO_InputDate]:[F-CurrentVDO_Input]],MATCH(Calc_OtherCosts_2[[#This Row],[Cost item]:[Cost item]],Input_ForRateCalc[[Cost item]:[Cost item]],0),MATCH($D$254,Inputs!$H$8:$Q$8,0)))/1000),"-")</f>
        <v>0.61619999999999997</v>
      </c>
      <c r="I430" s="61" cm="1">
        <f t="array" ref="I430">IFERROR(
IF(Calc_OtherCosts_2[[#This Row],[Fixed/Variable]:[Fixed/Variable]]="Fixed",
(IFERROR(INDEX(Calc_CPI_2[[CPI uplift factor]:[CPI uplift factor]],MATCH($C430,Calc_CPI_2[[Cost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factor]],MATCH($C430,Calc_CPI_2[[Cost item]:[Cost item]],0),1),0)+
INDEX(Input_ForRateCalc[[F-PreviousVDO_InputDate]:[F-CurrentVDO_Input]],MATCH(Calc_OtherCosts_2[[#This Row],[Cost item]:[Cost item]],Input_ForRateCalc[[Cost item]:[Cost item]],0),MATCH($D$254,Inputs!$H$8:$Q$8,0)))/1000),"-")</f>
        <v>0.61619999999999997</v>
      </c>
      <c r="J430" s="61" cm="1">
        <f t="array" ref="J430">IFERROR(
IF(Calc_OtherCosts_2[[#This Row],[Fixed/Variable]:[Fixed/Variable]]="Fixed",
(IFERROR(INDEX(Calc_CPI_2[[CPI uplift factor]:[CPI uplift factor]],MATCH($C430,Calc_CPI_2[[Cost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factor]],MATCH($C430,Calc_CPI_2[[Cost item]:[Cost item]],0),1),0)+
INDEX(Input_ForRateCalc[[F-PreviousVDO_InputDate]:[F-CurrentVDO_Input]],MATCH(Calc_OtherCosts_2[[#This Row],[Cost item]:[Cost item]],Input_ForRateCalc[[Cost item]:[Cost item]],0),MATCH($D$254,Inputs!$H$8:$Q$8,0)))/1000),"-")</f>
        <v>0.61619999999999997</v>
      </c>
      <c r="K430" s="61" cm="1">
        <f t="array" ref="K430">IFERROR(
IF(Calc_OtherCosts_2[[#This Row],[Fixed/Variable]:[Fixed/Variable]]="Fixed",
(IFERROR(INDEX(Calc_CPI_2[[CPI uplift factor]:[CPI uplift factor]],MATCH($C430,Calc_CPI_2[[Cost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factor]],MATCH($C430,Calc_CPI_2[[Cost item]:[Cost item]],0),1),0)+
INDEX(Input_ForRateCalc[[F-PreviousVDO_InputDate]:[F-CurrentVDO_Input]],MATCH(Calc_OtherCosts_2[[#This Row],[Cost item]:[Cost item]],Input_ForRateCalc[[Cost item]:[Cost item]],0),MATCH($D$254,Inputs!$H$8:$Q$8,0)))/1000),"-")</f>
        <v>0.61619999999999997</v>
      </c>
      <c r="M430" s="342"/>
      <c r="N430" s="87"/>
      <c r="P430" s="290"/>
    </row>
    <row r="431" spans="1:16" hidden="1" outlineLevel="2" x14ac:dyDescent="0.25">
      <c r="C431" s="23" t="s">
        <v>120</v>
      </c>
      <c r="D431" s="23" t="s">
        <v>108</v>
      </c>
      <c r="E431" s="23" t="s">
        <v>119</v>
      </c>
      <c r="F431" s="23" t="s">
        <v>110</v>
      </c>
      <c r="G431" s="61" cm="1">
        <f t="array" ref="G431">IFERROR(
IF(Calc_OtherCosts_2[[#This Row],[Fixed/Variable]:[Fixed/Variable]]="Fixed",
(IFERROR(INDEX(Calc_CPI_2[[CPI uplift factor]:[CPI uplift factor]],MATCH($C431,Calc_CPI_2[[Cost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factor]],MATCH($C431,Calc_CPI_2[[Cost item]:[Cost item]],0),1),0)+
INDEX(Input_ForRateCalc[[F-PreviousVDO_InputDate]:[F-CurrentVDO_Input]],MATCH(Calc_OtherCosts_2[[#This Row],[Cost item]:[Cost item]],Input_ForRateCalc[[Cost item]:[Cost item]],0),MATCH($D$254,Inputs!$H$8:$Q$8,0)))/1000),"-")</f>
        <v>1.3478399999999999</v>
      </c>
      <c r="H431" s="61" cm="1">
        <f t="array" ref="H431">IFERROR(
IF(Calc_OtherCosts_2[[#This Row],[Fixed/Variable]:[Fixed/Variable]]="Fixed",
(IFERROR(INDEX(Calc_CPI_2[[CPI uplift factor]:[CPI uplift factor]],MATCH($C431,Calc_CPI_2[[Cost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factor]],MATCH($C431,Calc_CPI_2[[Cost item]:[Cost item]],0),1),0)+
INDEX(Input_ForRateCalc[[F-PreviousVDO_InputDate]:[F-CurrentVDO_Input]],MATCH(Calc_OtherCosts_2[[#This Row],[Cost item]:[Cost item]],Input_ForRateCalc[[Cost item]:[Cost item]],0),MATCH($D$254,Inputs!$H$8:$Q$8,0)))/1000),"-")</f>
        <v>1.3478399999999999</v>
      </c>
      <c r="I431" s="61" cm="1">
        <f t="array" ref="I431">IFERROR(
IF(Calc_OtherCosts_2[[#This Row],[Fixed/Variable]:[Fixed/Variable]]="Fixed",
(IFERROR(INDEX(Calc_CPI_2[[CPI uplift factor]:[CPI uplift factor]],MATCH($C431,Calc_CPI_2[[Cost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factor]],MATCH($C431,Calc_CPI_2[[Cost item]:[Cost item]],0),1),0)+
INDEX(Input_ForRateCalc[[F-PreviousVDO_InputDate]:[F-CurrentVDO_Input]],MATCH(Calc_OtherCosts_2[[#This Row],[Cost item]:[Cost item]],Input_ForRateCalc[[Cost item]:[Cost item]],0),MATCH($D$254,Inputs!$H$8:$Q$8,0)))/1000),"-")</f>
        <v>1.3478399999999999</v>
      </c>
      <c r="J431" s="61" cm="1">
        <f t="array" ref="J431">IFERROR(
IF(Calc_OtherCosts_2[[#This Row],[Fixed/Variable]:[Fixed/Variable]]="Fixed",
(IFERROR(INDEX(Calc_CPI_2[[CPI uplift factor]:[CPI uplift factor]],MATCH($C431,Calc_CPI_2[[Cost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factor]],MATCH($C431,Calc_CPI_2[[Cost item]:[Cost item]],0),1),0)+
INDEX(Input_ForRateCalc[[F-PreviousVDO_InputDate]:[F-CurrentVDO_Input]],MATCH(Calc_OtherCosts_2[[#This Row],[Cost item]:[Cost item]],Input_ForRateCalc[[Cost item]:[Cost item]],0),MATCH($D$254,Inputs!$H$8:$Q$8,0)))/1000),"-")</f>
        <v>1.3478399999999999</v>
      </c>
      <c r="K431" s="61" cm="1">
        <f t="array" ref="K431">IFERROR(
IF(Calc_OtherCosts_2[[#This Row],[Fixed/Variable]:[Fixed/Variable]]="Fixed",
(IFERROR(INDEX(Calc_CPI_2[[CPI uplift factor]:[CPI uplift factor]],MATCH($C431,Calc_CPI_2[[Cost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factor]],MATCH($C431,Calc_CPI_2[[Cost item]:[Cost item]],0),1),0)+
INDEX(Input_ForRateCalc[[F-PreviousVDO_InputDate]:[F-CurrentVDO_Input]],MATCH(Calc_OtherCosts_2[[#This Row],[Cost item]:[Cost item]],Input_ForRateCalc[[Cost item]:[Cost item]],0),MATCH($D$254,Inputs!$H$8:$Q$8,0)))/1000),"-")</f>
        <v>1.3478399999999999</v>
      </c>
      <c r="M431" s="342"/>
      <c r="N431" s="87"/>
      <c r="P431" s="290"/>
    </row>
    <row r="432" spans="1:16" ht="15.75" hidden="1" outlineLevel="2" collapsed="1" x14ac:dyDescent="0.25">
      <c r="A432" s="1" t="s">
        <v>23</v>
      </c>
      <c r="C432" s="23" t="s">
        <v>160</v>
      </c>
      <c r="D432" s="23" t="s">
        <v>130</v>
      </c>
      <c r="E432" s="23" t="s">
        <v>282</v>
      </c>
      <c r="F432" s="23" t="s">
        <v>110</v>
      </c>
      <c r="G432" s="61" cm="1">
        <f t="array" ref="G432">IFERROR(
IF(Calc_OtherCosts_2[[#This Row],[Fixed/Variable]:[Fixed/Variable]]="Fixed",
(IFERROR(INDEX(Calc_CPI_2[[CPI uplift factor]:[CPI uplift factor]],MATCH($C432,Calc_CPI_2[[Cost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factor]],MATCH($C432,Calc_CPI_2[[Cost item]:[Cost item]],0),1),0)+
INDEX(Input_ForRateCalc[[F-PreviousVDO_InputDate]:[F-CurrentVDO_Input]],MATCH(Calc_OtherCosts_2[[#This Row],[Cost item]:[Cost item]],Input_ForRateCalc[[Cost item]:[Cost item]],0),MATCH($D$254,Inputs!$H$8:$Q$8,0)))/1000),"-")</f>
        <v>4.0002000000000001E-4</v>
      </c>
      <c r="H432" s="61" cm="1">
        <f t="array" ref="H432">IFERROR(
IF(Calc_OtherCosts_2[[#This Row],[Fixed/Variable]:[Fixed/Variable]]="Fixed",
(IFERROR(INDEX(Calc_CPI_2[[CPI uplift factor]:[CPI uplift factor]],MATCH($C432,Calc_CPI_2[[Cost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factor]],MATCH($C432,Calc_CPI_2[[Cost item]:[Cost item]],0),1),0)+
INDEX(Input_ForRateCalc[[F-PreviousVDO_InputDate]:[F-CurrentVDO_Input]],MATCH(Calc_OtherCosts_2[[#This Row],[Cost item]:[Cost item]],Input_ForRateCalc[[Cost item]:[Cost item]],0),MATCH($D$254,Inputs!$H$8:$Q$8,0)))/1000),"-")</f>
        <v>4.0002000000000001E-4</v>
      </c>
      <c r="I432" s="61" cm="1">
        <f t="array" ref="I432">IFERROR(
IF(Calc_OtherCosts_2[[#This Row],[Fixed/Variable]:[Fixed/Variable]]="Fixed",
(IFERROR(INDEX(Calc_CPI_2[[CPI uplift factor]:[CPI uplift factor]],MATCH($C432,Calc_CPI_2[[Cost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factor]],MATCH($C432,Calc_CPI_2[[Cost item]:[Cost item]],0),1),0)+
INDEX(Input_ForRateCalc[[F-PreviousVDO_InputDate]:[F-CurrentVDO_Input]],MATCH(Calc_OtherCosts_2[[#This Row],[Cost item]:[Cost item]],Input_ForRateCalc[[Cost item]:[Cost item]],0),MATCH($D$254,Inputs!$H$8:$Q$8,0)))/1000),"-")</f>
        <v>4.0002000000000001E-4</v>
      </c>
      <c r="J432" s="61" cm="1">
        <f t="array" ref="J432">IFERROR(
IF(Calc_OtherCosts_2[[#This Row],[Fixed/Variable]:[Fixed/Variable]]="Fixed",
(IFERROR(INDEX(Calc_CPI_2[[CPI uplift factor]:[CPI uplift factor]],MATCH($C432,Calc_CPI_2[[Cost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factor]],MATCH($C432,Calc_CPI_2[[Cost item]:[Cost item]],0),1),0)+
INDEX(Input_ForRateCalc[[F-PreviousVDO_InputDate]:[F-CurrentVDO_Input]],MATCH(Calc_OtherCosts_2[[#This Row],[Cost item]:[Cost item]],Input_ForRateCalc[[Cost item]:[Cost item]],0),MATCH($D$254,Inputs!$H$8:$Q$8,0)))/1000),"-")</f>
        <v>4.0002000000000001E-4</v>
      </c>
      <c r="K432" s="61" cm="1">
        <f t="array" ref="K432">IFERROR(
IF(Calc_OtherCosts_2[[#This Row],[Fixed/Variable]:[Fixed/Variable]]="Fixed",
(IFERROR(INDEX(Calc_CPI_2[[CPI uplift factor]:[CPI uplift factor]],MATCH($C432,Calc_CPI_2[[Cost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factor]],MATCH($C432,Calc_CPI_2[[Cost item]:[Cost item]],0),1),0)+
INDEX(Input_ForRateCalc[[F-PreviousVDO_InputDate]:[F-CurrentVDO_Input]],MATCH(Calc_OtherCosts_2[[#This Row],[Cost item]:[Cost item]],Input_ForRateCalc[[Cost item]:[Cost item]],0),MATCH($D$254,Inputs!$H$8:$Q$8,0)))/1000),"-")</f>
        <v>4.0002000000000001E-4</v>
      </c>
      <c r="M432" s="342"/>
      <c r="N432" s="87"/>
      <c r="O432" s="87"/>
      <c r="P432" s="290"/>
    </row>
    <row r="433" spans="2:16" hidden="1" outlineLevel="2" x14ac:dyDescent="0.25">
      <c r="C433" s="23" t="s">
        <v>162</v>
      </c>
      <c r="D433" s="23" t="s">
        <v>130</v>
      </c>
      <c r="E433" s="23" t="s">
        <v>282</v>
      </c>
      <c r="F433" s="23" t="s">
        <v>110</v>
      </c>
      <c r="G433" s="61" cm="1">
        <f t="array" ref="G433">IFERROR(
IF(Calc_OtherCosts_2[[#This Row],[Fixed/Variable]:[Fixed/Variable]]="Fixed",
(IFERROR(INDEX(Calc_CPI_2[[CPI uplift factor]:[CPI uplift factor]],MATCH($C433,Calc_CPI_2[[Cost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factor]],MATCH($C433,Calc_CPI_2[[Cost item]:[Cost item]],0),1),0)+
INDEX(Input_ForRateCalc[[F-PreviousVDO_InputDate]:[F-CurrentVDO_Input]],MATCH(Calc_OtherCosts_2[[#This Row],[Cost item]:[Cost item]],Input_ForRateCalc[[Cost item]:[Cost item]],0),MATCH($D$254,Inputs!$H$8:$Q$8,0)))/1000),"-")</f>
        <v>0</v>
      </c>
      <c r="H433" s="61" cm="1">
        <f t="array" ref="H433">IFERROR(
IF(Calc_OtherCosts_2[[#This Row],[Fixed/Variable]:[Fixed/Variable]]="Fixed",
(IFERROR(INDEX(Calc_CPI_2[[CPI uplift factor]:[CPI uplift factor]],MATCH($C433,Calc_CPI_2[[Cost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factor]],MATCH($C433,Calc_CPI_2[[Cost item]:[Cost item]],0),1),0)+
INDEX(Input_ForRateCalc[[F-PreviousVDO_InputDate]:[F-CurrentVDO_Input]],MATCH(Calc_OtherCosts_2[[#This Row],[Cost item]:[Cost item]],Input_ForRateCalc[[Cost item]:[Cost item]],0),MATCH($D$254,Inputs!$H$8:$Q$8,0)))/1000),"-")</f>
        <v>0</v>
      </c>
      <c r="I433" s="61" cm="1">
        <f t="array" ref="I433">IFERROR(
IF(Calc_OtherCosts_2[[#This Row],[Fixed/Variable]:[Fixed/Variable]]="Fixed",
(IFERROR(INDEX(Calc_CPI_2[[CPI uplift factor]:[CPI uplift factor]],MATCH($C433,Calc_CPI_2[[Cost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factor]],MATCH($C433,Calc_CPI_2[[Cost item]:[Cost item]],0),1),0)+
INDEX(Input_ForRateCalc[[F-PreviousVDO_InputDate]:[F-CurrentVDO_Input]],MATCH(Calc_OtherCosts_2[[#This Row],[Cost item]:[Cost item]],Input_ForRateCalc[[Cost item]:[Cost item]],0),MATCH($D$254,Inputs!$H$8:$Q$8,0)))/1000),"-")</f>
        <v>0</v>
      </c>
      <c r="J433" s="61" cm="1">
        <f t="array" ref="J433">IFERROR(
IF(Calc_OtherCosts_2[[#This Row],[Fixed/Variable]:[Fixed/Variable]]="Fixed",
(IFERROR(INDEX(Calc_CPI_2[[CPI uplift factor]:[CPI uplift factor]],MATCH($C433,Calc_CPI_2[[Cost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factor]],MATCH($C433,Calc_CPI_2[[Cost item]:[Cost item]],0),1),0)+
INDEX(Input_ForRateCalc[[F-PreviousVDO_InputDate]:[F-CurrentVDO_Input]],MATCH(Calc_OtherCosts_2[[#This Row],[Cost item]:[Cost item]],Input_ForRateCalc[[Cost item]:[Cost item]],0),MATCH($D$254,Inputs!$H$8:$Q$8,0)))/1000),"-")</f>
        <v>0</v>
      </c>
      <c r="K433" s="61" cm="1">
        <f t="array" ref="K433">IFERROR(
IF(Calc_OtherCosts_2[[#This Row],[Fixed/Variable]:[Fixed/Variable]]="Fixed",
(IFERROR(INDEX(Calc_CPI_2[[CPI uplift factor]:[CPI uplift factor]],MATCH($C433,Calc_CPI_2[[Cost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factor]],MATCH($C433,Calc_CPI_2[[Cost item]:[Cost item]],0),1),0)+
INDEX(Input_ForRateCalc[[F-PreviousVDO_InputDate]:[F-CurrentVDO_Input]],MATCH(Calc_OtherCosts_2[[#This Row],[Cost item]:[Cost item]],Input_ForRateCalc[[Cost item]:[Cost item]],0),MATCH($D$254,Inputs!$H$8:$Q$8,0)))/1000),"-")</f>
        <v>0</v>
      </c>
      <c r="M433" s="342"/>
      <c r="N433" s="87"/>
      <c r="O433" s="87"/>
      <c r="P433" s="290"/>
    </row>
    <row r="434" spans="2:16" hidden="1" outlineLevel="2" x14ac:dyDescent="0.25">
      <c r="C434" s="23" t="s">
        <v>758</v>
      </c>
      <c r="D434" s="23" t="s">
        <v>130</v>
      </c>
      <c r="E434" s="23" t="s">
        <v>282</v>
      </c>
      <c r="F434" s="23" t="s">
        <v>110</v>
      </c>
      <c r="G434" s="61" cm="1">
        <f t="array" ref="G434">IFERROR(
IF(Calc_OtherCosts_2[[#This Row],[Fixed/Variable]:[Fixed/Variable]]="Fixed",
(IFERROR(INDEX(Calc_CPI_2[[CPI uplift factor]:[CPI uplift factor]],MATCH($C434,Calc_CPI_2[[Cost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factor]],MATCH($C434,Calc_CPI_2[[Cost item]:[Cost item]],0),1),0)+
INDEX(Input_ForRateCalc[[F-PreviousVDO_InputDate]:[F-CurrentVDO_Input]],MATCH(Calc_OtherCosts_2[[#This Row],[Cost item]:[Cost item]],Input_ForRateCalc[[Cost item]:[Cost item]],0),MATCH($D$254,Inputs!$H$8:$Q$8,0)))/1000),"-")</f>
        <v>1.2324999999999999E-4</v>
      </c>
      <c r="H434" s="61" cm="1">
        <f t="array" ref="H434">IFERROR(
IF(Calc_OtherCosts_2[[#This Row],[Fixed/Variable]:[Fixed/Variable]]="Fixed",
(IFERROR(INDEX(Calc_CPI_2[[CPI uplift factor]:[CPI uplift factor]],MATCH($C434,Calc_CPI_2[[Cost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factor]],MATCH($C434,Calc_CPI_2[[Cost item]:[Cost item]],0),1),0)+
INDEX(Input_ForRateCalc[[F-PreviousVDO_InputDate]:[F-CurrentVDO_Input]],MATCH(Calc_OtherCosts_2[[#This Row],[Cost item]:[Cost item]],Input_ForRateCalc[[Cost item]:[Cost item]],0),MATCH($D$254,Inputs!$H$8:$Q$8,0)))/1000),"-")</f>
        <v>1.2324999999999999E-4</v>
      </c>
      <c r="I434" s="61" cm="1">
        <f t="array" ref="I434">IFERROR(
IF(Calc_OtherCosts_2[[#This Row],[Fixed/Variable]:[Fixed/Variable]]="Fixed",
(IFERROR(INDEX(Calc_CPI_2[[CPI uplift factor]:[CPI uplift factor]],MATCH($C434,Calc_CPI_2[[Cost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factor]],MATCH($C434,Calc_CPI_2[[Cost item]:[Cost item]],0),1),0)+
INDEX(Input_ForRateCalc[[F-PreviousVDO_InputDate]:[F-CurrentVDO_Input]],MATCH(Calc_OtherCosts_2[[#This Row],[Cost item]:[Cost item]],Input_ForRateCalc[[Cost item]:[Cost item]],0),MATCH($D$254,Inputs!$H$8:$Q$8,0)))/1000),"-")</f>
        <v>1.2324999999999999E-4</v>
      </c>
      <c r="J434" s="61" cm="1">
        <f t="array" ref="J434">IFERROR(
IF(Calc_OtherCosts_2[[#This Row],[Fixed/Variable]:[Fixed/Variable]]="Fixed",
(IFERROR(INDEX(Calc_CPI_2[[CPI uplift factor]:[CPI uplift factor]],MATCH($C434,Calc_CPI_2[[Cost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factor]],MATCH($C434,Calc_CPI_2[[Cost item]:[Cost item]],0),1),0)+
INDEX(Input_ForRateCalc[[F-PreviousVDO_InputDate]:[F-CurrentVDO_Input]],MATCH(Calc_OtherCosts_2[[#This Row],[Cost item]:[Cost item]],Input_ForRateCalc[[Cost item]:[Cost item]],0),MATCH($D$254,Inputs!$H$8:$Q$8,0)))/1000),"-")</f>
        <v>1.2324999999999999E-4</v>
      </c>
      <c r="K434" s="61" cm="1">
        <f t="array" ref="K434">IFERROR(
IF(Calc_OtherCosts_2[[#This Row],[Fixed/Variable]:[Fixed/Variable]]="Fixed",
(IFERROR(INDEX(Calc_CPI_2[[CPI uplift factor]:[CPI uplift factor]],MATCH($C434,Calc_CPI_2[[Cost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factor]],MATCH($C434,Calc_CPI_2[[Cost item]:[Cost item]],0),1),0)+
INDEX(Input_ForRateCalc[[F-PreviousVDO_InputDate]:[F-CurrentVDO_Input]],MATCH(Calc_OtherCosts_2[[#This Row],[Cost item]:[Cost item]],Input_ForRateCalc[[Cost item]:[Cost item]],0),MATCH($D$254,Inputs!$H$8:$Q$8,0)))/1000),"-")</f>
        <v>1.2324999999999999E-4</v>
      </c>
      <c r="M434" s="342"/>
      <c r="N434" s="87"/>
      <c r="O434" s="87"/>
      <c r="P434" s="290"/>
    </row>
    <row r="435" spans="2:16" hidden="1" outlineLevel="2" x14ac:dyDescent="0.25">
      <c r="C435" s="23" t="s">
        <v>757</v>
      </c>
      <c r="D435" s="23" t="s">
        <v>130</v>
      </c>
      <c r="E435" s="23" t="s">
        <v>282</v>
      </c>
      <c r="F435" s="23" t="s">
        <v>110</v>
      </c>
      <c r="G435" s="61" cm="1">
        <f t="array" ref="G435">IFERROR(
IF(Calc_OtherCosts_2[[#This Row],[Fixed/Variable]:[Fixed/Variable]]="Fixed",
(IFERROR(INDEX(Calc_CPI_2[[CPI uplift factor]:[CPI uplift factor]],MATCH($C435,Calc_CPI_2[[Cost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factor]],MATCH($C435,Calc_CPI_2[[Cost item]:[Cost item]],0),1),0)+
INDEX(Input_ForRateCalc[[F-PreviousVDO_InputDate]:[F-CurrentVDO_Input]],MATCH(Calc_OtherCosts_2[[#This Row],[Cost item]:[Cost item]],Input_ForRateCalc[[Cost item]:[Cost item]],0),MATCH($D$254,Inputs!$H$8:$Q$8,0)))/1000),"-")</f>
        <v>2.6230000000000001E-5</v>
      </c>
      <c r="H435" s="61" cm="1">
        <f t="array" ref="H435">IFERROR(
IF(Calc_OtherCosts_2[[#This Row],[Fixed/Variable]:[Fixed/Variable]]="Fixed",
(IFERROR(INDEX(Calc_CPI_2[[CPI uplift factor]:[CPI uplift factor]],MATCH($C435,Calc_CPI_2[[Cost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factor]],MATCH($C435,Calc_CPI_2[[Cost item]:[Cost item]],0),1),0)+
INDEX(Input_ForRateCalc[[F-PreviousVDO_InputDate]:[F-CurrentVDO_Input]],MATCH(Calc_OtherCosts_2[[#This Row],[Cost item]:[Cost item]],Input_ForRateCalc[[Cost item]:[Cost item]],0),MATCH($D$254,Inputs!$H$8:$Q$8,0)))/1000),"-")</f>
        <v>2.6230000000000001E-5</v>
      </c>
      <c r="I435" s="61" cm="1">
        <f t="array" ref="I435">IFERROR(
IF(Calc_OtherCosts_2[[#This Row],[Fixed/Variable]:[Fixed/Variable]]="Fixed",
(IFERROR(INDEX(Calc_CPI_2[[CPI uplift factor]:[CPI uplift factor]],MATCH($C435,Calc_CPI_2[[Cost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factor]],MATCH($C435,Calc_CPI_2[[Cost item]:[Cost item]],0),1),0)+
INDEX(Input_ForRateCalc[[F-PreviousVDO_InputDate]:[F-CurrentVDO_Input]],MATCH(Calc_OtherCosts_2[[#This Row],[Cost item]:[Cost item]],Input_ForRateCalc[[Cost item]:[Cost item]],0),MATCH($D$254,Inputs!$H$8:$Q$8,0)))/1000),"-")</f>
        <v>2.6230000000000001E-5</v>
      </c>
      <c r="J435" s="61" cm="1">
        <f t="array" ref="J435">IFERROR(
IF(Calc_OtherCosts_2[[#This Row],[Fixed/Variable]:[Fixed/Variable]]="Fixed",
(IFERROR(INDEX(Calc_CPI_2[[CPI uplift factor]:[CPI uplift factor]],MATCH($C435,Calc_CPI_2[[Cost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factor]],MATCH($C435,Calc_CPI_2[[Cost item]:[Cost item]],0),1),0)+
INDEX(Input_ForRateCalc[[F-PreviousVDO_InputDate]:[F-CurrentVDO_Input]],MATCH(Calc_OtherCosts_2[[#This Row],[Cost item]:[Cost item]],Input_ForRateCalc[[Cost item]:[Cost item]],0),MATCH($D$254,Inputs!$H$8:$Q$8,0)))/1000),"-")</f>
        <v>2.6230000000000001E-5</v>
      </c>
      <c r="K435" s="61" cm="1">
        <f t="array" ref="K435">IFERROR(
IF(Calc_OtherCosts_2[[#This Row],[Fixed/Variable]:[Fixed/Variable]]="Fixed",
(IFERROR(INDEX(Calc_CPI_2[[CPI uplift factor]:[CPI uplift factor]],MATCH($C435,Calc_CPI_2[[Cost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factor]],MATCH($C435,Calc_CPI_2[[Cost item]:[Cost item]],0),1),0)+
INDEX(Input_ForRateCalc[[F-PreviousVDO_InputDate]:[F-CurrentVDO_Input]],MATCH(Calc_OtherCosts_2[[#This Row],[Cost item]:[Cost item]],Input_ForRateCalc[[Cost item]:[Cost item]],0),MATCH($D$254,Inputs!$H$8:$Q$8,0)))/1000),"-")</f>
        <v>2.6230000000000001E-5</v>
      </c>
      <c r="M435" s="342"/>
      <c r="N435" s="87"/>
      <c r="O435" s="87"/>
      <c r="P435" s="290"/>
    </row>
    <row r="436" spans="2:16" hidden="1" outlineLevel="2" x14ac:dyDescent="0.25">
      <c r="C436" s="44" t="s">
        <v>163</v>
      </c>
      <c r="D436" s="44" t="s">
        <v>130</v>
      </c>
      <c r="E436" s="23" t="s">
        <v>282</v>
      </c>
      <c r="F436" s="23" t="s">
        <v>110</v>
      </c>
      <c r="G436" s="61" cm="1">
        <f t="array" ref="G436">IFERROR(
IF(Calc_OtherCosts_2[[#This Row],[Fixed/Variable]:[Fixed/Variable]]="Fixed",
(IFERROR(INDEX(Calc_CPI_2[[CPI uplift factor]:[CPI uplift factor]],MATCH($C436,Calc_CPI_2[[Cost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factor]],MATCH($C436,Calc_CPI_2[[Cost item]:[Cost item]],0),1),0)+
INDEX(Input_ForRateCalc[[F-PreviousVDO_InputDate]:[F-CurrentVDO_Input]],MATCH(Calc_OtherCosts_2[[#This Row],[Cost item]:[Cost item]],Input_ForRateCalc[[Cost item]:[Cost item]],0),MATCH($D$254,Inputs!$H$8:$Q$8,0)))/1000),"-")</f>
        <v>3.2597970254075734E-4</v>
      </c>
      <c r="H436" s="61" cm="1">
        <f t="array" ref="H436">IFERROR(
IF(Calc_OtherCosts_2[[#This Row],[Fixed/Variable]:[Fixed/Variable]]="Fixed",
(IFERROR(INDEX(Calc_CPI_2[[CPI uplift factor]:[CPI uplift factor]],MATCH($C436,Calc_CPI_2[[Cost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factor]],MATCH($C436,Calc_CPI_2[[Cost item]:[Cost item]],0),1),0)+
INDEX(Input_ForRateCalc[[F-PreviousVDO_InputDate]:[F-CurrentVDO_Input]],MATCH(Calc_OtherCosts_2[[#This Row],[Cost item]:[Cost item]],Input_ForRateCalc[[Cost item]:[Cost item]],0),MATCH($D$254,Inputs!$H$8:$Q$8,0)))/1000),"-")</f>
        <v>3.2597970254075734E-4</v>
      </c>
      <c r="I436" s="61" cm="1">
        <f t="array" ref="I436">IFERROR(
IF(Calc_OtherCosts_2[[#This Row],[Fixed/Variable]:[Fixed/Variable]]="Fixed",
(IFERROR(INDEX(Calc_CPI_2[[CPI uplift factor]:[CPI uplift factor]],MATCH($C436,Calc_CPI_2[[Cost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factor]],MATCH($C436,Calc_CPI_2[[Cost item]:[Cost item]],0),1),0)+
INDEX(Input_ForRateCalc[[F-PreviousVDO_InputDate]:[F-CurrentVDO_Input]],MATCH(Calc_OtherCosts_2[[#This Row],[Cost item]:[Cost item]],Input_ForRateCalc[[Cost item]:[Cost item]],0),MATCH($D$254,Inputs!$H$8:$Q$8,0)))/1000),"-")</f>
        <v>3.2597970254075734E-4</v>
      </c>
      <c r="J436" s="61" cm="1">
        <f t="array" ref="J436">IFERROR(
IF(Calc_OtherCosts_2[[#This Row],[Fixed/Variable]:[Fixed/Variable]]="Fixed",
(IFERROR(INDEX(Calc_CPI_2[[CPI uplift factor]:[CPI uplift factor]],MATCH($C436,Calc_CPI_2[[Cost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factor]],MATCH($C436,Calc_CPI_2[[Cost item]:[Cost item]],0),1),0)+
INDEX(Input_ForRateCalc[[F-PreviousVDO_InputDate]:[F-CurrentVDO_Input]],MATCH(Calc_OtherCosts_2[[#This Row],[Cost item]:[Cost item]],Input_ForRateCalc[[Cost item]:[Cost item]],0),MATCH($D$254,Inputs!$H$8:$Q$8,0)))/1000),"-")</f>
        <v>3.2597970254075734E-4</v>
      </c>
      <c r="K436" s="61" cm="1">
        <f t="array" ref="K436">IFERROR(
IF(Calc_OtherCosts_2[[#This Row],[Fixed/Variable]:[Fixed/Variable]]="Fixed",
(IFERROR(INDEX(Calc_CPI_2[[CPI uplift factor]:[CPI uplift factor]],MATCH($C436,Calc_CPI_2[[Cost item]:[Cost item]],0),1),0)+
INDEX(Input_ForRateCalc[[F-PreviousVDO_InputDate]:[F-CurrentVDO_Input]],MATCH(Calc_OtherCosts_2[[#This Row],[Cost item]:[Cost item]],Input_ForRateCalc[[Cost item]:[Cost item]],0),MATCH($D$254,Inputs!$H$8:$Q$8,0)))*IF(Calc_OtherCosts_2[[#This Row],[Unit]:[Unit]]="$",1,IF(Calc_OtherCosts_2[[#This Row],[Unit]:[Unit]]="$/week",WiY)),
(IFERROR(INDEX(Calc_CPI_2[[CPI uplift factor]:[CPI uplift factor]],MATCH($C436,Calc_CPI_2[[Cost item]:[Cost item]],0),1),0)+
INDEX(Input_ForRateCalc[[F-PreviousVDO_InputDate]:[F-CurrentVDO_Input]],MATCH(Calc_OtherCosts_2[[#This Row],[Cost item]:[Cost item]],Input_ForRateCalc[[Cost item]:[Cost item]],0),MATCH($D$254,Inputs!$H$8:$Q$8,0)))/1000),"-")</f>
        <v>3.2597970254075734E-4</v>
      </c>
      <c r="M436" s="342"/>
      <c r="N436" s="87"/>
      <c r="O436" s="87"/>
      <c r="P436" s="290"/>
    </row>
    <row r="437" spans="2:16" hidden="1" outlineLevel="1" x14ac:dyDescent="0.25"/>
    <row r="438" spans="2:16" ht="16.5" hidden="1" outlineLevel="1" collapsed="1" thickBot="1" x14ac:dyDescent="0.3">
      <c r="B438" s="9">
        <f ca="1">MAX(B$3:B437)+0.1</f>
        <v>13.199999999999996</v>
      </c>
      <c r="C438" s="28" t="s">
        <v>121</v>
      </c>
      <c r="D438" s="28"/>
      <c r="E438" s="28"/>
      <c r="F438" s="28"/>
      <c r="G438" s="28"/>
      <c r="H438" s="28"/>
      <c r="I438" s="28"/>
      <c r="J438" s="28"/>
      <c r="K438" s="28"/>
      <c r="N438" s="87"/>
    </row>
    <row r="439" spans="2:16" hidden="1" outlineLevel="2" x14ac:dyDescent="0.25"/>
    <row r="440" spans="2:16" ht="15.75" hidden="1" outlineLevel="2" x14ac:dyDescent="0.25">
      <c r="C440" s="29" t="s">
        <v>297</v>
      </c>
    </row>
    <row r="441" spans="2:16" ht="15.75" hidden="1" outlineLevel="2" x14ac:dyDescent="0.25">
      <c r="C441" s="43" t="s">
        <v>46</v>
      </c>
      <c r="D441" s="43" t="s">
        <v>102</v>
      </c>
      <c r="E441" s="43" t="s">
        <v>103</v>
      </c>
      <c r="F441" s="43" t="s">
        <v>91</v>
      </c>
      <c r="G441" s="60" t="s">
        <v>268</v>
      </c>
      <c r="H441" s="60" t="s">
        <v>269</v>
      </c>
      <c r="I441" s="60" t="s">
        <v>270</v>
      </c>
      <c r="J441" s="60" t="s">
        <v>271</v>
      </c>
      <c r="K441" s="60" t="s">
        <v>272</v>
      </c>
    </row>
    <row r="442" spans="2:16" hidden="1" outlineLevel="2" x14ac:dyDescent="0.25">
      <c r="C442" s="23" t="s">
        <v>550</v>
      </c>
      <c r="D442" s="23" t="s">
        <v>108</v>
      </c>
      <c r="E442" s="23" t="s">
        <v>123</v>
      </c>
      <c r="F442" s="23" t="s">
        <v>92</v>
      </c>
      <c r="G442" s="344" cm="1">
        <f t="array" ref="G442">IFERROR(
IFERROR(INDEX(Calc_CPI_2[[CPI uplift factor]:[CPI uplift factor]],MATCH($C442,Calc_CPI_2[[Cost item]:[Cost item]],0),1),0)+
INDEX(Input_ForRateCalc[[F-PreviousVDO_InputDate]:[F-CurrentVDO_Input]],MATCH(
IF(Calc_NetworkF_2[[#This Row],[Cost item]:[Cost item]]="Metering",
Calc_NetworkF_2[[#This Row],[Cost item]:[Cost item]]&amp;" - "&amp;Calc_NetworkF_2[[#Headers],[Ausnet]],
Calc_NetworkF_2[[#This Row],[Cost item]:[Cost item]]&amp;" charge - "&amp;IF(Calc_NetworkF_2[[#This Row],[Customer type]:[Customer type]]="Residential","RES - ","SME - ")&amp;Calc_NetworkF_2[[#Headers],[Ausnet]]),Input_ForRateCalc[[Cost item]:[Cost item]],0),MATCH($D$254,Inputs!$H$8:$Q$8,0)),"-")</f>
        <v>111.11</v>
      </c>
      <c r="H442" s="344" cm="1">
        <f t="array" ref="H442">IFERROR(
IFERROR(INDEX(Calc_CPI_2[[CPI uplift factor]:[CPI uplift factor]],MATCH($C442,Calc_CPI_2[[Cost item]:[Cost item]],0),1),0)+
INDEX(Input_ForRateCalc[[F-PreviousVDO_InputDate]:[F-CurrentVDO_Input]],MATCH(
IF(Calc_NetworkF_2[[#This Row],[Cost item]:[Cost item]]="Metering",
Calc_NetworkF_2[[#This Row],[Cost item]:[Cost item]]&amp;" - "&amp;Calc_NetworkF_2[[#Headers],[Citipower]],
Calc_NetworkF_2[[#This Row],[Cost item]:[Cost item]]&amp;" charge - "&amp;IF(Calc_NetworkF_2[[#This Row],[Customer type]:[Customer type]]="Residential","RES - ","SME - ")&amp;Calc_NetworkF_2[[#Headers],[Citipower]]),Input_ForRateCalc[[Cost item]:[Cost item]],0),MATCH($D$254,Inputs!$H$8:$Q$8,0)),"-")</f>
        <v>90.009</v>
      </c>
      <c r="I442" s="344" cm="1">
        <f t="array" ref="I442">IFERROR(
IFERROR(INDEX(Calc_CPI_2[[CPI uplift factor]:[CPI uplift factor]],MATCH($C442,Calc_CPI_2[[Cost item]:[Cost item]],0),1),0)+
INDEX(Input_ForRateCalc[[F-PreviousVDO_InputDate]:[F-CurrentVDO_Input]],MATCH(
IF(Calc_NetworkF_2[[#This Row],[Cost item]:[Cost item]]="Metering",
Calc_NetworkF_2[[#This Row],[Cost item]:[Cost item]]&amp;" - "&amp;Calc_NetworkF_2[[#Headers],[Jemena]],
Calc_NetworkF_2[[#This Row],[Cost item]:[Cost item]]&amp;" charge - "&amp;IF(Calc_NetworkF_2[[#This Row],[Customer type]:[Customer type]]="Residential","RES - ","SME - ")&amp;Calc_NetworkF_2[[#Headers],[Jemena]]),Input_ForRateCalc[[Cost item]:[Cost item]],0),MATCH($D$254,Inputs!$H$8:$Q$8,0)),"-")</f>
        <v>82.195999999999998</v>
      </c>
      <c r="J442" s="344" cm="1">
        <f t="array" ref="J442">IFERROR(
IFERROR(INDEX(Calc_CPI_2[[CPI uplift factor]:[CPI uplift factor]],MATCH($C442,Calc_CPI_2[[Cost item]:[Cost item]],0),1),0)+
INDEX(Input_ForRateCalc[[F-PreviousVDO_InputDate]:[F-CurrentVDO_Input]],MATCH(
IF(Calc_NetworkF_2[[#This Row],[Cost item]:[Cost item]]="Metering",
Calc_NetworkF_2[[#This Row],[Cost item]:[Cost item]]&amp;" - "&amp;Calc_NetworkF_2[[#Headers],[Powercor]],
Calc_NetworkF_2[[#This Row],[Cost item]:[Cost item]]&amp;" charge - "&amp;IF(Calc_NetworkF_2[[#This Row],[Customer type]:[Customer type]]="Residential","RES - ","SME - ")&amp;Calc_NetworkF_2[[#Headers],[Powercor]]),Input_ForRateCalc[[Cost item]:[Cost item]],0),MATCH($D$254,Inputs!$H$8:$Q$8,0)),"-")</f>
        <v>139.97749999999999</v>
      </c>
      <c r="K442" s="344" cm="1">
        <f t="array" ref="K442">IFERROR(
IFERROR(INDEX(Calc_CPI_2[[CPI uplift factor]:[CPI uplift factor]],MATCH($C442,Calc_CPI_2[[Cost item]:[Cost item]],0),1),0)+
INDEX(Input_ForRateCalc[[F-PreviousVDO_InputDate]:[F-CurrentVDO_Input]],MATCH(
IF(Calc_NetworkF_2[[#This Row],[Cost item]:[Cost item]]="Metering",
Calc_NetworkF_2[[#This Row],[Cost item]:[Cost item]]&amp;" - "&amp;Calc_NetworkF_2[[#Headers],[United Energy]],
Calc_NetworkF_2[[#This Row],[Cost item]:[Cost item]]&amp;" charge - "&amp;IF(Calc_NetworkF_2[[#This Row],[Customer type]:[Customer type]]="Residential","RES - ","SME - ")&amp;Calc_NetworkF_2[[#Headers],[United Energy]]),Input_ForRateCalc[[Cost item]:[Cost item]],0),MATCH($D$254,Inputs!$H$8:$Q$8,0)),"-")</f>
        <v>80.007999999999996</v>
      </c>
    </row>
    <row r="443" spans="2:16" hidden="1" outlineLevel="2" x14ac:dyDescent="0.25">
      <c r="C443" s="23" t="s">
        <v>550</v>
      </c>
      <c r="D443" s="23" t="s">
        <v>108</v>
      </c>
      <c r="E443" s="23" t="s">
        <v>123</v>
      </c>
      <c r="F443" s="23" t="s">
        <v>93</v>
      </c>
      <c r="G443" s="344" cm="1">
        <f t="array" ref="G443">IFERROR(
IFERROR(INDEX(Calc_CPI_2[[CPI uplift factor]:[CPI uplift factor]],MATCH($C443,Calc_CPI_2[[Cost item]:[Cost item]],0),1),0)+
INDEX(Input_ForRateCalc[[F-PreviousVDO_InputDate]:[F-CurrentVDO_Input]],MATCH(
IF(Calc_NetworkF_2[[#This Row],[Cost item]:[Cost item]]="Metering",
Calc_NetworkF_2[[#This Row],[Cost item]:[Cost item]]&amp;" - "&amp;Calc_NetworkF_2[[#Headers],[Ausnet]],
Calc_NetworkF_2[[#This Row],[Cost item]:[Cost item]]&amp;" charge - "&amp;IF(Calc_NetworkF_2[[#This Row],[Customer type]:[Customer type]]="Residential","RES - ","SME - ")&amp;Calc_NetworkF_2[[#Headers],[Ausnet]]),Input_ForRateCalc[[Cost item]:[Cost item]],0),MATCH($D$254,Inputs!$H$8:$Q$8,0)),"-")</f>
        <v>111.11</v>
      </c>
      <c r="H443" s="344" cm="1">
        <f t="array" ref="H443">IFERROR(
IFERROR(INDEX(Calc_CPI_2[[CPI uplift factor]:[CPI uplift factor]],MATCH($C443,Calc_CPI_2[[Cost item]:[Cost item]],0),1),0)+
INDEX(Input_ForRateCalc[[F-PreviousVDO_InputDate]:[F-CurrentVDO_Input]],MATCH(
IF(Calc_NetworkF_2[[#This Row],[Cost item]:[Cost item]]="Metering",
Calc_NetworkF_2[[#This Row],[Cost item]:[Cost item]]&amp;" - "&amp;Calc_NetworkF_2[[#Headers],[Citipower]],
Calc_NetworkF_2[[#This Row],[Cost item]:[Cost item]]&amp;" charge - "&amp;IF(Calc_NetworkF_2[[#This Row],[Customer type]:[Customer type]]="Residential","RES - ","SME - ")&amp;Calc_NetworkF_2[[#Headers],[Citipower]]),Input_ForRateCalc[[Cost item]:[Cost item]],0),MATCH($D$254,Inputs!$H$8:$Q$8,0)),"-")</f>
        <v>160.01599999999999</v>
      </c>
      <c r="I443" s="344" cm="1">
        <f t="array" ref="I443">IFERROR(
IFERROR(INDEX(Calc_CPI_2[[CPI uplift factor]:[CPI uplift factor]],MATCH($C443,Calc_CPI_2[[Cost item]:[Cost item]],0),1),0)+
INDEX(Input_ForRateCalc[[F-PreviousVDO_InputDate]:[F-CurrentVDO_Input]],MATCH(
IF(Calc_NetworkF_2[[#This Row],[Cost item]:[Cost item]]="Metering",
Calc_NetworkF_2[[#This Row],[Cost item]:[Cost item]]&amp;" - "&amp;Calc_NetworkF_2[[#Headers],[Jemena]],
Calc_NetworkF_2[[#This Row],[Cost item]:[Cost item]]&amp;" charge - "&amp;IF(Calc_NetworkF_2[[#This Row],[Customer type]:[Customer type]]="Residential","RES - ","SME - ")&amp;Calc_NetworkF_2[[#Headers],[Jemena]]),Input_ForRateCalc[[Cost item]:[Cost item]],0),MATCH($D$254,Inputs!$H$8:$Q$8,0)),"-")</f>
        <v>134.46600000000001</v>
      </c>
      <c r="J443" s="344" cm="1">
        <f t="array" ref="J443">IFERROR(
IFERROR(INDEX(Calc_CPI_2[[CPI uplift factor]:[CPI uplift factor]],MATCH($C443,Calc_CPI_2[[Cost item]:[Cost item]],0),1),0)+
INDEX(Input_ForRateCalc[[F-PreviousVDO_InputDate]:[F-CurrentVDO_Input]],MATCH(
IF(Calc_NetworkF_2[[#This Row],[Cost item]:[Cost item]]="Metering",
Calc_NetworkF_2[[#This Row],[Cost item]:[Cost item]]&amp;" - "&amp;Calc_NetworkF_2[[#Headers],[Powercor]],
Calc_NetworkF_2[[#This Row],[Cost item]:[Cost item]]&amp;" charge - "&amp;IF(Calc_NetworkF_2[[#This Row],[Customer type]:[Customer type]]="Residential","RES - ","SME - ")&amp;Calc_NetworkF_2[[#Headers],[Powercor]]),Input_ForRateCalc[[Cost item]:[Cost item]],0),MATCH($D$254,Inputs!$H$8:$Q$8,0)),"-")</f>
        <v>179.98150000000001</v>
      </c>
      <c r="K443" s="344" cm="1">
        <f t="array" ref="K443">IFERROR(
IFERROR(INDEX(Calc_CPI_2[[CPI uplift factor]:[CPI uplift factor]],MATCH($C443,Calc_CPI_2[[Cost item]:[Cost item]],0),1),0)+
INDEX(Input_ForRateCalc[[F-PreviousVDO_InputDate]:[F-CurrentVDO_Input]],MATCH(
IF(Calc_NetworkF_2[[#This Row],[Cost item]:[Cost item]]="Metering",
Calc_NetworkF_2[[#This Row],[Cost item]:[Cost item]]&amp;" - "&amp;Calc_NetworkF_2[[#Headers],[United Energy]],
Calc_NetworkF_2[[#This Row],[Cost item]:[Cost item]]&amp;" charge - "&amp;IF(Calc_NetworkF_2[[#This Row],[Customer type]:[Customer type]]="Residential","RES - ","SME - ")&amp;Calc_NetworkF_2[[#Headers],[United Energy]]),Input_ForRateCalc[[Cost item]:[Cost item]],0),MATCH($D$254,Inputs!$H$8:$Q$8,0)),"-")</f>
        <v>120.01199999999999</v>
      </c>
    </row>
    <row r="444" spans="2:16" hidden="1" outlineLevel="2" x14ac:dyDescent="0.25">
      <c r="C444" s="23" t="s">
        <v>551</v>
      </c>
      <c r="D444" s="23" t="s">
        <v>108</v>
      </c>
      <c r="E444" s="23" t="s">
        <v>123</v>
      </c>
      <c r="F444" s="23" t="s">
        <v>92</v>
      </c>
      <c r="G444" s="344" cm="1">
        <f t="array" ref="G444">IFERROR(
IFERROR(INDEX(Calc_CPI_2[[CPI uplift factor]:[CPI uplift factor]],MATCH($C444,Calc_CPI_2[[Cost item]:[Cost item]],0),1),0)+
INDEX(Input_ForRateCalc[[F-PreviousVDO_InputDate]:[F-CurrentVDO_Input]],MATCH(
IF(Calc_NetworkF_2[[#This Row],[Cost item]:[Cost item]]="Metering",
Calc_NetworkF_2[[#This Row],[Cost item]:[Cost item]]&amp;" - "&amp;Calc_NetworkF_2[[#Headers],[Ausnet]],
Calc_NetworkF_2[[#This Row],[Cost item]:[Cost item]]&amp;" charge - "&amp;IF(Calc_NetworkF_2[[#This Row],[Customer type]:[Customer type]]="Residential","RES - ","SME - ")&amp;Calc_NetworkF_2[[#Headers],[Ausnet]]),Input_ForRateCalc[[Cost item]:[Cost item]],0),MATCH($D$254,Inputs!$H$8:$Q$8,0)),"-")</f>
        <v>111.11</v>
      </c>
      <c r="H444" s="344" cm="1">
        <f t="array" ref="H444">IFERROR(
IFERROR(INDEX(Calc_CPI_2[[CPI uplift factor]:[CPI uplift factor]],MATCH($C444,Calc_CPI_2[[Cost item]:[Cost item]],0),1),0)+
INDEX(Input_ForRateCalc[[F-PreviousVDO_InputDate]:[F-CurrentVDO_Input]],MATCH(
IF(Calc_NetworkF_2[[#This Row],[Cost item]:[Cost item]]="Metering",
Calc_NetworkF_2[[#This Row],[Cost item]:[Cost item]]&amp;" - "&amp;Calc_NetworkF_2[[#Headers],[Citipower]],
Calc_NetworkF_2[[#This Row],[Cost item]:[Cost item]]&amp;" charge - "&amp;IF(Calc_NetworkF_2[[#This Row],[Customer type]:[Customer type]]="Residential","RES - ","SME - ")&amp;Calc_NetworkF_2[[#Headers],[Citipower]]),Input_ForRateCalc[[Cost item]:[Cost item]],0),MATCH($D$254,Inputs!$H$8:$Q$8,0)),"-")</f>
        <v>90.009</v>
      </c>
      <c r="I444" s="344" cm="1">
        <f t="array" ref="I444">IFERROR(
IFERROR(INDEX(Calc_CPI_2[[CPI uplift factor]:[CPI uplift factor]],MATCH($C444,Calc_CPI_2[[Cost item]:[Cost item]],0),1),0)+
INDEX(Input_ForRateCalc[[F-PreviousVDO_InputDate]:[F-CurrentVDO_Input]],MATCH(
IF(Calc_NetworkF_2[[#This Row],[Cost item]:[Cost item]]="Metering",
Calc_NetworkF_2[[#This Row],[Cost item]:[Cost item]]&amp;" - "&amp;Calc_NetworkF_2[[#Headers],[Jemena]],
Calc_NetworkF_2[[#This Row],[Cost item]:[Cost item]]&amp;" charge - "&amp;IF(Calc_NetworkF_2[[#This Row],[Customer type]:[Customer type]]="Residential","RES - ","SME - ")&amp;Calc_NetworkF_2[[#Headers],[Jemena]]),Input_ForRateCalc[[Cost item]:[Cost item]],0),MATCH($D$254,Inputs!$H$8:$Q$8,0)),"-")</f>
        <v>82.195999999999998</v>
      </c>
      <c r="J444" s="344" cm="1">
        <f t="array" ref="J444">IFERROR(
IFERROR(INDEX(Calc_CPI_2[[CPI uplift factor]:[CPI uplift factor]],MATCH($C444,Calc_CPI_2[[Cost item]:[Cost item]],0),1),0)+
INDEX(Input_ForRateCalc[[F-PreviousVDO_InputDate]:[F-CurrentVDO_Input]],MATCH(
IF(Calc_NetworkF_2[[#This Row],[Cost item]:[Cost item]]="Metering",
Calc_NetworkF_2[[#This Row],[Cost item]:[Cost item]]&amp;" - "&amp;Calc_NetworkF_2[[#Headers],[Powercor]],
Calc_NetworkF_2[[#This Row],[Cost item]:[Cost item]]&amp;" charge - "&amp;IF(Calc_NetworkF_2[[#This Row],[Customer type]:[Customer type]]="Residential","RES - ","SME - ")&amp;Calc_NetworkF_2[[#Headers],[Powercor]]),Input_ForRateCalc[[Cost item]:[Cost item]],0),MATCH($D$254,Inputs!$H$8:$Q$8,0)),"-")</f>
        <v>139.97749999999999</v>
      </c>
      <c r="K444" s="344" cm="1">
        <f t="array" ref="K444">IFERROR(
IFERROR(INDEX(Calc_CPI_2[[CPI uplift factor]:[CPI uplift factor]],MATCH($C444,Calc_CPI_2[[Cost item]:[Cost item]],0),1),0)+
INDEX(Input_ForRateCalc[[F-PreviousVDO_InputDate]:[F-CurrentVDO_Input]],MATCH(
IF(Calc_NetworkF_2[[#This Row],[Cost item]:[Cost item]]="Metering",
Calc_NetworkF_2[[#This Row],[Cost item]:[Cost item]]&amp;" - "&amp;Calc_NetworkF_2[[#Headers],[United Energy]],
Calc_NetworkF_2[[#This Row],[Cost item]:[Cost item]]&amp;" charge - "&amp;IF(Calc_NetworkF_2[[#This Row],[Customer type]:[Customer type]]="Residential","RES - ","SME - ")&amp;Calc_NetworkF_2[[#Headers],[United Energy]]),Input_ForRateCalc[[Cost item]:[Cost item]],0),MATCH($D$254,Inputs!$H$8:$Q$8,0)),"-")</f>
        <v>80.007999999999996</v>
      </c>
    </row>
    <row r="445" spans="2:16" hidden="1" outlineLevel="2" x14ac:dyDescent="0.25">
      <c r="C445" s="23" t="s">
        <v>551</v>
      </c>
      <c r="D445" s="23" t="s">
        <v>108</v>
      </c>
      <c r="E445" s="23" t="s">
        <v>123</v>
      </c>
      <c r="F445" s="23" t="s">
        <v>93</v>
      </c>
      <c r="G445" s="344" cm="1">
        <f t="array" ref="G445">IFERROR(
IFERROR(INDEX(Calc_CPI_2[[CPI uplift factor]:[CPI uplift factor]],MATCH($C445,Calc_CPI_2[[Cost item]:[Cost item]],0),1),0)+
INDEX(Input_ForRateCalc[[F-PreviousVDO_InputDate]:[F-CurrentVDO_Input]],MATCH(
IF(Calc_NetworkF_2[[#This Row],[Cost item]:[Cost item]]="Metering",
Calc_NetworkF_2[[#This Row],[Cost item]:[Cost item]]&amp;" - "&amp;Calc_NetworkF_2[[#Headers],[Ausnet]],
Calc_NetworkF_2[[#This Row],[Cost item]:[Cost item]]&amp;" charge - "&amp;IF(Calc_NetworkF_2[[#This Row],[Customer type]:[Customer type]]="Residential","RES - ","SME - ")&amp;Calc_NetworkF_2[[#Headers],[Ausnet]]),Input_ForRateCalc[[Cost item]:[Cost item]],0),MATCH($D$254,Inputs!$H$8:$Q$8,0)),"-")</f>
        <v>111.11</v>
      </c>
      <c r="H445" s="344" cm="1">
        <f t="array" ref="H445">IFERROR(
IFERROR(INDEX(Calc_CPI_2[[CPI uplift factor]:[CPI uplift factor]],MATCH($C445,Calc_CPI_2[[Cost item]:[Cost item]],0),1),0)+
INDEX(Input_ForRateCalc[[F-PreviousVDO_InputDate]:[F-CurrentVDO_Input]],MATCH(
IF(Calc_NetworkF_2[[#This Row],[Cost item]:[Cost item]]="Metering",
Calc_NetworkF_2[[#This Row],[Cost item]:[Cost item]]&amp;" - "&amp;Calc_NetworkF_2[[#Headers],[Citipower]],
Calc_NetworkF_2[[#This Row],[Cost item]:[Cost item]]&amp;" charge - "&amp;IF(Calc_NetworkF_2[[#This Row],[Customer type]:[Customer type]]="Residential","RES - ","SME - ")&amp;Calc_NetworkF_2[[#Headers],[Citipower]]),Input_ForRateCalc[[Cost item]:[Cost item]],0),MATCH($D$254,Inputs!$H$8:$Q$8,0)),"-")</f>
        <v>160.01599999999999</v>
      </c>
      <c r="I445" s="344" cm="1">
        <f t="array" ref="I445">IFERROR(
IFERROR(INDEX(Calc_CPI_2[[CPI uplift factor]:[CPI uplift factor]],MATCH($C445,Calc_CPI_2[[Cost item]:[Cost item]],0),1),0)+
INDEX(Input_ForRateCalc[[F-PreviousVDO_InputDate]:[F-CurrentVDO_Input]],MATCH(
IF(Calc_NetworkF_2[[#This Row],[Cost item]:[Cost item]]="Metering",
Calc_NetworkF_2[[#This Row],[Cost item]:[Cost item]]&amp;" - "&amp;Calc_NetworkF_2[[#Headers],[Jemena]],
Calc_NetworkF_2[[#This Row],[Cost item]:[Cost item]]&amp;" charge - "&amp;IF(Calc_NetworkF_2[[#This Row],[Customer type]:[Customer type]]="Residential","RES - ","SME - ")&amp;Calc_NetworkF_2[[#Headers],[Jemena]]),Input_ForRateCalc[[Cost item]:[Cost item]],0),MATCH($D$254,Inputs!$H$8:$Q$8,0)),"-")</f>
        <v>242.124</v>
      </c>
      <c r="J445" s="344" cm="1">
        <f t="array" ref="J445">IFERROR(
IFERROR(INDEX(Calc_CPI_2[[CPI uplift factor]:[CPI uplift factor]],MATCH($C445,Calc_CPI_2[[Cost item]:[Cost item]],0),1),0)+
INDEX(Input_ForRateCalc[[F-PreviousVDO_InputDate]:[F-CurrentVDO_Input]],MATCH(
IF(Calc_NetworkF_2[[#This Row],[Cost item]:[Cost item]]="Metering",
Calc_NetworkF_2[[#This Row],[Cost item]:[Cost item]]&amp;" - "&amp;Calc_NetworkF_2[[#Headers],[Powercor]],
Calc_NetworkF_2[[#This Row],[Cost item]:[Cost item]]&amp;" charge - "&amp;IF(Calc_NetworkF_2[[#This Row],[Customer type]:[Customer type]]="Residential","RES - ","SME - ")&amp;Calc_NetworkF_2[[#Headers],[Powercor]]),Input_ForRateCalc[[Cost item]:[Cost item]],0),MATCH($D$254,Inputs!$H$8:$Q$8,0)),"-")</f>
        <v>179.98150000000001</v>
      </c>
      <c r="K445" s="344" cm="1">
        <f t="array" ref="K445">IFERROR(
IFERROR(INDEX(Calc_CPI_2[[CPI uplift factor]:[CPI uplift factor]],MATCH($C445,Calc_CPI_2[[Cost item]:[Cost item]],0),1),0)+
INDEX(Input_ForRateCalc[[F-PreviousVDO_InputDate]:[F-CurrentVDO_Input]],MATCH(
IF(Calc_NetworkF_2[[#This Row],[Cost item]:[Cost item]]="Metering",
Calc_NetworkF_2[[#This Row],[Cost item]:[Cost item]]&amp;" - "&amp;Calc_NetworkF_2[[#Headers],[United Energy]],
Calc_NetworkF_2[[#This Row],[Cost item]:[Cost item]]&amp;" charge - "&amp;IF(Calc_NetworkF_2[[#This Row],[Customer type]:[Customer type]]="Residential","RES - ","SME - ")&amp;Calc_NetworkF_2[[#Headers],[United Energy]]),Input_ForRateCalc[[Cost item]:[Cost item]],0),MATCH($D$254,Inputs!$H$8:$Q$8,0)),"-")</f>
        <v>120.01199999999999</v>
      </c>
    </row>
    <row r="446" spans="2:16" hidden="1" outlineLevel="2" x14ac:dyDescent="0.25">
      <c r="C446" s="44" t="s">
        <v>275</v>
      </c>
      <c r="D446" s="44" t="s">
        <v>108</v>
      </c>
      <c r="E446" s="23" t="s">
        <v>123</v>
      </c>
      <c r="F446" s="23" t="s">
        <v>110</v>
      </c>
      <c r="G446" s="344" cm="1">
        <f t="array" ref="G446">IFERROR(
IFERROR(INDEX(Calc_CPI_2[[CPI uplift factor]:[CPI uplift factor]],MATCH($C446,Calc_CPI_2[[Cost item]:[Cost item]],0),1),0)+
INDEX(Input_ForRateCalc[[F-PreviousVDO_InputDate]:[F-CurrentVDO_Input]],MATCH(
IF(Calc_NetworkF_2[[#This Row],[Cost item]:[Cost item]]="Metering",
Calc_NetworkF_2[[#This Row],[Cost item]:[Cost item]]&amp;" - "&amp;Calc_NetworkF_2[[#Headers],[Ausnet]],
Calc_NetworkF_2[[#This Row],[Cost item]:[Cost item]]&amp;" charge - "&amp;IF(Calc_NetworkF_2[[#This Row],[Customer type]:[Customer type]]="Residential","RES - ","SME - ")&amp;Calc_NetworkF_2[[#Headers],[Ausnet]]),Input_ForRateCalc[[Cost item]:[Cost item]],0),MATCH($D$254,Inputs!$H$8:$Q$8,0)),"-")</f>
        <v>63.7</v>
      </c>
      <c r="H446" s="344" cm="1">
        <f t="array" ref="H446">IFERROR(
IFERROR(INDEX(Calc_CPI_2[[CPI uplift factor]:[CPI uplift factor]],MATCH($C446,Calc_CPI_2[[Cost item]:[Cost item]],0),1),0)+
INDEX(Input_ForRateCalc[[F-PreviousVDO_InputDate]:[F-CurrentVDO_Input]],MATCH(
IF(Calc_NetworkF_2[[#This Row],[Cost item]:[Cost item]]="Metering",
Calc_NetworkF_2[[#This Row],[Cost item]:[Cost item]]&amp;" - "&amp;Calc_NetworkF_2[[#Headers],[Citipower]],
Calc_NetworkF_2[[#This Row],[Cost item]:[Cost item]]&amp;" charge - "&amp;IF(Calc_NetworkF_2[[#This Row],[Customer type]:[Customer type]]="Residential","RES - ","SME - ")&amp;Calc_NetworkF_2[[#Headers],[Citipower]]),Input_ForRateCalc[[Cost item]:[Cost item]],0),MATCH($D$254,Inputs!$H$8:$Q$8,0)),"-")</f>
        <v>59.4</v>
      </c>
      <c r="I446" s="344" cm="1">
        <f t="array" ref="I446">IFERROR(
IFERROR(INDEX(Calc_CPI_2[[CPI uplift factor]:[CPI uplift factor]],MATCH($C446,Calc_CPI_2[[Cost item]:[Cost item]],0),1),0)+
INDEX(Input_ForRateCalc[[F-PreviousVDO_InputDate]:[F-CurrentVDO_Input]],MATCH(
IF(Calc_NetworkF_2[[#This Row],[Cost item]:[Cost item]]="Metering",
Calc_NetworkF_2[[#This Row],[Cost item]:[Cost item]]&amp;" - "&amp;Calc_NetworkF_2[[#Headers],[Jemena]],
Calc_NetworkF_2[[#This Row],[Cost item]:[Cost item]]&amp;" charge - "&amp;IF(Calc_NetworkF_2[[#This Row],[Customer type]:[Customer type]]="Residential","RES - ","SME - ")&amp;Calc_NetworkF_2[[#Headers],[Jemena]]),Input_ForRateCalc[[Cost item]:[Cost item]],0),MATCH($D$254,Inputs!$H$8:$Q$8,0)),"-")</f>
        <v>54.19</v>
      </c>
      <c r="J446" s="344" cm="1">
        <f t="array" ref="J446">IFERROR(
IFERROR(INDEX(Calc_CPI_2[[CPI uplift factor]:[CPI uplift factor]],MATCH($C446,Calc_CPI_2[[Cost item]:[Cost item]],0),1),0)+
INDEX(Input_ForRateCalc[[F-PreviousVDO_InputDate]:[F-CurrentVDO_Input]],MATCH(
IF(Calc_NetworkF_2[[#This Row],[Cost item]:[Cost item]]="Metering",
Calc_NetworkF_2[[#This Row],[Cost item]:[Cost item]]&amp;" - "&amp;Calc_NetworkF_2[[#Headers],[Powercor]],
Calc_NetworkF_2[[#This Row],[Cost item]:[Cost item]]&amp;" charge - "&amp;IF(Calc_NetworkF_2[[#This Row],[Customer type]:[Customer type]]="Residential","RES - ","SME - ")&amp;Calc_NetworkF_2[[#Headers],[Powercor]]),Input_ForRateCalc[[Cost item]:[Cost item]],0),MATCH($D$254,Inputs!$H$8:$Q$8,0)),"-")</f>
        <v>58</v>
      </c>
      <c r="K446" s="344" cm="1">
        <f t="array" ref="K446">IFERROR(
IFERROR(INDEX(Calc_CPI_2[[CPI uplift factor]:[CPI uplift factor]],MATCH($C446,Calc_CPI_2[[Cost item]:[Cost item]],0),1),0)+
INDEX(Input_ForRateCalc[[F-PreviousVDO_InputDate]:[F-CurrentVDO_Input]],MATCH(
IF(Calc_NetworkF_2[[#This Row],[Cost item]:[Cost item]]="Metering",
Calc_NetworkF_2[[#This Row],[Cost item]:[Cost item]]&amp;" - "&amp;Calc_NetworkF_2[[#Headers],[United Energy]],
Calc_NetworkF_2[[#This Row],[Cost item]:[Cost item]]&amp;" charge - "&amp;IF(Calc_NetworkF_2[[#This Row],[Customer type]:[Customer type]]="Residential","RES - ","SME - ")&amp;Calc_NetworkF_2[[#Headers],[United Energy]]),Input_ForRateCalc[[Cost item]:[Cost item]],0),MATCH($D$254,Inputs!$H$8:$Q$8,0)),"-")</f>
        <v>42.92</v>
      </c>
    </row>
    <row r="447" spans="2:16" hidden="1" outlineLevel="2" x14ac:dyDescent="0.25"/>
    <row r="448" spans="2:16" ht="15.75" hidden="1" outlineLevel="2" x14ac:dyDescent="0.25">
      <c r="C448" s="29" t="s">
        <v>298</v>
      </c>
    </row>
    <row r="449" spans="1:14" ht="15.75" hidden="1" outlineLevel="2" x14ac:dyDescent="0.25">
      <c r="C449" s="43" t="s">
        <v>46</v>
      </c>
      <c r="D449" s="43" t="s">
        <v>102</v>
      </c>
      <c r="E449" s="43" t="s">
        <v>103</v>
      </c>
      <c r="F449" s="43" t="s">
        <v>91</v>
      </c>
      <c r="G449" s="60" t="s">
        <v>268</v>
      </c>
      <c r="H449" s="60" t="s">
        <v>269</v>
      </c>
      <c r="I449" s="60" t="s">
        <v>270</v>
      </c>
      <c r="J449" s="60" t="s">
        <v>271</v>
      </c>
      <c r="K449" s="60" t="s">
        <v>272</v>
      </c>
    </row>
    <row r="450" spans="1:14" hidden="1" outlineLevel="2" x14ac:dyDescent="0.25">
      <c r="C450" s="23" t="s">
        <v>221</v>
      </c>
      <c r="D450" s="23" t="s">
        <v>130</v>
      </c>
      <c r="E450" s="23" t="s">
        <v>282</v>
      </c>
      <c r="F450" s="23" t="s">
        <v>92</v>
      </c>
      <c r="G450" s="61" cm="1">
        <f t="array" ref="G450">IFERROR(
(IFERROR(INDEX(Calc_CPI_2[[CPI uplift factor]:[CPI uplift factor]],MATCH($C450,Calc_CPI_2[[Cost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f>
        <v>0.11450300000000001</v>
      </c>
      <c r="H450" s="61" t="str" cm="1">
        <f t="array" ref="H450">IFERROR(
(IFERROR(INDEX(Calc_CPI_2[[CPI uplift factor]:[CPI uplift factor]],MATCH($C450,Calc_CPI_2[[Cost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f>
        <v>-</v>
      </c>
      <c r="I450" s="61" t="str" cm="1">
        <f t="array" ref="I450">IFERROR(
(IFERROR(INDEX(Calc_CPI_2[[CPI uplift factor]:[CPI uplift factor]],MATCH($C450,Calc_CPI_2[[Cost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f>
        <v>-</v>
      </c>
      <c r="J450" s="61" t="str" cm="1">
        <f t="array" ref="J450">IFERROR(
(IFERROR(INDEX(Calc_CPI_2[[CPI uplift factor]:[CPI uplift factor]],MATCH($C450,Calc_CPI_2[[Cost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f>
        <v>-</v>
      </c>
      <c r="K450" s="61" t="str" cm="1">
        <f t="array" ref="K450">IFERROR(
(IFERROR(INDEX(Calc_CPI_2[[CPI uplift factor]:[CPI uplift factor]],MATCH($C450,Calc_CPI_2[[Cost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f>
        <v>-</v>
      </c>
    </row>
    <row r="451" spans="1:14" hidden="1" outlineLevel="2" x14ac:dyDescent="0.25">
      <c r="C451" s="23" t="s">
        <v>228</v>
      </c>
      <c r="D451" s="23" t="s">
        <v>130</v>
      </c>
      <c r="E451" s="23" t="s">
        <v>282</v>
      </c>
      <c r="F451" s="23" t="s">
        <v>92</v>
      </c>
      <c r="G451" s="61" cm="1">
        <f t="array" ref="G451">IFERROR(
(IFERROR(INDEX(Calc_CPI_2[[CPI uplift factor]:[CPI uplift factor]],MATCH($C451,Calc_CPI_2[[Cost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f>
        <v>0.128382</v>
      </c>
      <c r="H451" s="61" t="str" cm="1">
        <f t="array" ref="H451">IFERROR(
(IFERROR(INDEX(Calc_CPI_2[[CPI uplift factor]:[CPI uplift factor]],MATCH($C451,Calc_CPI_2[[Cost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f>
        <v>-</v>
      </c>
      <c r="I451" s="61" t="str" cm="1">
        <f t="array" ref="I451">IFERROR(
(IFERROR(INDEX(Calc_CPI_2[[CPI uplift factor]:[CPI uplift factor]],MATCH($C451,Calc_CPI_2[[Cost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f>
        <v>-</v>
      </c>
      <c r="J451" s="61" t="str" cm="1">
        <f t="array" ref="J451">IFERROR(
(IFERROR(INDEX(Calc_CPI_2[[CPI uplift factor]:[CPI uplift factor]],MATCH($C451,Calc_CPI_2[[Cost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f>
        <v>-</v>
      </c>
      <c r="K451" s="61" t="str" cm="1">
        <f t="array" ref="K451">IFERROR(
(IFERROR(INDEX(Calc_CPI_2[[CPI uplift factor]:[CPI uplift factor]],MATCH($C451,Calc_CPI_2[[Cost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f>
        <v>-</v>
      </c>
    </row>
    <row r="452" spans="1:14" hidden="1" outlineLevel="2" x14ac:dyDescent="0.25">
      <c r="C452" s="23" t="s">
        <v>549</v>
      </c>
      <c r="D452" s="23" t="s">
        <v>130</v>
      </c>
      <c r="E452" s="23" t="s">
        <v>282</v>
      </c>
      <c r="F452" s="23" t="s">
        <v>92</v>
      </c>
      <c r="G452" s="61" t="str" cm="1">
        <f t="array" ref="G452">IFERROR(
(IFERROR(INDEX(Calc_CPI_2[[CPI uplift factor]:[CPI uplift factor]],MATCH($C452,Calc_CPI_2[[Cost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f>
        <v>-</v>
      </c>
      <c r="H452" s="61" cm="1">
        <f t="array" ref="H452">IFERROR(
(IFERROR(INDEX(Calc_CPI_2[[CPI uplift factor]:[CPI uplift factor]],MATCH($C452,Calc_CPI_2[[Cost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f>
        <v>8.0500000000000002E-2</v>
      </c>
      <c r="I452" s="61" cm="1">
        <f t="array" ref="I452">IFERROR(
(IFERROR(INDEX(Calc_CPI_2[[CPI uplift factor]:[CPI uplift factor]],MATCH($C452,Calc_CPI_2[[Cost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f>
        <v>8.6699999999999999E-2</v>
      </c>
      <c r="J452" s="61" cm="1">
        <f t="array" ref="J452">IFERROR(
(IFERROR(INDEX(Calc_CPI_2[[CPI uplift factor]:[CPI uplift factor]],MATCH($C452,Calc_CPI_2[[Cost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f>
        <v>8.1500000000000003E-2</v>
      </c>
      <c r="K452" s="61" cm="1">
        <f t="array" ref="K452">IFERROR(
(IFERROR(INDEX(Calc_CPI_2[[CPI uplift factor]:[CPI uplift factor]],MATCH($C452,Calc_CPI_2[[Cost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f>
        <v>7.9899999999999999E-2</v>
      </c>
    </row>
    <row r="453" spans="1:14" hidden="1" outlineLevel="2" x14ac:dyDescent="0.25">
      <c r="C453" s="23" t="s">
        <v>230</v>
      </c>
      <c r="D453" s="23" t="s">
        <v>130</v>
      </c>
      <c r="E453" s="23" t="s">
        <v>282</v>
      </c>
      <c r="F453" s="23" t="s">
        <v>92</v>
      </c>
      <c r="G453" s="61" cm="1">
        <f t="array" ref="G453">IFERROR(
(IFERROR(INDEX(Calc_CPI_2[[CPI uplift factor]:[CPI uplift factor]],MATCH($C453,Calc_CPI_2[[Cost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f>
        <v>0.20853200000000002</v>
      </c>
      <c r="H453" s="61" cm="1">
        <f t="array" ref="H453">IFERROR(
(IFERROR(INDEX(Calc_CPI_2[[CPI uplift factor]:[CPI uplift factor]],MATCH($C453,Calc_CPI_2[[Cost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f>
        <v>0.15939999999999999</v>
      </c>
      <c r="I453" s="61" cm="1">
        <f t="array" ref="I453">IFERROR(
(IFERROR(INDEX(Calc_CPI_2[[CPI uplift factor]:[CPI uplift factor]],MATCH($C453,Calc_CPI_2[[Cost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f>
        <v>0.13492000000000001</v>
      </c>
      <c r="J453" s="61" cm="1">
        <f t="array" ref="J453">IFERROR(
(IFERROR(INDEX(Calc_CPI_2[[CPI uplift factor]:[CPI uplift factor]],MATCH($C453,Calc_CPI_2[[Cost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f>
        <v>0.15869999999999998</v>
      </c>
      <c r="K453" s="61" cm="1">
        <f t="array" ref="K453">IFERROR(
(IFERROR(INDEX(Calc_CPI_2[[CPI uplift factor]:[CPI uplift factor]],MATCH($C453,Calc_CPI_2[[Cost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f>
        <v>0.15789999999999998</v>
      </c>
    </row>
    <row r="454" spans="1:14" hidden="1" outlineLevel="2" x14ac:dyDescent="0.25">
      <c r="C454" s="23" t="s">
        <v>609</v>
      </c>
      <c r="D454" s="23" t="s">
        <v>130</v>
      </c>
      <c r="E454" s="23" t="s">
        <v>282</v>
      </c>
      <c r="F454" s="23" t="s">
        <v>92</v>
      </c>
      <c r="G454" s="61" cm="1">
        <f t="array" ref="G454">IFERROR(
(IFERROR(INDEX(Calc_CPI_2[[CPI uplift factor]:[CPI uplift factor]],MATCH($C454,Calc_CPI_2[[Cost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f>
        <v>4.3418999999999999E-2</v>
      </c>
      <c r="H454" s="61" cm="1">
        <f t="array" ref="H454">IFERROR(
(IFERROR(INDEX(Calc_CPI_2[[CPI uplift factor]:[CPI uplift factor]],MATCH($C454,Calc_CPI_2[[Cost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f>
        <v>3.9800000000000002E-2</v>
      </c>
      <c r="I454" s="61" cm="1">
        <f t="array" ref="I454">IFERROR(
(IFERROR(INDEX(Calc_CPI_2[[CPI uplift factor]:[CPI uplift factor]],MATCH($C454,Calc_CPI_2[[Cost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f>
        <v>3.8900000000000004E-2</v>
      </c>
      <c r="J454" s="61" cm="1">
        <f t="array" ref="J454">IFERROR(
(IFERROR(INDEX(Calc_CPI_2[[CPI uplift factor]:[CPI uplift factor]],MATCH($C454,Calc_CPI_2[[Cost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f>
        <v>3.9599999999999996E-2</v>
      </c>
      <c r="K454" s="61" cm="1">
        <f t="array" ref="K454">IFERROR(
(IFERROR(INDEX(Calc_CPI_2[[CPI uplift factor]:[CPI uplift factor]],MATCH($C454,Calc_CPI_2[[Cost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f>
        <v>3.95E-2</v>
      </c>
    </row>
    <row r="455" spans="1:14" hidden="1" outlineLevel="2" x14ac:dyDescent="0.25">
      <c r="C455" s="23" t="s">
        <v>287</v>
      </c>
      <c r="D455" s="23" t="s">
        <v>130</v>
      </c>
      <c r="E455" s="23" t="s">
        <v>282</v>
      </c>
      <c r="F455" s="23" t="s">
        <v>92</v>
      </c>
      <c r="G455" s="61" cm="1">
        <f t="array" ref="G455">IFERROR(
(IFERROR(INDEX(Calc_CPI_2[[CPI uplift factor]:[CPI uplift factor]],MATCH($C455,Calc_CPI_2[[Cost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f>
        <v>4.2622999999999994E-2</v>
      </c>
      <c r="H455" s="61" cm="1">
        <f t="array" ref="H455">IFERROR(
(IFERROR(INDEX(Calc_CPI_2[[CPI uplift factor]:[CPI uplift factor]],MATCH($C455,Calc_CPI_2[[Cost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f>
        <v>2.4700000000000003E-2</v>
      </c>
      <c r="I455" s="61" cm="1">
        <f t="array" ref="I455">IFERROR(
(IFERROR(INDEX(Calc_CPI_2[[CPI uplift factor]:[CPI uplift factor]],MATCH($C455,Calc_CPI_2[[Cost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f>
        <v>3.5990000000000001E-2</v>
      </c>
      <c r="J455" s="61" cm="1">
        <f t="array" ref="J455">IFERROR(
(IFERROR(INDEX(Calc_CPI_2[[CPI uplift factor]:[CPI uplift factor]],MATCH($C455,Calc_CPI_2[[Cost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f>
        <v>2.3900000000000001E-2</v>
      </c>
      <c r="K455" s="61" cm="1">
        <f t="array" ref="K455">IFERROR(
(IFERROR(INDEX(Calc_CPI_2[[CPI uplift factor]:[CPI uplift factor]],MATCH($C455,Calc_CPI_2[[Cost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f>
        <v>2.1700000000000001E-2</v>
      </c>
    </row>
    <row r="456" spans="1:14" hidden="1" outlineLevel="2" x14ac:dyDescent="0.25">
      <c r="C456" s="23" t="s">
        <v>221</v>
      </c>
      <c r="D456" s="23" t="s">
        <v>130</v>
      </c>
      <c r="E456" s="23" t="s">
        <v>282</v>
      </c>
      <c r="F456" s="23" t="s">
        <v>93</v>
      </c>
      <c r="G456" s="61" cm="1">
        <f t="array" ref="G456">IFERROR(
(IFERROR(INDEX(Calc_CPI_2[[CPI uplift factor]:[CPI uplift factor]],MATCH($C456,Calc_CPI_2[[Cost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f>
        <v>0.155386</v>
      </c>
      <c r="H456" s="61" t="str" cm="1">
        <f t="array" ref="H456">IFERROR(
(IFERROR(INDEX(Calc_CPI_2[[CPI uplift factor]:[CPI uplift factor]],MATCH($C456,Calc_CPI_2[[Cost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f>
        <v>-</v>
      </c>
      <c r="I456" s="61" t="str" cm="1">
        <f t="array" ref="I456">IFERROR(
(IFERROR(INDEX(Calc_CPI_2[[CPI uplift factor]:[CPI uplift factor]],MATCH($C456,Calc_CPI_2[[Cost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f>
        <v>-</v>
      </c>
      <c r="J456" s="61" t="str" cm="1">
        <f t="array" ref="J456">IFERROR(
(IFERROR(INDEX(Calc_CPI_2[[CPI uplift factor]:[CPI uplift factor]],MATCH($C456,Calc_CPI_2[[Cost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f>
        <v>-</v>
      </c>
      <c r="K456" s="61" t="str" cm="1">
        <f t="array" ref="K456">IFERROR(
(IFERROR(INDEX(Calc_CPI_2[[CPI uplift factor]:[CPI uplift factor]],MATCH($C456,Calc_CPI_2[[Cost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f>
        <v>-</v>
      </c>
    </row>
    <row r="457" spans="1:14" hidden="1" outlineLevel="2" x14ac:dyDescent="0.25">
      <c r="C457" s="23" t="s">
        <v>228</v>
      </c>
      <c r="D457" s="23" t="s">
        <v>130</v>
      </c>
      <c r="E457" s="23" t="s">
        <v>282</v>
      </c>
      <c r="F457" s="23" t="s">
        <v>93</v>
      </c>
      <c r="G457" s="61" cm="1">
        <f t="array" ref="G457">IFERROR(
(IFERROR(INDEX(Calc_CPI_2[[CPI uplift factor]:[CPI uplift factor]],MATCH($C457,Calc_CPI_2[[Cost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f>
        <v>0.182667</v>
      </c>
      <c r="H457" s="61" t="str" cm="1">
        <f t="array" ref="H457">IFERROR(
(IFERROR(INDEX(Calc_CPI_2[[CPI uplift factor]:[CPI uplift factor]],MATCH($C457,Calc_CPI_2[[Cost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f>
        <v>-</v>
      </c>
      <c r="I457" s="61" t="str" cm="1">
        <f t="array" ref="I457">IFERROR(
(IFERROR(INDEX(Calc_CPI_2[[CPI uplift factor]:[CPI uplift factor]],MATCH($C457,Calc_CPI_2[[Cost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f>
        <v>-</v>
      </c>
      <c r="J457" s="61" t="str" cm="1">
        <f t="array" ref="J457">IFERROR(
(IFERROR(INDEX(Calc_CPI_2[[CPI uplift factor]:[CPI uplift factor]],MATCH($C457,Calc_CPI_2[[Cost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f>
        <v>-</v>
      </c>
      <c r="K457" s="61" t="str" cm="1">
        <f t="array" ref="K457">IFERROR(
(IFERROR(INDEX(Calc_CPI_2[[CPI uplift factor]:[CPI uplift factor]],MATCH($C457,Calc_CPI_2[[Cost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f>
        <v>-</v>
      </c>
    </row>
    <row r="458" spans="1:14" ht="15.75" hidden="1" outlineLevel="2" collapsed="1" x14ac:dyDescent="0.25">
      <c r="A458" s="1" t="s">
        <v>23</v>
      </c>
      <c r="C458" s="23" t="s">
        <v>549</v>
      </c>
      <c r="D458" s="23" t="s">
        <v>130</v>
      </c>
      <c r="E458" s="23" t="s">
        <v>282</v>
      </c>
      <c r="F458" s="23" t="s">
        <v>93</v>
      </c>
      <c r="G458" s="61" t="str" cm="1">
        <f t="array" ref="G458">IFERROR(
(IFERROR(INDEX(Calc_CPI_2[[CPI uplift factor]:[CPI uplift factor]],MATCH($C458,Calc_CPI_2[[Cost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f>
        <v>-</v>
      </c>
      <c r="H458" s="61" cm="1">
        <f t="array" ref="H458">IFERROR(
(IFERROR(INDEX(Calc_CPI_2[[CPI uplift factor]:[CPI uplift factor]],MATCH($C458,Calc_CPI_2[[Cost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f>
        <v>8.2100000000000006E-2</v>
      </c>
      <c r="I458" s="61" cm="1">
        <f t="array" ref="I458">IFERROR(
(IFERROR(INDEX(Calc_CPI_2[[CPI uplift factor]:[CPI uplift factor]],MATCH($C458,Calc_CPI_2[[Cost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f>
        <v>0.10973000000000001</v>
      </c>
      <c r="J458" s="61" cm="1">
        <f t="array" ref="J458">IFERROR(
(IFERROR(INDEX(Calc_CPI_2[[CPI uplift factor]:[CPI uplift factor]],MATCH($C458,Calc_CPI_2[[Cost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f>
        <v>9.2899999999999996E-2</v>
      </c>
      <c r="K458" s="61" cm="1">
        <f t="array" ref="K458">IFERROR(
(IFERROR(INDEX(Calc_CPI_2[[CPI uplift factor]:[CPI uplift factor]],MATCH($C458,Calc_CPI_2[[Cost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f>
        <v>8.7899999999999992E-2</v>
      </c>
    </row>
    <row r="459" spans="1:14" hidden="1" outlineLevel="2" x14ac:dyDescent="0.25">
      <c r="C459" s="23" t="s">
        <v>230</v>
      </c>
      <c r="D459" s="23" t="s">
        <v>130</v>
      </c>
      <c r="E459" s="23" t="s">
        <v>282</v>
      </c>
      <c r="F459" s="23" t="s">
        <v>93</v>
      </c>
      <c r="G459" s="61" cm="1">
        <f t="array" ref="G459">IFERROR(
(IFERROR(INDEX(Calc_CPI_2[[CPI uplift factor]:[CPI uplift factor]],MATCH($C459,Calc_CPI_2[[Cost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f>
        <v>0.17508700000000002</v>
      </c>
      <c r="H459" s="61" cm="1">
        <f t="array" ref="H459">IFERROR(
(IFERROR(INDEX(Calc_CPI_2[[CPI uplift factor]:[CPI uplift factor]],MATCH($C459,Calc_CPI_2[[Cost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f>
        <v>0.13019999999999998</v>
      </c>
      <c r="I459" s="61" cm="1">
        <f t="array" ref="I459">IFERROR(
(IFERROR(INDEX(Calc_CPI_2[[CPI uplift factor]:[CPI uplift factor]],MATCH($C459,Calc_CPI_2[[Cost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f>
        <v>0.14330999999999999</v>
      </c>
      <c r="J459" s="61" cm="1">
        <f t="array" ref="J459">IFERROR(
(IFERROR(INDEX(Calc_CPI_2[[CPI uplift factor]:[CPI uplift factor]],MATCH($C459,Calc_CPI_2[[Cost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f>
        <v>0.14749999999999999</v>
      </c>
      <c r="K459" s="61" cm="1">
        <f t="array" ref="K459">IFERROR(
(IFERROR(INDEX(Calc_CPI_2[[CPI uplift factor]:[CPI uplift factor]],MATCH($C459,Calc_CPI_2[[Cost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f>
        <v>0.1399</v>
      </c>
    </row>
    <row r="460" spans="1:14" hidden="1" outlineLevel="2" x14ac:dyDescent="0.25">
      <c r="C460" s="23" t="s">
        <v>609</v>
      </c>
      <c r="D460" s="44" t="s">
        <v>130</v>
      </c>
      <c r="E460" s="23" t="s">
        <v>282</v>
      </c>
      <c r="F460" s="23" t="s">
        <v>93</v>
      </c>
      <c r="G460" s="61" cm="1">
        <f t="array" ref="G460">IFERROR(
(IFERROR(INDEX(Calc_CPI_2[[CPI uplift factor]:[CPI uplift factor]],MATCH($C460,Calc_CPI_2[[Cost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")&amp;Calc_NetworkV_2[[#Headers],[Ausnet]],Input_ForRateCalc[[Cost item]:[Cost item]],0),
MATCH($D$254,Inputs!$H$8:$Q$8,0)))/100,"-")</f>
        <v>4.2655999999999999E-2</v>
      </c>
      <c r="H460" s="61" cm="1">
        <f t="array" ref="H460">IFERROR(
(IFERROR(INDEX(Calc_CPI_2[[CPI uplift factor]:[CPI uplift factor]],MATCH($C460,Calc_CPI_2[[Cost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")&amp;Calc_NetworkV_2[[#Headers],[Citipower]],Input_ForRateCalc[[Cost item]:[Cost item]],0),
MATCH($D$254,Inputs!$H$8:$Q$8,0)))/100,"-")</f>
        <v>2.8900000000000002E-2</v>
      </c>
      <c r="I460" s="61" cm="1">
        <f t="array" ref="I460">IFERROR(
(IFERROR(INDEX(Calc_CPI_2[[CPI uplift factor]:[CPI uplift factor]],MATCH($C460,Calc_CPI_2[[Cost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")&amp;Calc_NetworkV_2[[#Headers],[Jemena]],Input_ForRateCalc[[Cost item]:[Cost item]],0),
MATCH($D$254,Inputs!$H$8:$Q$8,0)))/100,"-")</f>
        <v>3.0520000000000002E-2</v>
      </c>
      <c r="J460" s="61" cm="1">
        <f t="array" ref="J460">IFERROR(
(IFERROR(INDEX(Calc_CPI_2[[CPI uplift factor]:[CPI uplift factor]],MATCH($C460,Calc_CPI_2[[Cost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")&amp;Calc_NetworkV_2[[#Headers],[Powercor]],Input_ForRateCalc[[Cost item]:[Cost item]],0),
MATCH($D$254,Inputs!$H$8:$Q$8,0)))/100,"-")</f>
        <v>3.2799999999999996E-2</v>
      </c>
      <c r="K460" s="61" cm="1">
        <f t="array" ref="K460">IFERROR(
(IFERROR(INDEX(Calc_CPI_2[[CPI uplift factor]:[CPI uplift factor]],MATCH($C460,Calc_CPI_2[[Cost item]:[Cost item]],0),1),0)+
INDEX(Input_ForRateCalc[[F-PreviousVDO_InputDate]:[F-CurrentVDO_Input]],
MATCH(IF(OR(Calc_NetworkV_2[[#This Row],[Cost item]:[Cost item]]="Single rate",Calc_NetworkV_2[[#This Row],[Cost item]:[Cost item]]="Block 1",Calc_NetworkV_2[[#This Row],[Cost item]:[Cost item]]="Balance"),"Anytime - ",IF(Calc_NetworkV_2[[#This Row],[Cost item]:[Cost item]]&lt;&gt;"Controlled load","TOU - ",""))&amp;Calc_NetworkV_2[[#This Row],[Cost item]:[Cost item]]&amp;" - "&amp;IF(Calc_NetworkV_2[[#This Row],[Customer type]:[Customer type]]="Residential","RES - ","SME - ")&amp;Calc_NetworkV_2[[#Headers],[United Energy]],Input_ForRateCalc[[Cost item]:[Cost item]],0),
MATCH($D$254,Inputs!$H$8:$Q$8,0)))/100,"-")</f>
        <v>3.1099999999999999E-2</v>
      </c>
    </row>
    <row r="461" spans="1:14" hidden="1" outlineLevel="1" x14ac:dyDescent="0.25">
      <c r="N461" s="87"/>
    </row>
    <row r="462" spans="1:14" ht="16.5" hidden="1" outlineLevel="1" collapsed="1" thickBot="1" x14ac:dyDescent="0.3">
      <c r="B462" s="9">
        <f ca="1">MAX(B$3:B461)+0.1</f>
        <v>13.299999999999995</v>
      </c>
      <c r="C462" s="28" t="s">
        <v>128</v>
      </c>
      <c r="D462" s="28"/>
      <c r="E462" s="28"/>
      <c r="F462" s="28"/>
      <c r="G462" s="28"/>
      <c r="H462" s="28"/>
      <c r="I462" s="28"/>
      <c r="J462" s="28"/>
      <c r="K462" s="28"/>
    </row>
    <row r="463" spans="1:14" hidden="1" outlineLevel="2" x14ac:dyDescent="0.25"/>
    <row r="464" spans="1:14" ht="15.75" hidden="1" outlineLevel="2" x14ac:dyDescent="0.25">
      <c r="C464" s="29" t="s">
        <v>299</v>
      </c>
    </row>
    <row r="465" spans="1:19" ht="15.75" hidden="1" outlineLevel="2" x14ac:dyDescent="0.25">
      <c r="C465" s="43" t="s">
        <v>46</v>
      </c>
      <c r="D465" s="43" t="s">
        <v>102</v>
      </c>
      <c r="E465" s="43" t="s">
        <v>103</v>
      </c>
      <c r="F465" s="43" t="s">
        <v>91</v>
      </c>
      <c r="G465" s="60" t="s">
        <v>268</v>
      </c>
      <c r="H465" s="60" t="s">
        <v>269</v>
      </c>
      <c r="I465" s="60" t="s">
        <v>270</v>
      </c>
      <c r="J465" s="60" t="s">
        <v>271</v>
      </c>
      <c r="K465" s="60" t="s">
        <v>272</v>
      </c>
    </row>
    <row r="466" spans="1:19" hidden="1" outlineLevel="2" x14ac:dyDescent="0.25">
      <c r="C466" s="23" t="s">
        <v>300</v>
      </c>
      <c r="D466" s="23" t="s">
        <v>130</v>
      </c>
      <c r="E466" s="23" t="s">
        <v>282</v>
      </c>
      <c r="F466" s="23" t="s">
        <v>92</v>
      </c>
      <c r="G466" s="61" cm="1">
        <f t="array" ref="G466">IFERROR(
(IFERROR(INDEX(Calc_CPI_2[[CPI uplift factor]:[CPI uplift factor]],MATCH($C466,Calc_CPI_2[[Cost item]:[Cost item]],0),1),0)+
INDEX(Input_ForRateCalc[[F-PreviousVDO_InputDate]:[F-CurrentVDO_Input]],MATCH(Calc_WholesaleRES_2[[#This Row],[Cost item]:[Cost item]]&amp;" - "&amp;Calc_WholesaleRES_2[[#Headers],[Ausnet]],Input_ForRateCalc[[Cost item]:[Cost item]],0),MATCH($D$254,Inputs!$H$8:$Q$8,0)))/1000,"-")</f>
        <v>7.1419999999999997E-2</v>
      </c>
      <c r="H466" s="61" cm="1">
        <f t="array" ref="H466">IFERROR(
(IFERROR(INDEX(Calc_CPI_2[[CPI uplift factor]:[CPI uplift factor]],MATCH($C466,Calc_CPI_2[[Cost item]:[Cost item]],0),1),0)+
INDEX(Input_ForRateCalc[[F-PreviousVDO_InputDate]:[F-CurrentVDO_Input]],MATCH(Calc_WholesaleRES_2[[#This Row],[Cost item]:[Cost item]]&amp;" - "&amp;Calc_WholesaleRES_2[[#Headers],[Citipower]],Input_ForRateCalc[[Cost item]:[Cost item]],0),MATCH($D$254,Inputs!$H$8:$Q$8,0)))/1000,"-")</f>
        <v>6.7799999999999999E-2</v>
      </c>
      <c r="I466" s="61" cm="1">
        <f t="array" ref="I466">IFERROR(
(IFERROR(INDEX(Calc_CPI_2[[CPI uplift factor]:[CPI uplift factor]],MATCH($C466,Calc_CPI_2[[Cost item]:[Cost item]],0),1),0)+
INDEX(Input_ForRateCalc[[F-PreviousVDO_InputDate]:[F-CurrentVDO_Input]],MATCH(Calc_WholesaleRES_2[[#This Row],[Cost item]:[Cost item]]&amp;" - "&amp;Calc_WholesaleRES_2[[#Headers],[Jemena]],Input_ForRateCalc[[Cost item]:[Cost item]],0),MATCH($D$254,Inputs!$H$8:$Q$8,0)))/1000,"-")</f>
        <v>7.3680000000000009E-2</v>
      </c>
      <c r="J466" s="61" cm="1">
        <f t="array" ref="J466">IFERROR(
(IFERROR(INDEX(Calc_CPI_2[[CPI uplift factor]:[CPI uplift factor]],MATCH($C466,Calc_CPI_2[[Cost item]:[Cost item]],0),1),0)+
INDEX(Input_ForRateCalc[[F-PreviousVDO_InputDate]:[F-CurrentVDO_Input]],MATCH(Calc_WholesaleRES_2[[#This Row],[Cost item]:[Cost item]]&amp;" - "&amp;Calc_WholesaleRES_2[[#Headers],[Powercor]],Input_ForRateCalc[[Cost item]:[Cost item]],0),MATCH($D$254,Inputs!$H$8:$Q$8,0)))/1000,"-")</f>
        <v>6.9779999999999995E-2</v>
      </c>
      <c r="K466" s="61" cm="1">
        <f t="array" ref="K466">IFERROR(
(IFERROR(INDEX(Calc_CPI_2[[CPI uplift factor]:[CPI uplift factor]],MATCH($C466,Calc_CPI_2[[Cost item]:[Cost item]],0),1),0)+
INDEX(Input_ForRateCalc[[F-PreviousVDO_InputDate]:[F-CurrentVDO_Input]],MATCH(Calc_WholesaleRES_2[[#This Row],[Cost item]:[Cost item]]&amp;" - "&amp;Calc_WholesaleRES_2[[#Headers],[United Energy]],Input_ForRateCalc[[Cost item]:[Cost item]],0),MATCH($D$254,Inputs!$H$8:$Q$8,0)))/1000,"-")</f>
        <v>7.4189999999999992E-2</v>
      </c>
      <c r="N466" s="78"/>
      <c r="O466" s="78"/>
      <c r="P466" s="78"/>
      <c r="Q466" s="78"/>
      <c r="R466" s="78"/>
      <c r="S466" s="78"/>
    </row>
    <row r="467" spans="1:19" hidden="1" outlineLevel="2" x14ac:dyDescent="0.25">
      <c r="C467" s="23" t="s">
        <v>301</v>
      </c>
      <c r="D467" s="23" t="s">
        <v>130</v>
      </c>
      <c r="E467" s="23" t="s">
        <v>282</v>
      </c>
      <c r="F467" s="23" t="s">
        <v>92</v>
      </c>
      <c r="G467" s="61" cm="1">
        <f t="array" ref="G467">IFERROR(
(IFERROR(INDEX(Calc_CPI_2[[CPI uplift factor]:[CPI uplift factor]],MATCH($C467,Calc_CPI_2[[Cost item]:[Cost item]],0),1),0)+
INDEX(Input_ForRateCalc[[F-PreviousVDO_InputDate]:[F-CurrentVDO_Input]],MATCH(Calc_WholesaleRES_2[[#This Row],[Cost item]:[Cost item]]&amp;" - "&amp;Calc_WholesaleRES_2[[#Headers],[Ausnet]],Input_ForRateCalc[[Cost item]:[Cost item]],0),MATCH($D$254,Inputs!$H$8:$Q$8,0)))/1000,"-")</f>
        <v>2.7E-4</v>
      </c>
      <c r="H467" s="61" cm="1">
        <f t="array" ref="H467">IFERROR(
(IFERROR(INDEX(Calc_CPI_2[[CPI uplift factor]:[CPI uplift factor]],MATCH($C467,Calc_CPI_2[[Cost item]:[Cost item]],0),1),0)+
INDEX(Input_ForRateCalc[[F-PreviousVDO_InputDate]:[F-CurrentVDO_Input]],MATCH(Calc_WholesaleRES_2[[#This Row],[Cost item]:[Cost item]]&amp;" - "&amp;Calc_WholesaleRES_2[[#Headers],[Citipower]],Input_ForRateCalc[[Cost item]:[Cost item]],0),MATCH($D$254,Inputs!$H$8:$Q$8,0)))/1000,"-")</f>
        <v>2.8000000000000003E-4</v>
      </c>
      <c r="I467" s="61" cm="1">
        <f t="array" ref="I467">IFERROR(
(IFERROR(INDEX(Calc_CPI_2[[CPI uplift factor]:[CPI uplift factor]],MATCH($C467,Calc_CPI_2[[Cost item]:[Cost item]],0),1),0)+
INDEX(Input_ForRateCalc[[F-PreviousVDO_InputDate]:[F-CurrentVDO_Input]],MATCH(Calc_WholesaleRES_2[[#This Row],[Cost item]:[Cost item]]&amp;" - "&amp;Calc_WholesaleRES_2[[#Headers],[Jemena]],Input_ForRateCalc[[Cost item]:[Cost item]],0),MATCH($D$254,Inputs!$H$8:$Q$8,0)))/1000,"-")</f>
        <v>2.7E-4</v>
      </c>
      <c r="J467" s="61" cm="1">
        <f t="array" ref="J467">IFERROR(
(IFERROR(INDEX(Calc_CPI_2[[CPI uplift factor]:[CPI uplift factor]],MATCH($C467,Calc_CPI_2[[Cost item]:[Cost item]],0),1),0)+
INDEX(Input_ForRateCalc[[F-PreviousVDO_InputDate]:[F-CurrentVDO_Input]],MATCH(Calc_WholesaleRES_2[[#This Row],[Cost item]:[Cost item]]&amp;" - "&amp;Calc_WholesaleRES_2[[#Headers],[Powercor]],Input_ForRateCalc[[Cost item]:[Cost item]],0),MATCH($D$254,Inputs!$H$8:$Q$8,0)))/1000,"-")</f>
        <v>2.8000000000000003E-4</v>
      </c>
      <c r="K467" s="61" cm="1">
        <f t="array" ref="K467">IFERROR(
(IFERROR(INDEX(Calc_CPI_2[[CPI uplift factor]:[CPI uplift factor]],MATCH($C467,Calc_CPI_2[[Cost item]:[Cost item]],0),1),0)+
INDEX(Input_ForRateCalc[[F-PreviousVDO_InputDate]:[F-CurrentVDO_Input]],MATCH(Calc_WholesaleRES_2[[#This Row],[Cost item]:[Cost item]]&amp;" - "&amp;Calc_WholesaleRES_2[[#Headers],[United Energy]],Input_ForRateCalc[[Cost item]:[Cost item]],0),MATCH($D$254,Inputs!$H$8:$Q$8,0)))/1000,"-")</f>
        <v>2.9999999999999997E-4</v>
      </c>
    </row>
    <row r="468" spans="1:19" hidden="1" outlineLevel="2" x14ac:dyDescent="0.25">
      <c r="C468" s="44" t="s">
        <v>283</v>
      </c>
      <c r="D468" s="44" t="s">
        <v>130</v>
      </c>
      <c r="E468" s="44" t="s">
        <v>282</v>
      </c>
      <c r="F468" s="23" t="s">
        <v>92</v>
      </c>
      <c r="G468" s="72">
        <f>IFERROR(G466+G467,"-")</f>
        <v>7.1690000000000004E-2</v>
      </c>
      <c r="H468" s="72">
        <f t="shared" ref="H468:K468" si="104">IFERROR(H466+H467,"-")</f>
        <v>6.8080000000000002E-2</v>
      </c>
      <c r="I468" s="72">
        <f t="shared" si="104"/>
        <v>7.3950000000000016E-2</v>
      </c>
      <c r="J468" s="72">
        <f t="shared" si="104"/>
        <v>7.0059999999999997E-2</v>
      </c>
      <c r="K468" s="72">
        <f t="shared" si="104"/>
        <v>7.4489999999999987E-2</v>
      </c>
    </row>
    <row r="469" spans="1:19" hidden="1" outlineLevel="2" x14ac:dyDescent="0.25"/>
    <row r="470" spans="1:19" ht="15.75" hidden="1" outlineLevel="2" x14ac:dyDescent="0.25">
      <c r="C470" s="29" t="s">
        <v>302</v>
      </c>
    </row>
    <row r="471" spans="1:19" ht="15.75" hidden="1" outlineLevel="2" x14ac:dyDescent="0.25">
      <c r="C471" s="43" t="s">
        <v>46</v>
      </c>
      <c r="D471" s="43" t="s">
        <v>102</v>
      </c>
      <c r="E471" s="43" t="s">
        <v>103</v>
      </c>
      <c r="F471" s="43" t="s">
        <v>91</v>
      </c>
      <c r="G471" s="60" t="s">
        <v>268</v>
      </c>
      <c r="H471" s="60" t="s">
        <v>269</v>
      </c>
      <c r="I471" s="60" t="s">
        <v>270</v>
      </c>
      <c r="J471" s="60" t="s">
        <v>271</v>
      </c>
      <c r="K471" s="60" t="s">
        <v>272</v>
      </c>
    </row>
    <row r="472" spans="1:19" ht="15.75" hidden="1" outlineLevel="2" collapsed="1" x14ac:dyDescent="0.25">
      <c r="A472" s="1" t="s">
        <v>23</v>
      </c>
      <c r="C472" s="23" t="s">
        <v>303</v>
      </c>
      <c r="D472" s="23" t="s">
        <v>130</v>
      </c>
      <c r="E472" s="23" t="s">
        <v>282</v>
      </c>
      <c r="F472" s="23" t="s">
        <v>93</v>
      </c>
      <c r="G472" s="61" cm="1">
        <f t="array" ref="G472">IFERROR(
(IFERROR(INDEX(Calc_CPI_2[[CPI uplift factor]:[CPI uplift factor]],MATCH($C472,Calc_CPI_2[[Cost item]:[Cost item]],0),1),0)+
INDEX(Input_ForRateCalc[[F-PreviousVDO_InputDate]:[F-CurrentVDO_Input]],MATCH(Calc_WholesaleSME_2[[#This Row],[Cost item]:[Cost item]]&amp;" - "&amp;Calc_WholesaleSME_2[[#Headers],[Ausnet]],Input_ForRateCalc[[Cost item]:[Cost item]],0),MATCH($D$254,Inputs!$H$8:$Q$8,0)))/1000,"-")</f>
        <v>6.2759999999999996E-2</v>
      </c>
      <c r="H472" s="61" cm="1">
        <f t="array" ref="H472">IFERROR(
(IFERROR(INDEX(Calc_CPI_2[[CPI uplift factor]:[CPI uplift factor]],MATCH($C472,Calc_CPI_2[[Cost item]:[Cost item]],0),1),0)+
INDEX(Input_ForRateCalc[[F-PreviousVDO_InputDate]:[F-CurrentVDO_Input]],MATCH(Calc_WholesaleSME_2[[#This Row],[Cost item]:[Cost item]]&amp;" - "&amp;Calc_WholesaleSME_2[[#Headers],[Citipower]],Input_ForRateCalc[[Cost item]:[Cost item]],0),MATCH($D$254,Inputs!$H$8:$Q$8,0)))/1000,"-")</f>
        <v>6.3890000000000002E-2</v>
      </c>
      <c r="I472" s="61" cm="1">
        <f t="array" ref="I472">IFERROR(
(IFERROR(INDEX(Calc_CPI_2[[CPI uplift factor]:[CPI uplift factor]],MATCH($C472,Calc_CPI_2[[Cost item]:[Cost item]],0),1),0)+
INDEX(Input_ForRateCalc[[F-PreviousVDO_InputDate]:[F-CurrentVDO_Input]],MATCH(Calc_WholesaleSME_2[[#This Row],[Cost item]:[Cost item]]&amp;" - "&amp;Calc_WholesaleSME_2[[#Headers],[Jemena]],Input_ForRateCalc[[Cost item]:[Cost item]],0),MATCH($D$254,Inputs!$H$8:$Q$8,0)))/1000,"-")</f>
        <v>6.3960000000000003E-2</v>
      </c>
      <c r="J472" s="61" cm="1">
        <f t="array" ref="J472">IFERROR(
(IFERROR(INDEX(Calc_CPI_2[[CPI uplift factor]:[CPI uplift factor]],MATCH($C472,Calc_CPI_2[[Cost item]:[Cost item]],0),1),0)+
INDEX(Input_ForRateCalc[[F-PreviousVDO_InputDate]:[F-CurrentVDO_Input]],MATCH(Calc_WholesaleSME_2[[#This Row],[Cost item]:[Cost item]]&amp;" - "&amp;Calc_WholesaleSME_2[[#Headers],[Powercor]],Input_ForRateCalc[[Cost item]:[Cost item]],0),MATCH($D$254,Inputs!$H$8:$Q$8,0)))/1000,"-")</f>
        <v>6.105E-2</v>
      </c>
      <c r="K472" s="61" cm="1">
        <f t="array" ref="K472">IFERROR(
(IFERROR(INDEX(Calc_CPI_2[[CPI uplift factor]:[CPI uplift factor]],MATCH($C472,Calc_CPI_2[[Cost item]:[Cost item]],0),1),0)+
INDEX(Input_ForRateCalc[[F-PreviousVDO_InputDate]:[F-CurrentVDO_Input]],MATCH(Calc_WholesaleSME_2[[#This Row],[Cost item]:[Cost item]]&amp;" - "&amp;Calc_WholesaleSME_2[[#Headers],[United Energy]],Input_ForRateCalc[[Cost item]:[Cost item]],0),MATCH($D$254,Inputs!$H$8:$Q$8,0)))/1000,"-")</f>
        <v>6.522E-2</v>
      </c>
      <c r="N472" s="78"/>
      <c r="O472" s="78"/>
      <c r="P472" s="78"/>
      <c r="Q472" s="78"/>
      <c r="R472" s="78"/>
    </row>
    <row r="473" spans="1:19" hidden="1" outlineLevel="2" x14ac:dyDescent="0.25">
      <c r="C473" s="23" t="s">
        <v>304</v>
      </c>
      <c r="D473" s="23" t="s">
        <v>130</v>
      </c>
      <c r="E473" s="23" t="s">
        <v>282</v>
      </c>
      <c r="F473" s="23" t="s">
        <v>93</v>
      </c>
      <c r="G473" s="61" cm="1">
        <f t="array" ref="G473">IFERROR(
(IFERROR(INDEX(Calc_CPI_2[[CPI uplift factor]:[CPI uplift factor]],MATCH($C473,Calc_CPI_2[[Cost item]:[Cost item]],0),1),0)+
INDEX(Input_ForRateCalc[[F-PreviousVDO_InputDate]:[F-CurrentVDO_Input]],MATCH(Calc_WholesaleSME_2[[#This Row],[Cost item]:[Cost item]]&amp;" - "&amp;Calc_WholesaleSME_2[[#Headers],[Ausnet]],Input_ForRateCalc[[Cost item]:[Cost item]],0),MATCH($D$254,Inputs!$H$8:$Q$8,0)))/1000,"-")</f>
        <v>2.3000000000000001E-4</v>
      </c>
      <c r="H473" s="61" cm="1">
        <f t="array" ref="H473">IFERROR(
(IFERROR(INDEX(Calc_CPI_2[[CPI uplift factor]:[CPI uplift factor]],MATCH($C473,Calc_CPI_2[[Cost item]:[Cost item]],0),1),0)+
INDEX(Input_ForRateCalc[[F-PreviousVDO_InputDate]:[F-CurrentVDO_Input]],MATCH(Calc_WholesaleSME_2[[#This Row],[Cost item]:[Cost item]]&amp;" - "&amp;Calc_WholesaleSME_2[[#Headers],[Citipower]],Input_ForRateCalc[[Cost item]:[Cost item]],0),MATCH($D$254,Inputs!$H$8:$Q$8,0)))/1000,"-")</f>
        <v>2.2000000000000001E-4</v>
      </c>
      <c r="I473" s="61" cm="1">
        <f t="array" ref="I473">IFERROR(
(IFERROR(INDEX(Calc_CPI_2[[CPI uplift factor]:[CPI uplift factor]],MATCH($C473,Calc_CPI_2[[Cost item]:[Cost item]],0),1),0)+
INDEX(Input_ForRateCalc[[F-PreviousVDO_InputDate]:[F-CurrentVDO_Input]],MATCH(Calc_WholesaleSME_2[[#This Row],[Cost item]:[Cost item]]&amp;" - "&amp;Calc_WholesaleSME_2[[#Headers],[Jemena]],Input_ForRateCalc[[Cost item]:[Cost item]],0),MATCH($D$254,Inputs!$H$8:$Q$8,0)))/1000,"-")</f>
        <v>2.2000000000000001E-4</v>
      </c>
      <c r="J473" s="61" cm="1">
        <f t="array" ref="J473">IFERROR(
(IFERROR(INDEX(Calc_CPI_2[[CPI uplift factor]:[CPI uplift factor]],MATCH($C473,Calc_CPI_2[[Cost item]:[Cost item]],0),1),0)+
INDEX(Input_ForRateCalc[[F-PreviousVDO_InputDate]:[F-CurrentVDO_Input]],MATCH(Calc_WholesaleSME_2[[#This Row],[Cost item]:[Cost item]]&amp;" - "&amp;Calc_WholesaleSME_2[[#Headers],[Powercor]],Input_ForRateCalc[[Cost item]:[Cost item]],0),MATCH($D$254,Inputs!$H$8:$Q$8,0)))/1000,"-")</f>
        <v>1.7999999999999998E-4</v>
      </c>
      <c r="K473" s="61" cm="1">
        <f t="array" ref="K473">IFERROR(
(IFERROR(INDEX(Calc_CPI_2[[CPI uplift factor]:[CPI uplift factor]],MATCH($C473,Calc_CPI_2[[Cost item]:[Cost item]],0),1),0)+
INDEX(Input_ForRateCalc[[F-PreviousVDO_InputDate]:[F-CurrentVDO_Input]],MATCH(Calc_WholesaleSME_2[[#This Row],[Cost item]:[Cost item]]&amp;" - "&amp;Calc_WholesaleSME_2[[#Headers],[United Energy]],Input_ForRateCalc[[Cost item]:[Cost item]],0),MATCH($D$254,Inputs!$H$8:$Q$8,0)))/1000,"-")</f>
        <v>2.3000000000000001E-4</v>
      </c>
    </row>
    <row r="474" spans="1:19" hidden="1" outlineLevel="2" x14ac:dyDescent="0.25">
      <c r="C474" s="44" t="s">
        <v>283</v>
      </c>
      <c r="D474" s="44" t="s">
        <v>130</v>
      </c>
      <c r="E474" s="44" t="s">
        <v>282</v>
      </c>
      <c r="F474" s="23" t="s">
        <v>93</v>
      </c>
      <c r="G474" s="72">
        <f>IFERROR(G472+G473,"-")</f>
        <v>6.298999999999999E-2</v>
      </c>
      <c r="H474" s="72">
        <f t="shared" ref="H474:K474" si="105">IFERROR(H472+H473,"-")</f>
        <v>6.411E-2</v>
      </c>
      <c r="I474" s="72">
        <f t="shared" si="105"/>
        <v>6.4180000000000001E-2</v>
      </c>
      <c r="J474" s="72">
        <f t="shared" si="105"/>
        <v>6.123E-2</v>
      </c>
      <c r="K474" s="72">
        <f t="shared" si="105"/>
        <v>6.5449999999999994E-2</v>
      </c>
    </row>
    <row r="475" spans="1:19" hidden="1" outlineLevel="1" x14ac:dyDescent="0.25"/>
    <row r="476" spans="1:19" ht="16.5" hidden="1" outlineLevel="1" collapsed="1" thickBot="1" x14ac:dyDescent="0.3">
      <c r="B476" s="9">
        <f ca="1">MAX(B$3:B475)+0.1</f>
        <v>13.399999999999995</v>
      </c>
      <c r="C476" s="28" t="s">
        <v>305</v>
      </c>
      <c r="D476" s="28"/>
      <c r="E476" s="28"/>
      <c r="F476" s="28"/>
      <c r="G476" s="28"/>
      <c r="H476" s="28"/>
      <c r="I476" s="28"/>
      <c r="J476" s="28"/>
      <c r="K476" s="28"/>
    </row>
    <row r="477" spans="1:19" hidden="1" outlineLevel="2" x14ac:dyDescent="0.25"/>
    <row r="478" spans="1:19" ht="15.75" hidden="1" outlineLevel="2" x14ac:dyDescent="0.25">
      <c r="C478" s="29" t="s">
        <v>306</v>
      </c>
    </row>
    <row r="479" spans="1:19" ht="15.75" hidden="1" outlineLevel="2" x14ac:dyDescent="0.25">
      <c r="C479" s="43" t="s">
        <v>46</v>
      </c>
      <c r="D479" s="43" t="s">
        <v>102</v>
      </c>
      <c r="E479" s="43" t="s">
        <v>103</v>
      </c>
      <c r="F479" s="43" t="s">
        <v>91</v>
      </c>
      <c r="G479" s="60" t="s">
        <v>268</v>
      </c>
      <c r="H479" s="60" t="s">
        <v>269</v>
      </c>
      <c r="I479" s="60" t="s">
        <v>270</v>
      </c>
      <c r="J479" s="60" t="s">
        <v>271</v>
      </c>
      <c r="K479" s="60" t="s">
        <v>272</v>
      </c>
    </row>
    <row r="480" spans="1:19" hidden="1" outlineLevel="2" x14ac:dyDescent="0.25">
      <c r="C480" s="23" t="s">
        <v>152</v>
      </c>
      <c r="D480" s="23" t="s">
        <v>130</v>
      </c>
      <c r="E480" s="23" t="s">
        <v>153</v>
      </c>
      <c r="F480" s="23" t="s">
        <v>110</v>
      </c>
      <c r="G480" s="61" cm="1">
        <f t="array" ref="G480">IFERROR(
(IFERROR(INDEX(Calc_CPI_2[[CPI uplift factor]:[CPI uplift factor]],MATCH($C480,Calc_CPI_2[[Cost item]:[Cost item]],0),1),0)+
INDEX(Input_ForRateCalc[[F-PreviousVDO_InputDate]:[F-CurrentVDO_Input]],MATCH(Calc_EnviroVEU_2[[#This Row],[Cost item]:[Cost item]],Input_ForRateCalc[[Cost item]:[Cost item]],0),MATCH($D$254,Inputs!$H$8:$Q$8,0))),"-")</f>
        <v>56.939318273848677</v>
      </c>
      <c r="H480" s="61" cm="1">
        <f t="array" ref="H480">IFERROR(
(IFERROR(INDEX(Calc_CPI_2[[CPI uplift factor]:[CPI uplift factor]],MATCH($C480,Calc_CPI_2[[Cost item]:[Cost item]],0),1),0)+
INDEX(Input_ForRateCalc[[F-PreviousVDO_InputDate]:[F-CurrentVDO_Input]],MATCH(Calc_EnviroVEU_2[[#This Row],[Cost item]:[Cost item]],Input_ForRateCalc[[Cost item]:[Cost item]],0),MATCH($D$254,Inputs!$H$8:$Q$8,0))),"-")</f>
        <v>56.939318273848677</v>
      </c>
      <c r="I480" s="61" cm="1">
        <f t="array" ref="I480">IFERROR(
(IFERROR(INDEX(Calc_CPI_2[[CPI uplift factor]:[CPI uplift factor]],MATCH($C480,Calc_CPI_2[[Cost item]:[Cost item]],0),1),0)+
INDEX(Input_ForRateCalc[[F-PreviousVDO_InputDate]:[F-CurrentVDO_Input]],MATCH(Calc_EnviroVEU_2[[#This Row],[Cost item]:[Cost item]],Input_ForRateCalc[[Cost item]:[Cost item]],0),MATCH($D$254,Inputs!$H$8:$Q$8,0))),"-")</f>
        <v>56.939318273848677</v>
      </c>
      <c r="J480" s="61" cm="1">
        <f t="array" ref="J480">IFERROR(
(IFERROR(INDEX(Calc_CPI_2[[CPI uplift factor]:[CPI uplift factor]],MATCH($C480,Calc_CPI_2[[Cost item]:[Cost item]],0),1),0)+
INDEX(Input_ForRateCalc[[F-PreviousVDO_InputDate]:[F-CurrentVDO_Input]],MATCH(Calc_EnviroVEU_2[[#This Row],[Cost item]:[Cost item]],Input_ForRateCalc[[Cost item]:[Cost item]],0),MATCH($D$254,Inputs!$H$8:$Q$8,0))),"-")</f>
        <v>56.939318273848677</v>
      </c>
      <c r="K480" s="61" cm="1">
        <f t="array" ref="K480">IFERROR(
(IFERROR(INDEX(Calc_CPI_2[[CPI uplift factor]:[CPI uplift factor]],MATCH($C480,Calc_CPI_2[[Cost item]:[Cost item]],0),1),0)+
INDEX(Input_ForRateCalc[[F-PreviousVDO_InputDate]:[F-CurrentVDO_Input]],MATCH(Calc_EnviroVEU_2[[#This Row],[Cost item]:[Cost item]],Input_ForRateCalc[[Cost item]:[Cost item]],0),MATCH($D$254,Inputs!$H$8:$Q$8,0))),"-")</f>
        <v>56.939318273848677</v>
      </c>
    </row>
    <row r="481" spans="3:14" hidden="1" outlineLevel="2" x14ac:dyDescent="0.25">
      <c r="C481" s="23" t="s">
        <v>156</v>
      </c>
      <c r="D481" s="23" t="s">
        <v>130</v>
      </c>
      <c r="E481" s="23" t="s">
        <v>157</v>
      </c>
      <c r="F481" s="23" t="s">
        <v>110</v>
      </c>
      <c r="G481" s="345" cm="1">
        <f t="array" ref="G481">IFERROR(
(IFERROR(INDEX(Calc_CPI_2[[CPI uplift factor]:[CPI uplift factor]],MATCH($C481,Calc_CPI_2[[Cost item]:[Cost item]],0),1),0)+
INDEX(Input_ForRateCalc[[F-PreviousVDO_InputDate]:[F-CurrentVDO_Input]],MATCH(Calc_EnviroVEU_2[[#This Row],[Cost item]:[Cost item]],Input_ForRateCalc[[Cost item]:[Cost item]],0),MATCH($D$254,Inputs!$H$8:$Q$8,0))),"-")</f>
        <v>0.17255000000000001</v>
      </c>
      <c r="H481" s="345" cm="1">
        <f t="array" ref="H481">IFERROR(
(IFERROR(INDEX(Calc_CPI_2[[CPI uplift factor]:[CPI uplift factor]],MATCH($C481,Calc_CPI_2[[Cost item]:[Cost item]],0),1),0)+
INDEX(Input_ForRateCalc[[F-PreviousVDO_InputDate]:[F-CurrentVDO_Input]],MATCH(Calc_EnviroVEU_2[[#This Row],[Cost item]:[Cost item]],Input_ForRateCalc[[Cost item]:[Cost item]],0),MATCH($D$254,Inputs!$H$8:$Q$8,0))),"-")</f>
        <v>0.17255000000000001</v>
      </c>
      <c r="I481" s="345" cm="1">
        <f t="array" ref="I481">IFERROR(
(IFERROR(INDEX(Calc_CPI_2[[CPI uplift factor]:[CPI uplift factor]],MATCH($C481,Calc_CPI_2[[Cost item]:[Cost item]],0),1),0)+
INDEX(Input_ForRateCalc[[F-PreviousVDO_InputDate]:[F-CurrentVDO_Input]],MATCH(Calc_EnviroVEU_2[[#This Row],[Cost item]:[Cost item]],Input_ForRateCalc[[Cost item]:[Cost item]],0),MATCH($D$254,Inputs!$H$8:$Q$8,0))),"-")</f>
        <v>0.17255000000000001</v>
      </c>
      <c r="J481" s="345" cm="1">
        <f t="array" ref="J481">IFERROR(
(IFERROR(INDEX(Calc_CPI_2[[CPI uplift factor]:[CPI uplift factor]],MATCH($C481,Calc_CPI_2[[Cost item]:[Cost item]],0),1),0)+
INDEX(Input_ForRateCalc[[F-PreviousVDO_InputDate]:[F-CurrentVDO_Input]],MATCH(Calc_EnviroVEU_2[[#This Row],[Cost item]:[Cost item]],Input_ForRateCalc[[Cost item]:[Cost item]],0),MATCH($D$254,Inputs!$H$8:$Q$8,0))),"-")</f>
        <v>0.17255000000000001</v>
      </c>
      <c r="K481" s="345" cm="1">
        <f t="array" ref="K481">IFERROR(
(IFERROR(INDEX(Calc_CPI_2[[CPI uplift factor]:[CPI uplift factor]],MATCH($C481,Calc_CPI_2[[Cost item]:[Cost item]],0),1),0)+
INDEX(Input_ForRateCalc[[F-PreviousVDO_InputDate]:[F-CurrentVDO_Input]],MATCH(Calc_EnviroVEU_2[[#This Row],[Cost item]:[Cost item]],Input_ForRateCalc[[Cost item]:[Cost item]],0),MATCH($D$254,Inputs!$H$8:$Q$8,0))),"-")</f>
        <v>0.17255000000000001</v>
      </c>
    </row>
    <row r="482" spans="3:14" hidden="1" outlineLevel="2" x14ac:dyDescent="0.25">
      <c r="C482" s="44" t="s">
        <v>307</v>
      </c>
      <c r="D482" s="44" t="s">
        <v>130</v>
      </c>
      <c r="E482" s="44" t="s">
        <v>282</v>
      </c>
      <c r="F482" s="23" t="s">
        <v>110</v>
      </c>
      <c r="G482" s="72">
        <f>IFERROR(
IFERROR(INDEX(Calc_CPI_2[[CPI uplift factor]:[CPI uplift factor]],MATCH($C482,Calc_CPI_2[[Cost item]:[Cost item]],0),1),0)+(G480*G481)/1000,"-")</f>
        <v>9.8248793681525899E-3</v>
      </c>
      <c r="H482" s="72">
        <f>IFERROR(
IFERROR(INDEX(Calc_CPI_2[[CPI uplift factor]:[CPI uplift factor]],MATCH($C482,Calc_CPI_2[[Cost item]:[Cost item]],0),1),0)+(H480*H481)/1000,"-")</f>
        <v>9.8248793681525899E-3</v>
      </c>
      <c r="I482" s="72">
        <f>IFERROR(
IFERROR(INDEX(Calc_CPI_2[[CPI uplift factor]:[CPI uplift factor]],MATCH($C482,Calc_CPI_2[[Cost item]:[Cost item]],0),1),0)+(I480*I481)/1000,"-")</f>
        <v>9.8248793681525899E-3</v>
      </c>
      <c r="J482" s="72">
        <f>IFERROR(
IFERROR(INDEX(Calc_CPI_2[[CPI uplift factor]:[CPI uplift factor]],MATCH($C482,Calc_CPI_2[[Cost item]:[Cost item]],0),1),0)+(J480*J481)/1000,"-")</f>
        <v>9.8248793681525899E-3</v>
      </c>
      <c r="K482" s="72">
        <f>IFERROR(
IFERROR(INDEX(Calc_CPI_2[[CPI uplift factor]:[CPI uplift factor]],MATCH($C482,Calc_CPI_2[[Cost item]:[Cost item]],0),1),0)+(K480*K481)/1000,"-")</f>
        <v>9.8248793681525899E-3</v>
      </c>
      <c r="M482" s="78"/>
    </row>
    <row r="483" spans="3:14" hidden="1" outlineLevel="2" x14ac:dyDescent="0.25">
      <c r="C483" s="366"/>
      <c r="D483" s="366"/>
      <c r="E483" s="366"/>
      <c r="F483" s="366"/>
      <c r="G483" s="375"/>
      <c r="H483" s="375"/>
      <c r="I483" s="375"/>
      <c r="J483" s="375"/>
      <c r="K483" s="376"/>
    </row>
    <row r="484" spans="3:14" ht="15.75" hidden="1" outlineLevel="2" x14ac:dyDescent="0.25">
      <c r="C484" s="29" t="s">
        <v>308</v>
      </c>
      <c r="N484" s="78"/>
    </row>
    <row r="485" spans="3:14" ht="15.75" hidden="1" outlineLevel="2" x14ac:dyDescent="0.25">
      <c r="C485" s="43" t="s">
        <v>46</v>
      </c>
      <c r="D485" s="43" t="s">
        <v>102</v>
      </c>
      <c r="E485" s="43" t="s">
        <v>103</v>
      </c>
      <c r="F485" s="43" t="s">
        <v>91</v>
      </c>
      <c r="G485" s="60" t="s">
        <v>268</v>
      </c>
      <c r="H485" s="60" t="s">
        <v>269</v>
      </c>
      <c r="I485" s="60" t="s">
        <v>270</v>
      </c>
      <c r="J485" s="60" t="s">
        <v>271</v>
      </c>
      <c r="K485" s="60" t="s">
        <v>272</v>
      </c>
    </row>
    <row r="486" spans="3:14" hidden="1" outlineLevel="2" x14ac:dyDescent="0.25">
      <c r="C486" s="23" t="s">
        <v>154</v>
      </c>
      <c r="D486" s="23" t="s">
        <v>130</v>
      </c>
      <c r="E486" s="23" t="s">
        <v>153</v>
      </c>
      <c r="F486" s="23" t="s">
        <v>110</v>
      </c>
      <c r="G486" s="61" cm="1">
        <f t="array" ref="G486">IFERROR(
(IFERROR(INDEX(Calc_CPI_2[[CPI uplift factor]:[CPI uplift factor]],MATCH($C486,Calc_CPI_2[[Cost item]:[Cost item]],0),1),0)+
INDEX(Input_ForRateCalc[[F-PreviousVDO_InputDate]:[F-CurrentVDO_Input]],MATCH(Calc_EnviroLRET_2[[#This Row],[Cost item]:[Cost item]],Input_ForRateCalc[[Cost item]:[Cost item]],0),MATCH($D$254,Inputs!$H$8:$Q$8,0))),"-")</f>
        <v>34.44</v>
      </c>
      <c r="H486" s="61" cm="1">
        <f t="array" ref="H486">IFERROR(
(IFERROR(INDEX(Calc_CPI_2[[CPI uplift factor]:[CPI uplift factor]],MATCH($C486,Calc_CPI_2[[Cost item]:[Cost item]],0),1),0)+
INDEX(Input_ForRateCalc[[F-PreviousVDO_InputDate]:[F-CurrentVDO_Input]],MATCH(Calc_EnviroLRET_2[[#This Row],[Cost item]:[Cost item]],Input_ForRateCalc[[Cost item]:[Cost item]],0),MATCH($D$254,Inputs!$H$8:$Q$8,0))),"-")</f>
        <v>34.44</v>
      </c>
      <c r="I486" s="61" cm="1">
        <f t="array" ref="I486">IFERROR(
(IFERROR(INDEX(Calc_CPI_2[[CPI uplift factor]:[CPI uplift factor]],MATCH($C486,Calc_CPI_2[[Cost item]:[Cost item]],0),1),0)+
INDEX(Input_ForRateCalc[[F-PreviousVDO_InputDate]:[F-CurrentVDO_Input]],MATCH(Calc_EnviroLRET_2[[#This Row],[Cost item]:[Cost item]],Input_ForRateCalc[[Cost item]:[Cost item]],0),MATCH($D$254,Inputs!$H$8:$Q$8,0))),"-")</f>
        <v>34.44</v>
      </c>
      <c r="J486" s="61" cm="1">
        <f t="array" ref="J486">IFERROR(
(IFERROR(INDEX(Calc_CPI_2[[CPI uplift factor]:[CPI uplift factor]],MATCH($C486,Calc_CPI_2[[Cost item]:[Cost item]],0),1),0)+
INDEX(Input_ForRateCalc[[F-PreviousVDO_InputDate]:[F-CurrentVDO_Input]],MATCH(Calc_EnviroLRET_2[[#This Row],[Cost item]:[Cost item]],Input_ForRateCalc[[Cost item]:[Cost item]],0),MATCH($D$254,Inputs!$H$8:$Q$8,0))),"-")</f>
        <v>34.44</v>
      </c>
      <c r="K486" s="61" cm="1">
        <f t="array" ref="K486">IFERROR(
(IFERROR(INDEX(Calc_CPI_2[[CPI uplift factor]:[CPI uplift factor]],MATCH($C486,Calc_CPI_2[[Cost item]:[Cost item]],0),1),0)+
INDEX(Input_ForRateCalc[[F-PreviousVDO_InputDate]:[F-CurrentVDO_Input]],MATCH(Calc_EnviroLRET_2[[#This Row],[Cost item]:[Cost item]],Input_ForRateCalc[[Cost item]:[Cost item]],0),MATCH($D$254,Inputs!$H$8:$Q$8,0))),"-")</f>
        <v>34.44</v>
      </c>
    </row>
    <row r="487" spans="3:14" hidden="1" outlineLevel="2" x14ac:dyDescent="0.25">
      <c r="C487" s="23" t="s">
        <v>158</v>
      </c>
      <c r="D487" s="23" t="s">
        <v>130</v>
      </c>
      <c r="E487" s="23" t="s">
        <v>157</v>
      </c>
      <c r="F487" s="23" t="s">
        <v>110</v>
      </c>
      <c r="G487" s="56" cm="1">
        <f t="array" ref="G487">IFERROR(
(IFERROR(INDEX(Calc_CPI_2[[CPI uplift factor]:[CPI uplift factor]],MATCH($C487,Calc_CPI_2[[Cost item]:[Cost item]],0),1),0)+
IF(OR($D$254="VDO 2021 - Final",$D$254="VDO 2021 - Variation draft",$D$254="VDO 2021 - Variation final"),
INDEX(Input_ForRateCalc[[F-PreviousVDO_InputDate]:[F-CurrentVDO_Input]],MATCH(Calc_EnviroLRET_2[[#This Row],[Cost item]:[Cost item]]&amp;" true up (2021 only)",Input_ForRateCalc[[Cost item]:[Cost item]],0),MATCH($D$254,Inputs!$H$8:$Q$8,0))+
INDEX(Input_ForRateCalc[[F-PreviousVDO_InputDate]:[F-CurrentVDO_Input]],MATCH(Calc_EnviroLRET_2[[#This Row],[Cost item]:[Cost item]],Input_ForRateCalc[[Cost item]:[Cost item]],0),MATCH($D$254,Inputs!$H$8:$Q$8,0)),
INDEX(Input_ForRateCalc[[F-PreviousVDO_InputDate]:[F-CurrentVDO_Input]],MATCH(Calc_EnviroLRET_2[[#This Row],[Cost item]:[Cost item]],Input_ForRateCalc[[Cost item]:[Cost item]],0),MATCH($D$254,Inputs!$H$8:$Q$8,0)))),"-")</f>
        <v>0.18540000000000001</v>
      </c>
      <c r="H487" s="56" cm="1">
        <f t="array" ref="H487">IFERROR(
(IFERROR(INDEX(Calc_CPI_2[[CPI uplift factor]:[CPI uplift factor]],MATCH($C487,Calc_CPI_2[[Cost item]:[Cost item]],0),1),0)+
IF(OR($D$254="VDO 2021 - Final",$D$254="VDO 2021 - Variation draft",$D$254="VDO 2021 - Variation final"),
INDEX(Input_ForRateCalc[[F-PreviousVDO_InputDate]:[F-CurrentVDO_Input]],MATCH(Calc_EnviroLRET_2[[#This Row],[Cost item]:[Cost item]]&amp;" true up (2021 only)",Input_ForRateCalc[[Cost item]:[Cost item]],0),MATCH($D$254,Inputs!$H$8:$Q$8,0))+
INDEX(Input_ForRateCalc[[F-PreviousVDO_InputDate]:[F-CurrentVDO_Input]],MATCH(Calc_EnviroLRET_2[[#This Row],[Cost item]:[Cost item]],Input_ForRateCalc[[Cost item]:[Cost item]],0),MATCH($D$254,Inputs!$H$8:$Q$8,0)),
INDEX(Input_ForRateCalc[[F-PreviousVDO_InputDate]:[F-CurrentVDO_Input]],MATCH(Calc_EnviroLRET_2[[#This Row],[Cost item]:[Cost item]],Input_ForRateCalc[[Cost item]:[Cost item]],0),MATCH($D$254,Inputs!$H$8:$Q$8,0)))),"-")</f>
        <v>0.18540000000000001</v>
      </c>
      <c r="I487" s="56" cm="1">
        <f t="array" ref="I487">IFERROR(
(IFERROR(INDEX(Calc_CPI_2[[CPI uplift factor]:[CPI uplift factor]],MATCH($C487,Calc_CPI_2[[Cost item]:[Cost item]],0),1),0)+
IF(OR($D$254="VDO 2021 - Final",$D$254="VDO 2021 - Variation draft",$D$254="VDO 2021 - Variation final"),
INDEX(Input_ForRateCalc[[F-PreviousVDO_InputDate]:[F-CurrentVDO_Input]],MATCH(Calc_EnviroLRET_2[[#This Row],[Cost item]:[Cost item]]&amp;" true up (2021 only)",Input_ForRateCalc[[Cost item]:[Cost item]],0),MATCH($D$254,Inputs!$H$8:$Q$8,0))+
INDEX(Input_ForRateCalc[[F-PreviousVDO_InputDate]:[F-CurrentVDO_Input]],MATCH(Calc_EnviroLRET_2[[#This Row],[Cost item]:[Cost item]],Input_ForRateCalc[[Cost item]:[Cost item]],0),MATCH($D$254,Inputs!$H$8:$Q$8,0)),
INDEX(Input_ForRateCalc[[F-PreviousVDO_InputDate]:[F-CurrentVDO_Input]],MATCH(Calc_EnviroLRET_2[[#This Row],[Cost item]:[Cost item]],Input_ForRateCalc[[Cost item]:[Cost item]],0),MATCH($D$254,Inputs!$H$8:$Q$8,0)))),"-")</f>
        <v>0.18540000000000001</v>
      </c>
      <c r="J487" s="56" cm="1">
        <f t="array" ref="J487">IFERROR(
(IFERROR(INDEX(Calc_CPI_2[[CPI uplift factor]:[CPI uplift factor]],MATCH($C487,Calc_CPI_2[[Cost item]:[Cost item]],0),1),0)+
IF(OR($D$254="VDO 2021 - Final",$D$254="VDO 2021 - Variation draft",$D$254="VDO 2021 - Variation final"),
INDEX(Input_ForRateCalc[[F-PreviousVDO_InputDate]:[F-CurrentVDO_Input]],MATCH(Calc_EnviroLRET_2[[#This Row],[Cost item]:[Cost item]]&amp;" true up (2021 only)",Input_ForRateCalc[[Cost item]:[Cost item]],0),MATCH($D$254,Inputs!$H$8:$Q$8,0))+
INDEX(Input_ForRateCalc[[F-PreviousVDO_InputDate]:[F-CurrentVDO_Input]],MATCH(Calc_EnviroLRET_2[[#This Row],[Cost item]:[Cost item]],Input_ForRateCalc[[Cost item]:[Cost item]],0),MATCH($D$254,Inputs!$H$8:$Q$8,0)),
INDEX(Input_ForRateCalc[[F-PreviousVDO_InputDate]:[F-CurrentVDO_Input]],MATCH(Calc_EnviroLRET_2[[#This Row],[Cost item]:[Cost item]],Input_ForRateCalc[[Cost item]:[Cost item]],0),MATCH($D$254,Inputs!$H$8:$Q$8,0)))),"-")</f>
        <v>0.18540000000000001</v>
      </c>
      <c r="K487" s="56" cm="1">
        <f t="array" ref="K487">IFERROR(
(IFERROR(INDEX(Calc_CPI_2[[CPI uplift factor]:[CPI uplift factor]],MATCH($C487,Calc_CPI_2[[Cost item]:[Cost item]],0),1),0)+
IF(OR($D$254="VDO 2021 - Final",$D$254="VDO 2021 - Variation draft",$D$254="VDO 2021 - Variation final"),
INDEX(Input_ForRateCalc[[F-PreviousVDO_InputDate]:[F-CurrentVDO_Input]],MATCH(Calc_EnviroLRET_2[[#This Row],[Cost item]:[Cost item]]&amp;" true up (2021 only)",Input_ForRateCalc[[Cost item]:[Cost item]],0),MATCH($D$254,Inputs!$H$8:$Q$8,0))+
INDEX(Input_ForRateCalc[[F-PreviousVDO_InputDate]:[F-CurrentVDO_Input]],MATCH(Calc_EnviroLRET_2[[#This Row],[Cost item]:[Cost item]],Input_ForRateCalc[[Cost item]:[Cost item]],0),MATCH($D$254,Inputs!$H$8:$Q$8,0)),
INDEX(Input_ForRateCalc[[F-PreviousVDO_InputDate]:[F-CurrentVDO_Input]],MATCH(Calc_EnviroLRET_2[[#This Row],[Cost item]:[Cost item]],Input_ForRateCalc[[Cost item]:[Cost item]],0),MATCH($D$254,Inputs!$H$8:$Q$8,0)))),"-")</f>
        <v>0.18540000000000001</v>
      </c>
    </row>
    <row r="488" spans="3:14" hidden="1" outlineLevel="2" x14ac:dyDescent="0.25">
      <c r="C488" s="44" t="s">
        <v>309</v>
      </c>
      <c r="D488" s="44" t="s">
        <v>130</v>
      </c>
      <c r="E488" s="44" t="s">
        <v>282</v>
      </c>
      <c r="F488" s="23" t="s">
        <v>110</v>
      </c>
      <c r="G488" s="72">
        <f>IFERROR(
IFERROR(INDEX(Calc_CPI_2[[CPI uplift factor]:[CPI uplift factor]],MATCH($C488,Calc_CPI_2[[Cost item]:[Cost item]],0),1),0)+(G486*G487)/1000,"-")</f>
        <v>6.3851759999999994E-3</v>
      </c>
      <c r="H488" s="72">
        <f>IFERROR(
IFERROR(INDEX(Calc_CPI_2[[CPI uplift factor]:[CPI uplift factor]],MATCH($C488,Calc_CPI_2[[Cost item]:[Cost item]],0),1),0)+(H486*H487)/1000,"-")</f>
        <v>6.3851759999999994E-3</v>
      </c>
      <c r="I488" s="72">
        <f>IFERROR(
IFERROR(INDEX(Calc_CPI_2[[CPI uplift factor]:[CPI uplift factor]],MATCH($C488,Calc_CPI_2[[Cost item]:[Cost item]],0),1),0)+(I486*I487)/1000,"-")</f>
        <v>6.3851759999999994E-3</v>
      </c>
      <c r="J488" s="72">
        <f>IFERROR(
IFERROR(INDEX(Calc_CPI_2[[CPI uplift factor]:[CPI uplift factor]],MATCH($C488,Calc_CPI_2[[Cost item]:[Cost item]],0),1),0)+(J486*J487)/1000,"-")</f>
        <v>6.3851759999999994E-3</v>
      </c>
      <c r="K488" s="72">
        <f>IFERROR(
IFERROR(INDEX(Calc_CPI_2[[CPI uplift factor]:[CPI uplift factor]],MATCH($C488,Calc_CPI_2[[Cost item]:[Cost item]],0),1),0)+(K486*K487)/1000,"-")</f>
        <v>6.3851759999999994E-3</v>
      </c>
      <c r="M488" s="78"/>
    </row>
    <row r="489" spans="3:14" hidden="1" outlineLevel="2" x14ac:dyDescent="0.25"/>
    <row r="490" spans="3:14" ht="15.75" hidden="1" outlineLevel="2" x14ac:dyDescent="0.25">
      <c r="C490" s="29" t="s">
        <v>310</v>
      </c>
    </row>
    <row r="491" spans="3:14" ht="15.75" hidden="1" outlineLevel="2" x14ac:dyDescent="0.25">
      <c r="C491" s="43" t="s">
        <v>46</v>
      </c>
      <c r="D491" s="43" t="s">
        <v>102</v>
      </c>
      <c r="E491" s="43" t="s">
        <v>103</v>
      </c>
      <c r="F491" s="43" t="s">
        <v>91</v>
      </c>
      <c r="G491" s="60" t="s">
        <v>268</v>
      </c>
      <c r="H491" s="60" t="s">
        <v>269</v>
      </c>
      <c r="I491" s="60" t="s">
        <v>270</v>
      </c>
      <c r="J491" s="60" t="s">
        <v>271</v>
      </c>
      <c r="K491" s="60" t="s">
        <v>272</v>
      </c>
    </row>
    <row r="492" spans="3:14" hidden="1" outlineLevel="2" x14ac:dyDescent="0.25">
      <c r="C492" s="23" t="s">
        <v>155</v>
      </c>
      <c r="D492" s="23" t="s">
        <v>130</v>
      </c>
      <c r="E492" s="23" t="s">
        <v>153</v>
      </c>
      <c r="F492" s="23" t="s">
        <v>110</v>
      </c>
      <c r="G492" s="61" cm="1">
        <f t="array" ref="G492">IFERROR(
(IFERROR(INDEX(Calc_CPI_2[[CPI uplift factor]:[CPI uplift factor]],MATCH($C492,Calc_CPI_2[[Cost item]:[Cost item]],0),1),0)+
INDEX(Input_ForRateCalc[[F-PreviousVDO_InputDate]:[F-CurrentVDO_Input]],MATCH(Calc_EnviroSRES_2[[#This Row],[Cost item]:[Cost item]],Input_ForRateCalc[[Cost item]:[Cost item]],0),MATCH($D$254,Inputs!$H$8:$Q$8,0))),"-")</f>
        <v>40</v>
      </c>
      <c r="H492" s="61" cm="1">
        <f t="array" ref="H492">IFERROR(
(IFERROR(INDEX(Calc_CPI_2[[CPI uplift factor]:[CPI uplift factor]],MATCH($C492,Calc_CPI_2[[Cost item]:[Cost item]],0),1),0)+
INDEX(Input_ForRateCalc[[F-PreviousVDO_InputDate]:[F-CurrentVDO_Input]],MATCH(Calc_EnviroSRES_2[[#This Row],[Cost item]:[Cost item]],Input_ForRateCalc[[Cost item]:[Cost item]],0),MATCH($D$254,Inputs!$H$8:$Q$8,0))),"-")</f>
        <v>40</v>
      </c>
      <c r="I492" s="61" cm="1">
        <f t="array" ref="I492">IFERROR(
(IFERROR(INDEX(Calc_CPI_2[[CPI uplift factor]:[CPI uplift factor]],MATCH($C492,Calc_CPI_2[[Cost item]:[Cost item]],0),1),0)+
INDEX(Input_ForRateCalc[[F-PreviousVDO_InputDate]:[F-CurrentVDO_Input]],MATCH(Calc_EnviroSRES_2[[#This Row],[Cost item]:[Cost item]],Input_ForRateCalc[[Cost item]:[Cost item]],0),MATCH($D$254,Inputs!$H$8:$Q$8,0))),"-")</f>
        <v>40</v>
      </c>
      <c r="J492" s="61" cm="1">
        <f t="array" ref="J492">IFERROR(
(IFERROR(INDEX(Calc_CPI_2[[CPI uplift factor]:[CPI uplift factor]],MATCH($C492,Calc_CPI_2[[Cost item]:[Cost item]],0),1),0)+
INDEX(Input_ForRateCalc[[F-PreviousVDO_InputDate]:[F-CurrentVDO_Input]],MATCH(Calc_EnviroSRES_2[[#This Row],[Cost item]:[Cost item]],Input_ForRateCalc[[Cost item]:[Cost item]],0),MATCH($D$254,Inputs!$H$8:$Q$8,0))),"-")</f>
        <v>40</v>
      </c>
      <c r="K492" s="61" cm="1">
        <f t="array" ref="K492">IFERROR(
(IFERROR(INDEX(Calc_CPI_2[[CPI uplift factor]:[CPI uplift factor]],MATCH($C492,Calc_CPI_2[[Cost item]:[Cost item]],0),1),0)+
INDEX(Input_ForRateCalc[[F-PreviousVDO_InputDate]:[F-CurrentVDO_Input]],MATCH(Calc_EnviroSRES_2[[#This Row],[Cost item]:[Cost item]],Input_ForRateCalc[[Cost item]:[Cost item]],0),MATCH($D$254,Inputs!$H$8:$Q$8,0))),"-")</f>
        <v>40</v>
      </c>
    </row>
    <row r="493" spans="3:14" hidden="1" outlineLevel="2" x14ac:dyDescent="0.25">
      <c r="C493" s="23" t="s">
        <v>159</v>
      </c>
      <c r="D493" s="23" t="s">
        <v>130</v>
      </c>
      <c r="E493" s="23" t="s">
        <v>157</v>
      </c>
      <c r="F493" s="23" t="s">
        <v>110</v>
      </c>
      <c r="G493" s="56" cm="1">
        <f t="array" ref="G493">IFERROR(
(IFERROR(INDEX(Calc_CPI_2[[CPI uplift factor]:[CPI uplift factor]],MATCH($C493,Calc_CPI_2[[Cost item]:[Cost item]],0),1),0)+
IF(OR($D$254="VDO 2021 - Final",$D$254="VDO 2021 - Variation draft",$D$254="VDO 2021 - Variation final"),
INDEX(Input_ForRateCalc[[F-PreviousVDO_InputDate]:[F-CurrentVDO_Input]],MATCH(Calc_EnviroSRES_2[[#This Row],[Cost item]:[Cost item]]&amp;" true up (2021 only)",Input_ForRateCalc[[Cost item]:[Cost item]],0),MATCH($D$254,Inputs!$H$8:$Q$8,0))+
INDEX(Input_ForRateCalc[[F-PreviousVDO_InputDate]:[F-CurrentVDO_Input]],MATCH(Calc_EnviroSRES_2[[#This Row],[Cost item]:[Cost item]],Input_ForRateCalc[[Cost item]:[Cost item]],0),MATCH($D$254,Inputs!$H$8:$Q$8,0)),
INDEX(Input_ForRateCalc[[F-PreviousVDO_InputDate]:[F-CurrentVDO_Input]],MATCH(Calc_EnviroSRES_2[[#This Row],[Cost item]:[Cost item]],Input_ForRateCalc[[Cost item]:[Cost item]],0),MATCH($D$254,Inputs!$H$8:$Q$8,0)))),"-")</f>
        <v>0.25600000000000001</v>
      </c>
      <c r="H493" s="56" cm="1">
        <f t="array" ref="H493">IFERROR(
(IFERROR(INDEX(Calc_CPI_2[[CPI uplift factor]:[CPI uplift factor]],MATCH($C493,Calc_CPI_2[[Cost item]:[Cost item]],0),1),0)+
IF(OR($D$254="VDO 2021 - Final",$D$254="VDO 2021 - Variation draft",$D$254="VDO 2021 - Variation final"),
INDEX(Input_ForRateCalc[[F-PreviousVDO_InputDate]:[F-CurrentVDO_Input]],MATCH(Calc_EnviroSRES_2[[#This Row],[Cost item]:[Cost item]]&amp;" true up (2021 only)",Input_ForRateCalc[[Cost item]:[Cost item]],0),MATCH($D$254,Inputs!$H$8:$Q$8,0))+
INDEX(Input_ForRateCalc[[F-PreviousVDO_InputDate]:[F-CurrentVDO_Input]],MATCH(Calc_EnviroSRES_2[[#This Row],[Cost item]:[Cost item]],Input_ForRateCalc[[Cost item]:[Cost item]],0),MATCH($D$254,Inputs!$H$8:$Q$8,0)),
INDEX(Input_ForRateCalc[[F-PreviousVDO_InputDate]:[F-CurrentVDO_Input]],MATCH(Calc_EnviroSRES_2[[#This Row],[Cost item]:[Cost item]],Input_ForRateCalc[[Cost item]:[Cost item]],0),MATCH($D$254,Inputs!$H$8:$Q$8,0)))),"-")</f>
        <v>0.25600000000000001</v>
      </c>
      <c r="I493" s="56" cm="1">
        <f t="array" ref="I493">IFERROR(
(IFERROR(INDEX(Calc_CPI_2[[CPI uplift factor]:[CPI uplift factor]],MATCH($C493,Calc_CPI_2[[Cost item]:[Cost item]],0),1),0)+
IF(OR($D$254="VDO 2021 - Final",$D$254="VDO 2021 - Variation draft",$D$254="VDO 2021 - Variation final"),
INDEX(Input_ForRateCalc[[F-PreviousVDO_InputDate]:[F-CurrentVDO_Input]],MATCH(Calc_EnviroSRES_2[[#This Row],[Cost item]:[Cost item]]&amp;" true up (2021 only)",Input_ForRateCalc[[Cost item]:[Cost item]],0),MATCH($D$254,Inputs!$H$8:$Q$8,0))+
INDEX(Input_ForRateCalc[[F-PreviousVDO_InputDate]:[F-CurrentVDO_Input]],MATCH(Calc_EnviroSRES_2[[#This Row],[Cost item]:[Cost item]],Input_ForRateCalc[[Cost item]:[Cost item]],0),MATCH($D$254,Inputs!$H$8:$Q$8,0)),
INDEX(Input_ForRateCalc[[F-PreviousVDO_InputDate]:[F-CurrentVDO_Input]],MATCH(Calc_EnviroSRES_2[[#This Row],[Cost item]:[Cost item]],Input_ForRateCalc[[Cost item]:[Cost item]],0),MATCH($D$254,Inputs!$H$8:$Q$8,0)))),"-")</f>
        <v>0.25600000000000001</v>
      </c>
      <c r="J493" s="56" cm="1">
        <f t="array" ref="J493">IFERROR(
(IFERROR(INDEX(Calc_CPI_2[[CPI uplift factor]:[CPI uplift factor]],MATCH($C493,Calc_CPI_2[[Cost item]:[Cost item]],0),1),0)+
IF(OR($D$254="VDO 2021 - Final",$D$254="VDO 2021 - Variation draft",$D$254="VDO 2021 - Variation final"),
INDEX(Input_ForRateCalc[[F-PreviousVDO_InputDate]:[F-CurrentVDO_Input]],MATCH(Calc_EnviroSRES_2[[#This Row],[Cost item]:[Cost item]]&amp;" true up (2021 only)",Input_ForRateCalc[[Cost item]:[Cost item]],0),MATCH($D$254,Inputs!$H$8:$Q$8,0))+
INDEX(Input_ForRateCalc[[F-PreviousVDO_InputDate]:[F-CurrentVDO_Input]],MATCH(Calc_EnviroSRES_2[[#This Row],[Cost item]:[Cost item]],Input_ForRateCalc[[Cost item]:[Cost item]],0),MATCH($D$254,Inputs!$H$8:$Q$8,0)),
INDEX(Input_ForRateCalc[[F-PreviousVDO_InputDate]:[F-CurrentVDO_Input]],MATCH(Calc_EnviroSRES_2[[#This Row],[Cost item]:[Cost item]],Input_ForRateCalc[[Cost item]:[Cost item]],0),MATCH($D$254,Inputs!$H$8:$Q$8,0)))),"-")</f>
        <v>0.25600000000000001</v>
      </c>
      <c r="K493" s="56" cm="1">
        <f t="array" ref="K493">IFERROR(
(IFERROR(INDEX(Calc_CPI_2[[CPI uplift factor]:[CPI uplift factor]],MATCH($C493,Calc_CPI_2[[Cost item]:[Cost item]],0),1),0)+
IF(OR($D$254="VDO 2021 - Final",$D$254="VDO 2021 - Variation draft",$D$254="VDO 2021 - Variation final"),
INDEX(Input_ForRateCalc[[F-PreviousVDO_InputDate]:[F-CurrentVDO_Input]],MATCH(Calc_EnviroSRES_2[[#This Row],[Cost item]:[Cost item]]&amp;" true up (2021 only)",Input_ForRateCalc[[Cost item]:[Cost item]],0),MATCH($D$254,Inputs!$H$8:$Q$8,0))+
INDEX(Input_ForRateCalc[[F-PreviousVDO_InputDate]:[F-CurrentVDO_Input]],MATCH(Calc_EnviroSRES_2[[#This Row],[Cost item]:[Cost item]],Input_ForRateCalc[[Cost item]:[Cost item]],0),MATCH($D$254,Inputs!$H$8:$Q$8,0)),
INDEX(Input_ForRateCalc[[F-PreviousVDO_InputDate]:[F-CurrentVDO_Input]],MATCH(Calc_EnviroSRES_2[[#This Row],[Cost item]:[Cost item]],Input_ForRateCalc[[Cost item]:[Cost item]],0),MATCH($D$254,Inputs!$H$8:$Q$8,0)))),"-")</f>
        <v>0.25600000000000001</v>
      </c>
    </row>
    <row r="494" spans="3:14" hidden="1" outlineLevel="2" x14ac:dyDescent="0.25">
      <c r="C494" s="44" t="s">
        <v>311</v>
      </c>
      <c r="D494" s="44" t="s">
        <v>130</v>
      </c>
      <c r="E494" s="44" t="s">
        <v>282</v>
      </c>
      <c r="F494" s="23" t="s">
        <v>110</v>
      </c>
      <c r="G494" s="72">
        <f>IFERROR(
IFERROR(INDEX(Calc_CPI_2[[CPI uplift factor]:[CPI uplift factor]],MATCH($C494,Calc_CPI_2[[Cost item]:[Cost item]],0),1),0)+(G492*G493)/1000,"-")</f>
        <v>1.0240000000000001E-2</v>
      </c>
      <c r="H494" s="72">
        <f>IFERROR(
IFERROR(INDEX(Calc_CPI_2[[CPI uplift factor]:[CPI uplift factor]],MATCH($C494,Calc_CPI_2[[Cost item]:[Cost item]],0),1),0)+(H492*H493)/1000,"-")</f>
        <v>1.0240000000000001E-2</v>
      </c>
      <c r="I494" s="72">
        <f>IFERROR(
IFERROR(INDEX(Calc_CPI_2[[CPI uplift factor]:[CPI uplift factor]],MATCH($C494,Calc_CPI_2[[Cost item]:[Cost item]],0),1),0)+(I492*I493)/1000,"-")</f>
        <v>1.0240000000000001E-2</v>
      </c>
      <c r="J494" s="72">
        <f>IFERROR(
IFERROR(INDEX(Calc_CPI_2[[CPI uplift factor]:[CPI uplift factor]],MATCH($C494,Calc_CPI_2[[Cost item]:[Cost item]],0),1),0)+(J492*J493)/1000,"-")</f>
        <v>1.0240000000000001E-2</v>
      </c>
      <c r="K494" s="72">
        <f>IFERROR(
IFERROR(INDEX(Calc_CPI_2[[CPI uplift factor]:[CPI uplift factor]],MATCH($C494,Calc_CPI_2[[Cost item]:[Cost item]],0),1),0)+(K492*K493)/1000,"-")</f>
        <v>1.0240000000000001E-2</v>
      </c>
      <c r="M494" s="78"/>
    </row>
    <row r="495" spans="3:14" hidden="1" outlineLevel="2" x14ac:dyDescent="0.25"/>
    <row r="496" spans="3:14" ht="15.75" hidden="1" outlineLevel="2" collapsed="1" x14ac:dyDescent="0.25">
      <c r="C496" s="29" t="s">
        <v>312</v>
      </c>
    </row>
    <row r="497" spans="3:11" ht="15.75" hidden="1" outlineLevel="2" x14ac:dyDescent="0.25">
      <c r="C497" s="43" t="s">
        <v>46</v>
      </c>
      <c r="D497" s="43" t="s">
        <v>102</v>
      </c>
      <c r="E497" s="43" t="s">
        <v>103</v>
      </c>
      <c r="F497" s="43" t="s">
        <v>91</v>
      </c>
      <c r="G497" s="60" t="s">
        <v>268</v>
      </c>
      <c r="H497" s="60" t="s">
        <v>269</v>
      </c>
      <c r="I497" s="60" t="s">
        <v>270</v>
      </c>
      <c r="J497" s="60" t="s">
        <v>271</v>
      </c>
      <c r="K497" s="60" t="s">
        <v>272</v>
      </c>
    </row>
    <row r="498" spans="3:11" hidden="1" outlineLevel="2" x14ac:dyDescent="0.25">
      <c r="C498" s="44" t="s">
        <v>116</v>
      </c>
      <c r="D498" s="44" t="s">
        <v>108</v>
      </c>
      <c r="E498" s="23" t="s">
        <v>109</v>
      </c>
      <c r="F498" s="23" t="s">
        <v>110</v>
      </c>
      <c r="G498" s="61" cm="1">
        <f t="array" ref="G498">IFERROR(
(IFERROR(INDEX(Calc_CPI_2[[CPI uplift factor]:[CPI uplift factor]],MATCH($C498,Calc_CPI_2[[Cost item]:[Cost item]],0),1),0)+
INDEX(Input_ForRateCalc[[F-PreviousVDO_InputDate]:[F-CurrentVDO_Input]],MATCH(Calc_FiT_2[[#This Row],[Cost item]:[Cost item]],Input_ForRateCalc[[Cost item]:[Cost item]],0),MATCH($D$254,Inputs!$H$8:$Q$8,0))),"-")</f>
        <v>13.337821545021233</v>
      </c>
      <c r="H498" s="61" cm="1">
        <f t="array" ref="H498">IFERROR(
(IFERROR(INDEX(Calc_CPI_2[[CPI uplift factor]:[CPI uplift factor]],MATCH($C498,Calc_CPI_2[[Cost item]:[Cost item]],0),1),0)+
INDEX(Input_ForRateCalc[[F-PreviousVDO_InputDate]:[F-CurrentVDO_Input]],MATCH(Calc_FiT_2[[#This Row],[Cost item]:[Cost item]],Input_ForRateCalc[[Cost item]:[Cost item]],0),MATCH($D$254,Inputs!$H$8:$Q$8,0))),"-")</f>
        <v>13.337821545021233</v>
      </c>
      <c r="I498" s="61" cm="1">
        <f t="array" ref="I498">IFERROR(
(IFERROR(INDEX(Calc_CPI_2[[CPI uplift factor]:[CPI uplift factor]],MATCH($C498,Calc_CPI_2[[Cost item]:[Cost item]],0),1),0)+
INDEX(Input_ForRateCalc[[F-PreviousVDO_InputDate]:[F-CurrentVDO_Input]],MATCH(Calc_FiT_2[[#This Row],[Cost item]:[Cost item]],Input_ForRateCalc[[Cost item]:[Cost item]],0),MATCH($D$254,Inputs!$H$8:$Q$8,0))),"-")</f>
        <v>13.337821545021233</v>
      </c>
      <c r="J498" s="61" cm="1">
        <f t="array" ref="J498">IFERROR(
(IFERROR(INDEX(Calc_CPI_2[[CPI uplift factor]:[CPI uplift factor]],MATCH($C498,Calc_CPI_2[[Cost item]:[Cost item]],0),1),0)+
INDEX(Input_ForRateCalc[[F-PreviousVDO_InputDate]:[F-CurrentVDO_Input]],MATCH(Calc_FiT_2[[#This Row],[Cost item]:[Cost item]],Input_ForRateCalc[[Cost item]:[Cost item]],0),MATCH($D$254,Inputs!$H$8:$Q$8,0))),"-")</f>
        <v>13.337821545021233</v>
      </c>
      <c r="K498" s="61" cm="1">
        <f t="array" ref="K498">IFERROR(
(IFERROR(INDEX(Calc_CPI_2[[CPI uplift factor]:[CPI uplift factor]],MATCH($C498,Calc_CPI_2[[Cost item]:[Cost item]],0),1),0)+
INDEX(Input_ForRateCalc[[F-PreviousVDO_InputDate]:[F-CurrentVDO_Input]],MATCH(Calc_FiT_2[[#This Row],[Cost item]:[Cost item]],Input_ForRateCalc[[Cost item]:[Cost item]],0),MATCH($D$254,Inputs!$H$8:$Q$8,0))),"-")</f>
        <v>13.337821545021233</v>
      </c>
    </row>
    <row r="499" spans="3:11" hidden="1" outlineLevel="1" x14ac:dyDescent="0.25"/>
    <row r="500" spans="3:11" hidden="1" outlineLevel="1" x14ac:dyDescent="0.25"/>
    <row r="501" spans="3:11" hidden="1" outlineLevel="1" x14ac:dyDescent="0.25"/>
    <row r="502" spans="3:11" x14ac:dyDescent="0.25">
      <c r="G502" s="342"/>
      <c r="H502" s="342"/>
      <c r="I502" s="342"/>
      <c r="J502" s="342"/>
      <c r="K502" s="342"/>
    </row>
    <row r="503" spans="3:11" x14ac:dyDescent="0.25">
      <c r="G503" s="342"/>
      <c r="H503" s="342"/>
      <c r="I503" s="342"/>
      <c r="J503" s="342"/>
      <c r="K503" s="342"/>
    </row>
    <row r="504" spans="3:11" x14ac:dyDescent="0.25">
      <c r="G504" s="342"/>
      <c r="H504" s="342"/>
      <c r="I504" s="342"/>
      <c r="J504" s="342"/>
      <c r="K504" s="342"/>
    </row>
    <row r="505" spans="3:11" x14ac:dyDescent="0.25">
      <c r="G505" s="300"/>
      <c r="H505" s="300"/>
      <c r="I505" s="300"/>
      <c r="J505" s="300"/>
      <c r="K505" s="300"/>
    </row>
    <row r="506" spans="3:11" x14ac:dyDescent="0.25">
      <c r="G506" s="300"/>
      <c r="H506" s="300"/>
      <c r="I506" s="300"/>
      <c r="J506" s="300"/>
      <c r="K506" s="300"/>
    </row>
    <row r="507" spans="3:11" x14ac:dyDescent="0.25">
      <c r="D507" s="178"/>
      <c r="G507" s="300"/>
      <c r="H507" s="300"/>
      <c r="I507" s="300"/>
      <c r="J507" s="300"/>
      <c r="K507" s="300"/>
    </row>
    <row r="508" spans="3:11" x14ac:dyDescent="0.25">
      <c r="G508" s="342"/>
      <c r="H508" s="342"/>
      <c r="I508" s="342"/>
      <c r="J508" s="342"/>
      <c r="K508" s="342"/>
    </row>
    <row r="509" spans="3:11" x14ac:dyDescent="0.25">
      <c r="G509" s="342"/>
      <c r="H509" s="342"/>
      <c r="I509" s="342"/>
      <c r="J509" s="342"/>
      <c r="K509" s="342"/>
    </row>
    <row r="510" spans="3:11" x14ac:dyDescent="0.25">
      <c r="G510" s="342"/>
      <c r="H510" s="342"/>
      <c r="I510" s="342"/>
      <c r="J510" s="342"/>
      <c r="K510" s="342"/>
    </row>
  </sheetData>
  <sheetProtection algorithmName="SHA-512" hashValue="PbLeUrX5fFrJGKOzgBKhU8Bm5n8jOtMVkiiDY+ywMiI9o8IWrwkFJRzi3tDzOtHcMDDAot9xfLZugB+dnOiTRA==" saltValue="I+bvJ4V1u1EgBLaThPrx9Q==" spinCount="100000" sheet="1" objects="1" scenarios="1"/>
  <mergeCells count="1">
    <mergeCell ref="A2:A3"/>
  </mergeCells>
  <phoneticPr fontId="30" type="noConversion"/>
  <pageMargins left="0.7" right="0.7" top="0.75" bottom="0.75" header="0.3" footer="0.3"/>
  <pageSetup paperSize="9" orientation="portrait" r:id="rId1"/>
  <tableParts count="30">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s>
  <extLst>
    <ext xmlns:x14="http://schemas.microsoft.com/office/spreadsheetml/2009/9/main" uri="{CCE6A557-97BC-4b89-ADB6-D9C93CAAB3DF}">
      <x14:dataValidations xmlns:xm="http://schemas.microsoft.com/office/excel/2006/main" disablePrompts="1" count="5">
        <x14:dataValidation type="list" allowBlank="1" showInputMessage="1" showErrorMessage="1" xr:uid="{C269C7C9-C23E-4503-AA68-2E4DCB6653BB}">
          <x14:formula1>
            <xm:f>'Lookup refs'!$C$8:$C$10</xm:f>
          </x14:formula1>
          <xm:sqref>D173:D174 D148:D154 D217:D219 D201:D212 E212 D167 D82:D87 E226 D223:D226 D249 D24:D30 D58:D65 D428:D436 D161:D163 D67:D72 D89:D94 D96:D101 D103:D110 D112:D117 D119:D124 D127:D132 D74:D79 D422:D423 D466:D468 D450:D461 E461 D243:D245 D331:D336 E475 D472:D475 D41:D47 D498 D442:D448 D273:D279 D307:D314 D397:D403 D300:D305 D410:D412 D316:D321 D338:D343 D345:D350 D352:D359 D361:D366 D368:D373 D376:D381 D323:D328 D134:D139 D383:D388 D193:D199 D32:D39 D259:D271 D281:D288 D290:D296 D51:D56 D231:D235 D237:D241 D416:D418 D169 D492:D494 D486:D490 D179:D187 D10:D22 D480:D482 D484</xm:sqref>
        </x14:dataValidation>
        <x14:dataValidation type="list" allowBlank="1" showInputMessage="1" showErrorMessage="1" xr:uid="{33FF5899-A62D-484E-AA27-47145712B4A0}">
          <x14:formula1>
            <xm:f>'Lookup refs'!$E$8:$E$20</xm:f>
          </x14:formula1>
          <xm:sqref>E249 E383:E388 E161:E163 E167 E173:E174 E217:E219 E67:E72 E179:E187 E24:E30 E368:E373 E201:E211 E223:E225 E74:E79 E82:E87 E89:E94 E96:E101 E103:E110 E112:E117 E58:E65 E119:E124 E41:E47 E307:E314 E498 E376:E381 E410:E412 E422:E423 E466:E468 E316:E321 E10:E22 E273:E279 E442:E448 E127:E132 E450:E460 E300:E305 E472:E474 E134:E139 E323:E328 E331:E336 E338:E343 E345:E350 E352:E359 E361:E366 E428:E436 E486:E490 E492:E494 E231:E235 E237:E241 E243:E245 E193:E199 E32:E39 E259:E271 E281:E288 E290:E296 E51:E56 E416:E418 E169 E480:E482 E484</xm:sqref>
        </x14:dataValidation>
        <x14:dataValidation type="list" allowBlank="1" showInputMessage="1" showErrorMessage="1" xr:uid="{DAD79D20-6C02-417F-980C-C7F87801265D}">
          <x14:formula1>
            <xm:f>'Lookup refs'!$G$8:$G$10</xm:f>
          </x14:formula1>
          <xm:sqref>F428:F436 F161:F163 F167 F173:F174 F201:F211 F249 F217:F219 F24:F30 F223:F225 F316:F321 F352:F359 F74:F79 F58:F65 F82:F87 F103:F110 F89:F94 F119:F124 F127:F132 F112:F117 F67:F72 F96:F101 F10:F22 F410:F412 F243:F245 F422:F423 F450:F460 F498 F466:F468 F41:F47 F273:F279 F472:F474 F442:F446 F134:F139 F345:F350 F300:F305 F323:F328 F307:F314 F331:F336 F361:F366 F338:F343 F376:F381 F368:F373 F383:F388 F193:F197 F32:F39 F259:F271 F281:F288 F290:F296 F51:F56 F231:F233 F237:F239 F416:F418 F169 F492:F494 F486:F488 F480:F482 F179:F187</xm:sqref>
        </x14:dataValidation>
        <x14:dataValidation type="list" allowBlank="1" showInputMessage="1" showErrorMessage="1" xr:uid="{56A8F8AC-D35F-4FA4-B420-2499072F1B02}">
          <x14:formula1>
            <xm:f>Inputs!$I$134:$M$134</xm:f>
          </x14:formula1>
          <xm:sqref>D254</xm:sqref>
        </x14:dataValidation>
        <x14:dataValidation type="list" allowBlank="1" showInputMessage="1" showErrorMessage="1" xr:uid="{57EAAF2D-3992-498B-8A55-B542660F29D9}">
          <x14:formula1>
            <xm:f>Inputs!$I$134:$O$134</xm:f>
          </x14:formula1>
          <xm:sqref>D5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68B75-F4F5-4252-87E0-2C383E67EA33}">
  <sheetPr>
    <tabColor rgb="FF236192"/>
    <outlinePr summaryBelow="0"/>
  </sheetPr>
  <dimension ref="A1:T471"/>
  <sheetViews>
    <sheetView showGridLines="0" topLeftCell="B1" zoomScale="85" zoomScaleNormal="85" workbookViewId="0">
      <pane ySplit="3" topLeftCell="A4" activePane="bottomLeft" state="frozen"/>
      <selection pane="bottomLeft" activeCell="C4" sqref="C4"/>
    </sheetView>
  </sheetViews>
  <sheetFormatPr defaultColWidth="9.42578125" defaultRowHeight="15" outlineLevelRow="2" outlineLevelCol="1" x14ac:dyDescent="0.25"/>
  <cols>
    <col min="1" max="1" width="100.5703125" hidden="1" customWidth="1" outlineLevel="1"/>
    <col min="2" max="2" width="10.5703125" style="6" customWidth="1" collapsed="1"/>
    <col min="3" max="3" width="53.42578125" bestFit="1" customWidth="1"/>
    <col min="4" max="17" width="20.5703125" customWidth="1"/>
  </cols>
  <sheetData>
    <row r="1" spans="1:17" ht="15" customHeight="1" x14ac:dyDescent="0.25">
      <c r="A1" s="1" t="s">
        <v>20</v>
      </c>
      <c r="B1" s="21"/>
      <c r="C1" s="22"/>
      <c r="D1" s="22"/>
      <c r="E1" s="22"/>
      <c r="F1" s="22"/>
      <c r="G1" s="22"/>
      <c r="H1" s="22"/>
      <c r="I1" s="22"/>
      <c r="J1" s="22"/>
      <c r="K1" s="22"/>
      <c r="L1" s="22"/>
      <c r="M1" s="22"/>
      <c r="N1" s="22"/>
      <c r="O1" s="22"/>
      <c r="P1" s="22"/>
      <c r="Q1" s="22"/>
    </row>
    <row r="2" spans="1:17" s="4" customFormat="1" ht="50.1" customHeight="1" x14ac:dyDescent="0.25">
      <c r="A2" s="382" t="s">
        <v>21</v>
      </c>
      <c r="B2" s="25"/>
      <c r="C2" s="25" t="str">
        <f>Disclaimer!$B$1</f>
        <v>VDO calculation model</v>
      </c>
      <c r="D2" s="25"/>
      <c r="E2" s="25"/>
      <c r="F2" s="25"/>
      <c r="G2" s="25"/>
      <c r="H2" s="25"/>
      <c r="I2" s="25"/>
      <c r="J2" s="25"/>
      <c r="K2" s="25"/>
      <c r="L2" s="25"/>
      <c r="M2" s="25"/>
      <c r="N2" s="25"/>
      <c r="O2" s="25"/>
      <c r="P2" s="25"/>
      <c r="Q2" s="25"/>
    </row>
    <row r="3" spans="1:17" s="4" customFormat="1" ht="30" customHeight="1" x14ac:dyDescent="0.25">
      <c r="A3" s="382"/>
      <c r="B3" s="27">
        <f ca="1">_xlfn.SHEET()</f>
        <v>13</v>
      </c>
      <c r="C3" s="26" t="s">
        <v>313</v>
      </c>
      <c r="D3" s="26"/>
      <c r="E3" s="26"/>
      <c r="F3" s="26"/>
      <c r="G3" s="26"/>
      <c r="H3" s="26"/>
      <c r="I3" s="26"/>
      <c r="J3" s="26"/>
      <c r="K3" s="26"/>
      <c r="L3" s="26"/>
      <c r="M3" s="26"/>
      <c r="N3" s="26"/>
      <c r="O3" s="26"/>
      <c r="P3" s="26"/>
      <c r="Q3" s="26"/>
    </row>
    <row r="4" spans="1:17" x14ac:dyDescent="0.25">
      <c r="B4"/>
    </row>
    <row r="5" spans="1:17" ht="15.75" x14ac:dyDescent="0.25">
      <c r="B5"/>
      <c r="C5" s="54" t="s">
        <v>101</v>
      </c>
      <c r="D5" s="41" t="str">
        <f>Calc_Rates!$D$5</f>
        <v>VDO 2022-23 - Draft</v>
      </c>
    </row>
    <row r="6" spans="1:17" x14ac:dyDescent="0.25">
      <c r="B6"/>
    </row>
    <row r="7" spans="1:17" ht="16.5" thickBot="1" x14ac:dyDescent="0.3">
      <c r="B7" s="9">
        <f ca="1">MAX(B$3:B4)+0.1</f>
        <v>13.1</v>
      </c>
      <c r="C7" s="28" t="s">
        <v>314</v>
      </c>
      <c r="D7" s="28"/>
      <c r="E7" s="28"/>
      <c r="F7" s="28"/>
      <c r="G7" s="28"/>
      <c r="H7" s="28"/>
      <c r="I7" s="28"/>
      <c r="J7" s="28"/>
      <c r="K7" s="28"/>
      <c r="L7" s="28"/>
      <c r="M7" s="28"/>
      <c r="N7" s="28"/>
      <c r="O7" s="28"/>
      <c r="P7" s="28"/>
      <c r="Q7" s="28"/>
    </row>
    <row r="9" spans="1:17" ht="15.75" outlineLevel="1" x14ac:dyDescent="0.25">
      <c r="C9" s="54" t="s">
        <v>516</v>
      </c>
      <c r="D9" s="195">
        <v>12</v>
      </c>
      <c r="H9" s="42" t="s">
        <v>46</v>
      </c>
      <c r="I9" s="246" t="s">
        <v>103</v>
      </c>
      <c r="J9" s="246" t="s">
        <v>91</v>
      </c>
      <c r="K9" s="197" t="s">
        <v>268</v>
      </c>
      <c r="L9" s="197" t="s">
        <v>269</v>
      </c>
      <c r="M9" s="197" t="s">
        <v>270</v>
      </c>
      <c r="N9" s="197" t="s">
        <v>271</v>
      </c>
      <c r="O9" s="197" t="s">
        <v>272</v>
      </c>
      <c r="P9" s="50" t="s">
        <v>612</v>
      </c>
    </row>
    <row r="10" spans="1:17" ht="15.75" outlineLevel="1" x14ac:dyDescent="0.25">
      <c r="C10" s="54" t="s">
        <v>515</v>
      </c>
      <c r="D10" s="196">
        <f>D9/MiY</f>
        <v>1</v>
      </c>
      <c r="H10" s="59" t="s">
        <v>322</v>
      </c>
      <c r="I10" s="23" t="s">
        <v>131</v>
      </c>
      <c r="J10" s="59" t="s">
        <v>110</v>
      </c>
      <c r="K10" s="291">
        <f>INDEX(Calc_TUV_Env_1[[Ausnet]:[United Energy]],MATCH($H10,Calc_TUV_Env_1[[Cost item]:[Cost item]],0),MATCH(K$9,Calc_TUV_Env_1[[#Headers],[Ausnet]:[United Energy]],0))*1000</f>
        <v>4.3363989833985962E-2</v>
      </c>
      <c r="L10" s="344">
        <f>INDEX(Calc_TUV_Env_1[[Ausnet]:[United Energy]],MATCH($H10,Calc_TUV_Env_1[[Cost item]:[Cost item]],0),MATCH(L$9,Calc_TUV_Env_1[[#Headers],[Ausnet]:[United Energy]],0))*1000</f>
        <v>4.2091286241928205E-2</v>
      </c>
      <c r="M10" s="344">
        <f>INDEX(Calc_TUV_Env_1[[Ausnet]:[United Energy]],MATCH($H10,Calc_TUV_Env_1[[Cost item]:[Cost item]],0),MATCH(M$9,Calc_TUV_Env_1[[#Headers],[Ausnet]:[United Energy]],0))*1000</f>
        <v>4.1871315696200957E-2</v>
      </c>
      <c r="N10" s="344">
        <f>INDEX(Calc_TUV_Env_1[[Ausnet]:[United Energy]],MATCH($H10,Calc_TUV_Env_1[[Cost item]:[Cost item]],0),MATCH(N$9,Calc_TUV_Env_1[[#Headers],[Ausnet]:[United Energy]],0))*1000</f>
        <v>4.3045614549519495E-2</v>
      </c>
      <c r="O10" s="344">
        <f>INDEX(Calc_TUV_Env_1[[Ausnet]:[United Energy]],MATCH($H10,Calc_TUV_Env_1[[Cost item]:[Cost item]],0),MATCH(O$9,Calc_TUV_Env_1[[#Headers],[Ausnet]:[United Energy]],0))*1000</f>
        <v>4.2097886959405396E-2</v>
      </c>
      <c r="P10" s="291">
        <f>IFERROR(AVERAGE(K10:O10),"-")</f>
        <v>4.2494018656207999E-2</v>
      </c>
    </row>
    <row r="11" spans="1:17" ht="15.75" outlineLevel="1" x14ac:dyDescent="0.25">
      <c r="C11" s="54" t="s">
        <v>442</v>
      </c>
      <c r="D11" s="195" t="s">
        <v>317</v>
      </c>
      <c r="H11" s="59" t="s">
        <v>324</v>
      </c>
      <c r="I11" s="23" t="s">
        <v>131</v>
      </c>
      <c r="J11" s="59" t="s">
        <v>110</v>
      </c>
      <c r="K11" s="344">
        <f>INDEX(Calc_TUV_Env_1[[Ausnet]:[United Energy]],MATCH($H11,Calc_TUV_Env_1[[Cost item]:[Cost item]],0),MATCH(K$9,Calc_TUV_Env_1[[#Headers],[Ausnet]:[United Energy]],0))*1000</f>
        <v>0.83605369482481207</v>
      </c>
      <c r="L11" s="344">
        <f>INDEX(Calc_TUV_Env_1[[Ausnet]:[United Energy]],MATCH($H11,Calc_TUV_Env_1[[Cost item]:[Cost item]],0),MATCH(L$9,Calc_TUV_Env_1[[#Headers],[Ausnet]:[United Energy]],0))*1000</f>
        <v>0.8115160878234664</v>
      </c>
      <c r="M11" s="344">
        <f>INDEX(Calc_TUV_Env_1[[Ausnet]:[United Energy]],MATCH($H11,Calc_TUV_Env_1[[Cost item]:[Cost item]],0),MATCH(M$9,Calc_TUV_Env_1[[#Headers],[Ausnet]:[United Energy]],0))*1000</f>
        <v>0.80727507614045557</v>
      </c>
      <c r="N11" s="344">
        <f>INDEX(Calc_TUV_Env_1[[Ausnet]:[United Energy]],MATCH($H11,Calc_TUV_Env_1[[Cost item]:[Cost item]],0),MATCH(N$9,Calc_TUV_Env_1[[#Headers],[Ausnet]:[United Energy]],0))*1000</f>
        <v>0.82991544892220648</v>
      </c>
      <c r="O11" s="344">
        <f>INDEX(Calc_TUV_Env_1[[Ausnet]:[United Energy]],MATCH($H11,Calc_TUV_Env_1[[Cost item]:[Cost item]],0),MATCH(O$9,Calc_TUV_Env_1[[#Headers],[Ausnet]:[United Energy]],0))*1000</f>
        <v>0.81164334904311963</v>
      </c>
      <c r="P11" s="291">
        <f t="shared" ref="P11:P12" si="0">IFERROR(AVERAGE(K11:O11),"-")</f>
        <v>0.81928073135081214</v>
      </c>
    </row>
    <row r="12" spans="1:17" ht="15.75" outlineLevel="1" x14ac:dyDescent="0.25">
      <c r="C12" s="54" t="s">
        <v>558</v>
      </c>
      <c r="D12" s="196">
        <f>(1+WACC)^(1/1)-1</f>
        <v>6.5500000000000114E-2</v>
      </c>
      <c r="H12" s="181" t="s">
        <v>326</v>
      </c>
      <c r="I12" s="23" t="s">
        <v>131</v>
      </c>
      <c r="J12" s="59" t="s">
        <v>110</v>
      </c>
      <c r="K12" s="344">
        <f>INDEX(Calc_TUV_Env_1[[Ausnet]:[United Energy]],MATCH($H12,Calc_TUV_Env_1[[Cost item]:[Cost item]],0),MATCH(K$9,Calc_TUV_Env_1[[#Headers],[Ausnet]:[United Energy]],0))*1000</f>
        <v>0</v>
      </c>
      <c r="L12" s="344">
        <f>INDEX(Calc_TUV_Env_1[[Ausnet]:[United Energy]],MATCH($H12,Calc_TUV_Env_1[[Cost item]:[Cost item]],0),MATCH(L$9,Calc_TUV_Env_1[[#Headers],[Ausnet]:[United Energy]],0))*1000</f>
        <v>0</v>
      </c>
      <c r="M12" s="344">
        <f>INDEX(Calc_TUV_Env_1[[Ausnet]:[United Energy]],MATCH($H12,Calc_TUV_Env_1[[Cost item]:[Cost item]],0),MATCH(M$9,Calc_TUV_Env_1[[#Headers],[Ausnet]:[United Energy]],0))*1000</f>
        <v>0</v>
      </c>
      <c r="N12" s="344">
        <f>INDEX(Calc_TUV_Env_1[[Ausnet]:[United Energy]],MATCH($H12,Calc_TUV_Env_1[[Cost item]:[Cost item]],0),MATCH(N$9,Calc_TUV_Env_1[[#Headers],[Ausnet]:[United Energy]],0))*1000</f>
        <v>0</v>
      </c>
      <c r="O12" s="344">
        <f>INDEX(Calc_TUV_Env_1[[Ausnet]:[United Energy]],MATCH($H12,Calc_TUV_Env_1[[Cost item]:[Cost item]],0),MATCH(O$9,Calc_TUV_Env_1[[#Headers],[Ausnet]:[United Energy]],0))*1000</f>
        <v>0</v>
      </c>
      <c r="P12" s="291">
        <f t="shared" si="0"/>
        <v>0</v>
      </c>
    </row>
    <row r="13" spans="1:17" ht="15.75" outlineLevel="1" x14ac:dyDescent="0.25">
      <c r="C13" s="29"/>
    </row>
    <row r="14" spans="1:17" ht="15.75" outlineLevel="1" x14ac:dyDescent="0.25">
      <c r="C14" s="29" t="s">
        <v>648</v>
      </c>
    </row>
    <row r="15" spans="1:17" ht="15.75" outlineLevel="1" x14ac:dyDescent="0.25">
      <c r="C15" s="43" t="s">
        <v>46</v>
      </c>
      <c r="D15" s="43" t="s">
        <v>101</v>
      </c>
      <c r="E15" s="43" t="s">
        <v>585</v>
      </c>
      <c r="F15" s="43" t="s">
        <v>588</v>
      </c>
      <c r="G15" s="43" t="s">
        <v>315</v>
      </c>
      <c r="H15" s="43" t="s">
        <v>102</v>
      </c>
      <c r="I15" s="43" t="s">
        <v>103</v>
      </c>
      <c r="J15" s="42" t="s">
        <v>91</v>
      </c>
      <c r="K15" s="60" t="s">
        <v>268</v>
      </c>
      <c r="L15" s="60" t="s">
        <v>269</v>
      </c>
      <c r="M15" s="60" t="s">
        <v>270</v>
      </c>
      <c r="N15" s="60" t="s">
        <v>271</v>
      </c>
      <c r="O15" s="60" t="s">
        <v>272</v>
      </c>
    </row>
    <row r="16" spans="1:17" outlineLevel="1" x14ac:dyDescent="0.25">
      <c r="C16" s="23"/>
      <c r="D16" s="23"/>
      <c r="E16" s="23"/>
      <c r="F16" s="23"/>
      <c r="G16" s="23"/>
      <c r="H16" s="23"/>
      <c r="I16" s="23"/>
      <c r="J16" s="23"/>
      <c r="K16" s="23"/>
      <c r="L16" s="23"/>
      <c r="M16" s="23"/>
      <c r="N16" s="23"/>
      <c r="O16" s="23"/>
    </row>
    <row r="17" spans="3:15" outlineLevel="1" x14ac:dyDescent="0.25">
      <c r="C17" s="57" t="s">
        <v>316</v>
      </c>
      <c r="D17" s="57"/>
      <c r="E17" s="57"/>
      <c r="F17" s="57"/>
      <c r="G17" s="377" t="s">
        <v>639</v>
      </c>
      <c r="H17" s="68"/>
      <c r="I17" s="23"/>
      <c r="J17" s="23"/>
      <c r="K17" s="23"/>
      <c r="L17" s="23"/>
      <c r="M17" s="23"/>
      <c r="N17" s="23"/>
      <c r="O17" s="23"/>
    </row>
    <row r="18" spans="3:15" outlineLevel="1" x14ac:dyDescent="0.25">
      <c r="C18" s="23" t="s">
        <v>154</v>
      </c>
      <c r="D18" s="82" t="str">
        <f>Calc_TU_values!$D$5</f>
        <v>VDO 2022-23 - Draft</v>
      </c>
      <c r="E18" s="23" t="s">
        <v>586</v>
      </c>
      <c r="F18" s="82" t="str">
        <f>INDEX(Inputs!$H$10:$U$10,1,MATCH($D18,Inputs!$H$8:$U$8,0))</f>
        <v>D-NextVDO_Input</v>
      </c>
      <c r="G18" s="58"/>
      <c r="H18" s="23" t="s">
        <v>130</v>
      </c>
      <c r="I18" s="23" t="s">
        <v>153</v>
      </c>
      <c r="J18" s="59" t="s">
        <v>110</v>
      </c>
      <c r="K18" s="65">
        <f>IFERROR(INDEX(Input_TUEnv_Actual[],MATCH($C18,Input_TUEnv_Actual[Cost item],0),MATCH($F18,Input_TUEnv_Actual[#Headers],0)),"-")</f>
        <v>34.44</v>
      </c>
      <c r="L18" s="65">
        <f>IFERROR(INDEX(Input_TUEnv_Actual[],MATCH($C18,Input_TUEnv_Actual[Cost item],0),MATCH($F18,Input_TUEnv_Actual[#Headers],0)),"-")</f>
        <v>34.44</v>
      </c>
      <c r="M18" s="65">
        <f>IFERROR(INDEX(Input_TUEnv_Actual[],MATCH($C18,Input_TUEnv_Actual[Cost item],0),MATCH($F18,Input_TUEnv_Actual[#Headers],0)),"-")</f>
        <v>34.44</v>
      </c>
      <c r="N18" s="65">
        <f>IFERROR(INDEX(Input_TUEnv_Actual[],MATCH($C18,Input_TUEnv_Actual[Cost item],0),MATCH($F18,Input_TUEnv_Actual[#Headers],0)),"-")</f>
        <v>34.44</v>
      </c>
      <c r="O18" s="65">
        <f>IFERROR(INDEX(Input_TUEnv_Actual[],MATCH($C18,Input_TUEnv_Actual[Cost item],0),MATCH($F18,Input_TUEnv_Actual[#Headers],0)),"-")</f>
        <v>34.44</v>
      </c>
    </row>
    <row r="19" spans="3:15" outlineLevel="1" x14ac:dyDescent="0.25">
      <c r="C19" s="23" t="s">
        <v>158</v>
      </c>
      <c r="D19" s="82" t="str">
        <f>Calc_TU_values!$D$5</f>
        <v>VDO 2022-23 - Draft</v>
      </c>
      <c r="E19" s="23" t="s">
        <v>586</v>
      </c>
      <c r="F19" s="82" t="str">
        <f>INDEX(Inputs!$H$10:$U$10,1,MATCH($D19,Inputs!$H$8:$U$8,0))</f>
        <v>D-NextVDO_Input</v>
      </c>
      <c r="G19" s="58"/>
      <c r="H19" s="23" t="s">
        <v>130</v>
      </c>
      <c r="I19" s="23" t="s">
        <v>157</v>
      </c>
      <c r="J19" s="59" t="s">
        <v>110</v>
      </c>
      <c r="K19" s="67">
        <f>IFERROR(INDEX(Input_TUEnv_Actual[],MATCH($C19,Input_TUEnv_Actual[Cost item],0),MATCH($F19,Input_TUEnv_Actual[#Headers],0)),"-")</f>
        <v>0.18640000000000001</v>
      </c>
      <c r="L19" s="67">
        <f>IFERROR(INDEX(Input_TUEnv_Actual[],MATCH($C19,Input_TUEnv_Actual[Cost item],0),MATCH($F19,Input_TUEnv_Actual[#Headers],0)),"-")</f>
        <v>0.18640000000000001</v>
      </c>
      <c r="M19" s="67">
        <f>IFERROR(INDEX(Input_TUEnv_Actual[],MATCH($C19,Input_TUEnv_Actual[Cost item],0),MATCH($F19,Input_TUEnv_Actual[#Headers],0)),"-")</f>
        <v>0.18640000000000001</v>
      </c>
      <c r="N19" s="67">
        <f>IFERROR(INDEX(Input_TUEnv_Actual[],MATCH($C19,Input_TUEnv_Actual[Cost item],0),MATCH($F19,Input_TUEnv_Actual[#Headers],0)),"-")</f>
        <v>0.18640000000000001</v>
      </c>
      <c r="O19" s="67">
        <f>IFERROR(INDEX(Input_TUEnv_Actual[],MATCH($C19,Input_TUEnv_Actual[Cost item],0),MATCH($F19,Input_TUEnv_Actual[#Headers],0)),"-")</f>
        <v>0.18640000000000001</v>
      </c>
    </row>
    <row r="20" spans="3:15" outlineLevel="1" x14ac:dyDescent="0.25">
      <c r="C20" s="23" t="s">
        <v>318</v>
      </c>
      <c r="D20" s="82" t="str">
        <f>Calc_TU_values!$D$5</f>
        <v>VDO 2022-23 - Draft</v>
      </c>
      <c r="E20" s="23" t="s">
        <v>586</v>
      </c>
      <c r="F20" s="82" t="str">
        <f>INDEX(Inputs!$H$10:$U$10,1,MATCH($D20,Inputs!$H$8:$U$8,0))</f>
        <v>D-NextVDO_Input</v>
      </c>
      <c r="G20" s="58"/>
      <c r="H20" s="23" t="s">
        <v>130</v>
      </c>
      <c r="I20" s="23" t="s">
        <v>282</v>
      </c>
      <c r="J20" s="59" t="s">
        <v>110</v>
      </c>
      <c r="K20" s="64">
        <f>K18*K19/1000</f>
        <v>6.4196159999999995E-3</v>
      </c>
      <c r="L20" s="64">
        <f t="shared" ref="L20:O20" si="1">L18*L19/1000</f>
        <v>6.4196159999999995E-3</v>
      </c>
      <c r="M20" s="64">
        <f t="shared" si="1"/>
        <v>6.4196159999999995E-3</v>
      </c>
      <c r="N20" s="64">
        <f t="shared" si="1"/>
        <v>6.4196159999999995E-3</v>
      </c>
      <c r="O20" s="64">
        <f t="shared" si="1"/>
        <v>6.4196159999999995E-3</v>
      </c>
    </row>
    <row r="21" spans="3:15" outlineLevel="1" x14ac:dyDescent="0.25">
      <c r="C21" s="23" t="s">
        <v>154</v>
      </c>
      <c r="D21" s="82" t="str">
        <f>INDEX(Input_DecisionActual[[Decision]:[Decision]],MATCH(Calc_TU_values!$D$5,Input_DecisionActual[[VDO period]:[VDO period]],0),1)</f>
        <v>VDO 2022 - Final</v>
      </c>
      <c r="E21" s="23" t="s">
        <v>587</v>
      </c>
      <c r="F21" s="82" t="str">
        <f>IF($D21="-","-",INDEX(Inputs!$H$10:$U$10,1,MATCH($D21,Inputs!$H$8:$U$8,0)))</f>
        <v>F-CurrentVDO_Input</v>
      </c>
      <c r="G21" s="58"/>
      <c r="H21" s="23" t="s">
        <v>130</v>
      </c>
      <c r="I21" s="23" t="s">
        <v>153</v>
      </c>
      <c r="J21" s="59" t="s">
        <v>110</v>
      </c>
      <c r="K21" s="66">
        <f>IFERROR(INDEX(Inputs!$H$11:$U$128,MATCH($C21,Input_ForRateCalc[Cost item],0),MATCH($F21,Inputs!$H$10:$U$10,0)),"-")</f>
        <v>34.44</v>
      </c>
      <c r="L21" s="66">
        <f>IFERROR(INDEX(Inputs!$H$11:$U$128,MATCH($C21,Input_ForRateCalc[Cost item],0),MATCH($F21,Inputs!$H$10:$U$10,0)),"-")</f>
        <v>34.44</v>
      </c>
      <c r="M21" s="66">
        <f>IFERROR(INDEX(Inputs!$H$11:$U$128,MATCH($C21,Input_ForRateCalc[Cost item],0),MATCH($F21,Inputs!$H$10:$U$10,0)),"-")</f>
        <v>34.44</v>
      </c>
      <c r="N21" s="66">
        <f>IFERROR(INDEX(Inputs!$H$11:$U$128,MATCH($C21,Input_ForRateCalc[Cost item],0),MATCH($F21,Inputs!$H$10:$U$10,0)),"-")</f>
        <v>34.44</v>
      </c>
      <c r="O21" s="66">
        <f>IFERROR(INDEX(Inputs!$H$11:$U$128,MATCH($C21,Input_ForRateCalc[Cost item],0),MATCH($F21,Inputs!$H$10:$U$10,0)),"-")</f>
        <v>34.44</v>
      </c>
    </row>
    <row r="22" spans="3:15" outlineLevel="1" x14ac:dyDescent="0.25">
      <c r="C22" s="23" t="s">
        <v>158</v>
      </c>
      <c r="D22" s="82" t="str">
        <f>INDEX(Input_DecisionActual[[Decision]:[Decision]],MATCH(Calc_TU_values!$D$5,Input_DecisionActual[[VDO period]:[VDO period]],0),1)</f>
        <v>VDO 2022 - Final</v>
      </c>
      <c r="E22" s="23" t="s">
        <v>587</v>
      </c>
      <c r="F22" s="82" t="str">
        <f>IF($D22="-","-",INDEX(Inputs!$H$10:$U$10,1,MATCH($D22,Inputs!$H$8:$U$8,0)))</f>
        <v>F-CurrentVDO_Input</v>
      </c>
      <c r="G22" s="58"/>
      <c r="H22" s="23" t="s">
        <v>130</v>
      </c>
      <c r="I22" s="23" t="s">
        <v>157</v>
      </c>
      <c r="J22" s="59" t="s">
        <v>110</v>
      </c>
      <c r="K22" s="67">
        <f>IFERROR(INDEX(Inputs!$H$11:$U$128,MATCH($C22,Input_ForRateCalc[Cost item],0),MATCH($F22,Inputs!$H$10:$U$10,0)),"-")</f>
        <v>0.18540000000000001</v>
      </c>
      <c r="L22" s="67">
        <f>IFERROR(INDEX(Inputs!$H$11:$U$128,MATCH($C22,Input_ForRateCalc[Cost item],0),MATCH($F22,Inputs!$H$10:$U$10,0)),"-")</f>
        <v>0.18540000000000001</v>
      </c>
      <c r="M22" s="67">
        <f>IFERROR(INDEX(Inputs!$H$11:$U$128,MATCH($C22,Input_ForRateCalc[Cost item],0),MATCH($F22,Inputs!$H$10:$U$10,0)),"-")</f>
        <v>0.18540000000000001</v>
      </c>
      <c r="N22" s="67">
        <f>IFERROR(INDEX(Inputs!$H$11:$U$128,MATCH($C22,Input_ForRateCalc[Cost item],0),MATCH($F22,Inputs!$H$10:$U$10,0)),"-")</f>
        <v>0.18540000000000001</v>
      </c>
      <c r="O22" s="67">
        <f>IFERROR(INDEX(Inputs!$H$11:$U$128,MATCH($C22,Input_ForRateCalc[Cost item],0),MATCH($F22,Inputs!$H$10:$U$10,0)),"-")</f>
        <v>0.18540000000000001</v>
      </c>
    </row>
    <row r="23" spans="3:15" outlineLevel="1" x14ac:dyDescent="0.25">
      <c r="C23" s="23" t="s">
        <v>318</v>
      </c>
      <c r="D23" s="82" t="str">
        <f>INDEX(Input_DecisionActual[[Decision]:[Decision]],MATCH(Calc_TU_values!$D$5,Input_DecisionActual[[VDO period]:[VDO period]],0),1)</f>
        <v>VDO 2022 - Final</v>
      </c>
      <c r="E23" s="23" t="s">
        <v>587</v>
      </c>
      <c r="F23" s="82" t="str">
        <f>IF($D23="-","-",INDEX(Inputs!$H$10:$U$10,1,MATCH($D23,Inputs!$H$8:$U$8,0)))</f>
        <v>F-CurrentVDO_Input</v>
      </c>
      <c r="G23" s="58"/>
      <c r="H23" s="23" t="s">
        <v>130</v>
      </c>
      <c r="I23" s="23" t="s">
        <v>282</v>
      </c>
      <c r="J23" s="59" t="s">
        <v>110</v>
      </c>
      <c r="K23" s="64">
        <f>IFERROR(K21*K22/1000,"-")</f>
        <v>6.3851759999999994E-3</v>
      </c>
      <c r="L23" s="64">
        <f t="shared" ref="L23:O23" si="2">IFERROR(L21*L22/1000,"-")</f>
        <v>6.3851759999999994E-3</v>
      </c>
      <c r="M23" s="64">
        <f t="shared" si="2"/>
        <v>6.3851759999999994E-3</v>
      </c>
      <c r="N23" s="64">
        <f t="shared" si="2"/>
        <v>6.3851759999999994E-3</v>
      </c>
      <c r="O23" s="64">
        <f t="shared" si="2"/>
        <v>6.3851759999999994E-3</v>
      </c>
    </row>
    <row r="24" spans="3:15" outlineLevel="1" x14ac:dyDescent="0.25">
      <c r="C24" s="23" t="s">
        <v>319</v>
      </c>
      <c r="D24" s="23"/>
      <c r="E24" s="23"/>
      <c r="F24" s="23"/>
      <c r="G24" s="23"/>
      <c r="H24" s="23" t="s">
        <v>130</v>
      </c>
      <c r="I24" s="23" t="s">
        <v>282</v>
      </c>
      <c r="J24" s="23" t="s">
        <v>110</v>
      </c>
      <c r="K24" s="128">
        <f>IFERROR(K20-K23,"-")</f>
        <v>3.4440000000000165E-5</v>
      </c>
      <c r="L24" s="128">
        <f t="shared" ref="L24:O24" si="3">IFERROR(L20-L23,"-")</f>
        <v>3.4440000000000165E-5</v>
      </c>
      <c r="M24" s="128">
        <f t="shared" si="3"/>
        <v>3.4440000000000165E-5</v>
      </c>
      <c r="N24" s="128">
        <f t="shared" si="3"/>
        <v>3.4440000000000165E-5</v>
      </c>
      <c r="O24" s="128">
        <f t="shared" si="3"/>
        <v>3.4440000000000165E-5</v>
      </c>
    </row>
    <row r="25" spans="3:15" outlineLevel="1" x14ac:dyDescent="0.25">
      <c r="C25" s="23" t="s">
        <v>320</v>
      </c>
      <c r="D25" s="82" t="str">
        <f>INDEX(Input_DecisionActual[[Decision]:[Decision]],MATCH(Calc_TU_values!$D$5,Input_DecisionActual[[VDO period]:[VDO period]],0),1)</f>
        <v>VDO 2022 - Final</v>
      </c>
      <c r="E25" s="23" t="s">
        <v>587</v>
      </c>
      <c r="F25" s="82" t="str">
        <f>IF($D25="-","-",INDEX(Inputs!$H$10:$U$10,1,MATCH($D25,Inputs!$H$8:$U$8,0)))</f>
        <v>F-CurrentVDO_Input</v>
      </c>
      <c r="G25" s="23"/>
      <c r="H25" s="23" t="s">
        <v>130</v>
      </c>
      <c r="I25" s="23" t="s">
        <v>282</v>
      </c>
      <c r="J25" s="23" t="s">
        <v>110</v>
      </c>
      <c r="K25" s="129">
        <f>IFERROR(K24*(INDEX(Inputs!$H$11:$U$128,MATCH("Marginal loss factor - "&amp;K$15,Input_ForRateCalc[Cost item],0),MATCH($F25,Inputs!$H$10:$U$10,0))*INDEX(Inputs!$H$11:$U$128,MATCH("Distribution loss factor - "&amp;K$15,Input_ForRateCalc[Cost item],0),MATCH($F25,Inputs!$H$10:$U$10,0))-1),"-")</f>
        <v>2.7363569784864783E-6</v>
      </c>
      <c r="L25" s="129">
        <f>IFERROR(L24*(INDEX(Inputs!$H$11:$U$128,MATCH("Marginal loss factor - "&amp;L$15,Input_ForRateCalc[Cost item],0),MATCH($F25,Inputs!$H$10:$U$10,0))*INDEX(Inputs!$H$11:$U$128,MATCH("Distribution loss factor - "&amp;L$15,Input_ForRateCalc[Cost item],0),MATCH($F25,Inputs!$H$10:$U$10,0))-1),"-")</f>
        <v>1.6452562000000113E-6</v>
      </c>
      <c r="M25" s="129">
        <f>IFERROR(M24*(INDEX(Inputs!$H$11:$U$128,MATCH("Marginal loss factor - "&amp;M$15,Input_ForRateCalc[Cost item],0),MATCH($F25,Inputs!$H$10:$U$10,0))*INDEX(Inputs!$H$11:$U$128,MATCH("Distribution loss factor - "&amp;M$15,Input_ForRateCalc[Cost item],0),MATCH($F25,Inputs!$H$10:$U$10,0))-1),"-")</f>
        <v>1.4566733790000083E-6</v>
      </c>
      <c r="N25" s="129">
        <f>IFERROR(N24*(INDEX(Inputs!$H$11:$U$128,MATCH("Marginal loss factor - "&amp;N$15,Input_ForRateCalc[Cost item],0),MATCH($F25,Inputs!$H$10:$U$10,0))*INDEX(Inputs!$H$11:$U$128,MATCH("Distribution loss factor - "&amp;N$15,Input_ForRateCalc[Cost item],0),MATCH($F25,Inputs!$H$10:$U$10,0))-1),"-")</f>
        <v>2.4634108479812915E-6</v>
      </c>
      <c r="O25" s="129">
        <f>IFERROR(O24*(INDEX(Inputs!$H$11:$U$128,MATCH("Marginal loss factor - "&amp;O$15,Input_ForRateCalc[Cost item],0),MATCH($F25,Inputs!$H$10:$U$10,0))*INDEX(Inputs!$H$11:$U$128,MATCH("Distribution loss factor - "&amp;O$15,Input_ForRateCalc[Cost item],0),MATCH($F25,Inputs!$H$10:$U$10,0))-1),"-")</f>
        <v>1.6509150572727343E-6</v>
      </c>
    </row>
    <row r="26" spans="3:15" hidden="1" outlineLevel="1" x14ac:dyDescent="0.25">
      <c r="C26" s="23" t="s">
        <v>442</v>
      </c>
      <c r="D26" s="23"/>
      <c r="E26" s="23"/>
      <c r="F26" s="23"/>
      <c r="G26" s="23"/>
      <c r="H26" s="23" t="s">
        <v>130</v>
      </c>
      <c r="I26" s="23" t="s">
        <v>282</v>
      </c>
      <c r="J26" s="23" t="s">
        <v>110</v>
      </c>
      <c r="K26" s="129" t="str">
        <f>IF($D$11="Yes",SUM(K24:K25)*$D$12,"")</f>
        <v/>
      </c>
      <c r="L26" s="129" t="str">
        <f>IF($D$11="Yes",SUM(L24:L25)*$D$12,"")</f>
        <v/>
      </c>
      <c r="M26" s="129" t="str">
        <f>IF($D$11="Yes",SUM(M24:M25)*$D$12,"")</f>
        <v/>
      </c>
      <c r="N26" s="129" t="str">
        <f>IF($D$11="Yes",SUM(N24:N25)*$D$12,"")</f>
        <v/>
      </c>
      <c r="O26" s="129" t="str">
        <f>IF($D$11="Yes",SUM(O24:O25)*$D$12,"")</f>
        <v/>
      </c>
    </row>
    <row r="27" spans="3:15" outlineLevel="1" x14ac:dyDescent="0.25">
      <c r="C27" s="23" t="s">
        <v>321</v>
      </c>
      <c r="D27" s="82" t="str">
        <f>INDEX(Input_DecisionActual[[Decision]:[Decision]],MATCH(Calc_TU_values!$D$5,Input_DecisionActual[[VDO period]:[VDO period]],0),1)</f>
        <v>VDO 2022 - Final</v>
      </c>
      <c r="E27" s="23" t="s">
        <v>587</v>
      </c>
      <c r="F27" s="82" t="str">
        <f>IF($D27="-","-",INDEX(Inputs!$H$10:$U$10,1,MATCH($D27,Inputs!$H$8:$U$8,0)))</f>
        <v>F-CurrentVDO_Input</v>
      </c>
      <c r="G27" s="23"/>
      <c r="H27" s="23" t="s">
        <v>130</v>
      </c>
      <c r="I27" s="23" t="s">
        <v>282</v>
      </c>
      <c r="J27" s="23" t="s">
        <v>110</v>
      </c>
      <c r="K27" s="129">
        <f>IFERROR(SUM(K24:K26)*(INDEX(Inputs!$H$11:$U$128,MATCH("Retail operating margin",Input_ForRateCalc[Cost item],0),MATCH($F27,Inputs!$H$10:$U$10,0))),"-")</f>
        <v>2.2454519615005936E-6</v>
      </c>
      <c r="L27" s="129">
        <f>IFERROR(SUM(L24:L26)*(INDEX(Inputs!$H$11:$U$128,MATCH("Retail operating margin",Input_ForRateCalc[Cost item],0),MATCH($F27,Inputs!$H$10:$U$10,0))),"-")</f>
        <v>2.1795494744800108E-6</v>
      </c>
      <c r="M27" s="129">
        <f>IFERROR(SUM(M24:M26)*(INDEX(Inputs!$H$11:$U$128,MATCH("Retail operating margin",Input_ForRateCalc[Cost item],0),MATCH($F27,Inputs!$H$10:$U$10,0))),"-")</f>
        <v>2.1681590720916105E-6</v>
      </c>
      <c r="N27" s="129">
        <f>IFERROR(SUM(N24:N26)*(INDEX(Inputs!$H$11:$U$128,MATCH("Retail operating margin",Input_ForRateCalc[Cost item],0),MATCH($F27,Inputs!$H$10:$U$10,0))),"-")</f>
        <v>2.2289660152180803E-6</v>
      </c>
      <c r="O27" s="129">
        <f>IFERROR(SUM(O24:O26)*(INDEX(Inputs!$H$11:$U$128,MATCH("Retail operating margin",Input_ForRateCalc[Cost item],0),MATCH($F27,Inputs!$H$10:$U$10,0))),"-")</f>
        <v>2.1798912694592829E-6</v>
      </c>
    </row>
    <row r="28" spans="3:15" outlineLevel="1" x14ac:dyDescent="0.25">
      <c r="C28" s="23" t="s">
        <v>443</v>
      </c>
      <c r="D28" s="23"/>
      <c r="E28" s="23"/>
      <c r="F28" s="23"/>
      <c r="G28" s="23"/>
      <c r="H28" s="23" t="s">
        <v>130</v>
      </c>
      <c r="I28" s="23" t="s">
        <v>282</v>
      </c>
      <c r="J28" s="23" t="s">
        <v>110</v>
      </c>
      <c r="K28" s="129">
        <f>SUM(K24:K27)*GST</f>
        <v>3.942180893998724E-6</v>
      </c>
      <c r="L28" s="129">
        <f>SUM(L24:L27)*GST</f>
        <v>3.8264805674480186E-6</v>
      </c>
      <c r="M28" s="129">
        <f>SUM(M24:M27)*GST</f>
        <v>3.8064832451091783E-6</v>
      </c>
      <c r="N28" s="129">
        <f>SUM(N24:N27)*GST</f>
        <v>3.9132376863199538E-6</v>
      </c>
      <c r="O28" s="129">
        <f>SUM(O24:O27)*GST</f>
        <v>3.8270806326732186E-6</v>
      </c>
    </row>
    <row r="29" spans="3:15" outlineLevel="1" x14ac:dyDescent="0.25">
      <c r="C29" s="59" t="s">
        <v>322</v>
      </c>
      <c r="D29" s="59"/>
      <c r="E29" s="59"/>
      <c r="F29" s="59"/>
      <c r="H29" s="59" t="s">
        <v>130</v>
      </c>
      <c r="I29" s="59" t="s">
        <v>282</v>
      </c>
      <c r="J29" s="59" t="s">
        <v>110</v>
      </c>
      <c r="K29" s="129">
        <f>SUM(K24:K28)</f>
        <v>4.336398983398596E-5</v>
      </c>
      <c r="L29" s="129">
        <f>SUM(L24:L28)</f>
        <v>4.2091286241928205E-5</v>
      </c>
      <c r="M29" s="129">
        <f>SUM(M24:M28)</f>
        <v>4.1871315696200958E-5</v>
      </c>
      <c r="N29" s="129">
        <f>SUM(N24:N28)</f>
        <v>4.3045614549519494E-5</v>
      </c>
      <c r="O29" s="129">
        <f>SUM(O24:O28)</f>
        <v>4.2097886959405397E-5</v>
      </c>
    </row>
    <row r="30" spans="3:15" outlineLevel="1" x14ac:dyDescent="0.25">
      <c r="C30" s="23"/>
      <c r="D30" s="23"/>
      <c r="E30" s="23"/>
      <c r="F30" s="23"/>
      <c r="G30" s="23"/>
      <c r="H30" s="23"/>
      <c r="I30" s="23"/>
      <c r="J30" s="23"/>
      <c r="K30" s="129"/>
      <c r="L30" s="129"/>
      <c r="M30" s="129"/>
      <c r="N30" s="129"/>
      <c r="O30" s="129"/>
    </row>
    <row r="31" spans="3:15" outlineLevel="1" x14ac:dyDescent="0.25">
      <c r="C31" s="57" t="s">
        <v>323</v>
      </c>
      <c r="D31" s="57"/>
      <c r="E31" s="57"/>
      <c r="F31" s="57"/>
      <c r="G31" s="377" t="s">
        <v>639</v>
      </c>
      <c r="H31" s="68"/>
      <c r="I31" s="23"/>
      <c r="J31" s="23"/>
      <c r="K31" s="23"/>
      <c r="L31" s="23"/>
      <c r="M31" s="23"/>
      <c r="N31" s="23"/>
      <c r="O31" s="23"/>
    </row>
    <row r="32" spans="3:15" outlineLevel="1" x14ac:dyDescent="0.25">
      <c r="C32" s="23" t="s">
        <v>155</v>
      </c>
      <c r="D32" s="82" t="str">
        <f>Calc_TU_values!$D$5</f>
        <v>VDO 2022-23 - Draft</v>
      </c>
      <c r="E32" s="23" t="s">
        <v>586</v>
      </c>
      <c r="F32" s="82" t="str">
        <f>INDEX(Inputs!$H$10:$U$10,1,MATCH($D32,Inputs!$H$8:$U$8,0))</f>
        <v>D-NextVDO_Input</v>
      </c>
      <c r="G32" s="58"/>
      <c r="H32" s="23" t="s">
        <v>130</v>
      </c>
      <c r="I32" s="23" t="s">
        <v>153</v>
      </c>
      <c r="J32" s="59" t="s">
        <v>110</v>
      </c>
      <c r="K32" s="65">
        <f>IFERROR(INDEX(Input_TUEnv_Actual[],MATCH($C32,Input_TUEnv_Actual[Cost item],0),MATCH($F32,Input_TUEnv_Actual[#Headers],0)),"-")</f>
        <v>40</v>
      </c>
      <c r="L32" s="65">
        <f>IFERROR(INDEX(Input_TUEnv_Actual[],MATCH($C32,Input_TUEnv_Actual[Cost item],0),MATCH($F32,Input_TUEnv_Actual[#Headers],0)),"-")</f>
        <v>40</v>
      </c>
      <c r="M32" s="65">
        <f>IFERROR(INDEX(Input_TUEnv_Actual[],MATCH($C32,Input_TUEnv_Actual[Cost item],0),MATCH($F32,Input_TUEnv_Actual[#Headers],0)),"-")</f>
        <v>40</v>
      </c>
      <c r="N32" s="65">
        <f>IFERROR(INDEX(Input_TUEnv_Actual[],MATCH($C32,Input_TUEnv_Actual[Cost item],0),MATCH($F32,Input_TUEnv_Actual[#Headers],0)),"-")</f>
        <v>40</v>
      </c>
      <c r="O32" s="65">
        <f>IFERROR(INDEX(Input_TUEnv_Actual[],MATCH($C32,Input_TUEnv_Actual[Cost item],0),MATCH($F32,Input_TUEnv_Actual[#Headers],0)),"-")</f>
        <v>40</v>
      </c>
    </row>
    <row r="33" spans="3:15" outlineLevel="1" x14ac:dyDescent="0.25">
      <c r="C33" s="59" t="s">
        <v>159</v>
      </c>
      <c r="D33" s="82" t="str">
        <f>Calc_TU_values!$D$5</f>
        <v>VDO 2022-23 - Draft</v>
      </c>
      <c r="E33" s="23" t="s">
        <v>586</v>
      </c>
      <c r="F33" s="82" t="str">
        <f>INDEX(Inputs!$H$10:$U$10,1,MATCH($D33,Inputs!$H$8:$U$8,0))</f>
        <v>D-NextVDO_Input</v>
      </c>
      <c r="G33" s="58"/>
      <c r="H33" s="23" t="s">
        <v>130</v>
      </c>
      <c r="I33" s="23" t="s">
        <v>157</v>
      </c>
      <c r="J33" s="59" t="s">
        <v>110</v>
      </c>
      <c r="K33" s="67">
        <f>IFERROR(INDEX(Input_TUEnv_Actual[],MATCH($C33,Input_TUEnv_Actual[Cost item],0),MATCH($F33,Input_TUEnv_Actual[#Headers],0)),"-")</f>
        <v>0.27260000000000001</v>
      </c>
      <c r="L33" s="67">
        <f>IFERROR(INDEX(Input_TUEnv_Actual[],MATCH($C33,Input_TUEnv_Actual[Cost item],0),MATCH($F33,Input_TUEnv_Actual[#Headers],0)),"-")</f>
        <v>0.27260000000000001</v>
      </c>
      <c r="M33" s="67">
        <f>IFERROR(INDEX(Input_TUEnv_Actual[],MATCH($C33,Input_TUEnv_Actual[Cost item],0),MATCH($F33,Input_TUEnv_Actual[#Headers],0)),"-")</f>
        <v>0.27260000000000001</v>
      </c>
      <c r="N33" s="67">
        <f>IFERROR(INDEX(Input_TUEnv_Actual[],MATCH($C33,Input_TUEnv_Actual[Cost item],0),MATCH($F33,Input_TUEnv_Actual[#Headers],0)),"-")</f>
        <v>0.27260000000000001</v>
      </c>
      <c r="O33" s="67">
        <f>IFERROR(INDEX(Input_TUEnv_Actual[],MATCH($C33,Input_TUEnv_Actual[Cost item],0),MATCH($F33,Input_TUEnv_Actual[#Headers],0)),"-")</f>
        <v>0.27260000000000001</v>
      </c>
    </row>
    <row r="34" spans="3:15" outlineLevel="1" x14ac:dyDescent="0.25">
      <c r="C34" s="23" t="s">
        <v>318</v>
      </c>
      <c r="D34" s="82" t="str">
        <f>Calc_TU_values!$D$5</f>
        <v>VDO 2022-23 - Draft</v>
      </c>
      <c r="E34" s="23" t="s">
        <v>586</v>
      </c>
      <c r="F34" s="82" t="str">
        <f>INDEX(Inputs!$H$10:$U$10,1,MATCH($D34,Inputs!$H$8:$U$8,0))</f>
        <v>D-NextVDO_Input</v>
      </c>
      <c r="G34" s="58"/>
      <c r="H34" s="23" t="s">
        <v>130</v>
      </c>
      <c r="I34" s="23" t="s">
        <v>282</v>
      </c>
      <c r="J34" s="59" t="s">
        <v>110</v>
      </c>
      <c r="K34" s="64">
        <f>K32*K33/1000</f>
        <v>1.0904E-2</v>
      </c>
      <c r="L34" s="64">
        <f t="shared" ref="L34" si="4">L32*L33/1000</f>
        <v>1.0904E-2</v>
      </c>
      <c r="M34" s="64">
        <f t="shared" ref="M34" si="5">M32*M33/1000</f>
        <v>1.0904E-2</v>
      </c>
      <c r="N34" s="64">
        <f t="shared" ref="N34" si="6">N32*N33/1000</f>
        <v>1.0904E-2</v>
      </c>
      <c r="O34" s="64">
        <f t="shared" ref="O34" si="7">O32*O33/1000</f>
        <v>1.0904E-2</v>
      </c>
    </row>
    <row r="35" spans="3:15" outlineLevel="1" x14ac:dyDescent="0.25">
      <c r="C35" s="23" t="s">
        <v>155</v>
      </c>
      <c r="D35" s="82" t="str">
        <f>INDEX(Input_DecisionActual[[Decision]:[Decision]],MATCH(Calc_TU_values!$D$5,Input_DecisionActual[[VDO period]:[VDO period]],0),1)</f>
        <v>VDO 2022 - Final</v>
      </c>
      <c r="E35" s="23" t="s">
        <v>587</v>
      </c>
      <c r="F35" s="82" t="str">
        <f>IF($D35="-","-",INDEX(Inputs!$H$10:$U$10,1,MATCH($D35,Inputs!$H$8:$U$8,0)))</f>
        <v>F-CurrentVDO_Input</v>
      </c>
      <c r="G35" s="58"/>
      <c r="H35" s="23" t="s">
        <v>130</v>
      </c>
      <c r="I35" s="23" t="s">
        <v>153</v>
      </c>
      <c r="J35" s="59" t="s">
        <v>110</v>
      </c>
      <c r="K35" s="66">
        <f>IFERROR(INDEX(Inputs!$H$11:$U$128,MATCH($C35,Input_ForRateCalc[Cost item],0),MATCH($F35,Inputs!$H$10:$U$10,0)),"-")</f>
        <v>40</v>
      </c>
      <c r="L35" s="66">
        <f>IFERROR(INDEX(Inputs!$H$11:$U$128,MATCH($C35,Input_ForRateCalc[Cost item],0),MATCH($F35,Inputs!$H$10:$U$10,0)),"-")</f>
        <v>40</v>
      </c>
      <c r="M35" s="66">
        <f>IFERROR(INDEX(Inputs!$H$11:$U$128,MATCH($C35,Input_ForRateCalc[Cost item],0),MATCH($F35,Inputs!$H$10:$U$10,0)),"-")</f>
        <v>40</v>
      </c>
      <c r="N35" s="66">
        <f>IFERROR(INDEX(Inputs!$H$11:$U$128,MATCH($C35,Input_ForRateCalc[Cost item],0),MATCH($F35,Inputs!$H$10:$U$10,0)),"-")</f>
        <v>40</v>
      </c>
      <c r="O35" s="66">
        <f>IFERROR(INDEX(Inputs!$H$11:$U$128,MATCH($C35,Input_ForRateCalc[Cost item],0),MATCH($F35,Inputs!$H$10:$U$10,0)),"-")</f>
        <v>40</v>
      </c>
    </row>
    <row r="36" spans="3:15" outlineLevel="1" x14ac:dyDescent="0.25">
      <c r="C36" s="59" t="s">
        <v>159</v>
      </c>
      <c r="D36" s="82" t="str">
        <f>INDEX(Input_DecisionActual[[Decision]:[Decision]],MATCH(Calc_TU_values!$D$5,Input_DecisionActual[[VDO period]:[VDO period]],0),1)</f>
        <v>VDO 2022 - Final</v>
      </c>
      <c r="E36" s="23" t="s">
        <v>587</v>
      </c>
      <c r="F36" s="82" t="str">
        <f>IF($D36="-","-",INDEX(Inputs!$H$10:$U$10,1,MATCH($D36,Inputs!$H$8:$U$8,0)))</f>
        <v>F-CurrentVDO_Input</v>
      </c>
      <c r="G36" s="58"/>
      <c r="H36" s="23" t="s">
        <v>130</v>
      </c>
      <c r="I36" s="23" t="s">
        <v>157</v>
      </c>
      <c r="J36" s="59" t="s">
        <v>110</v>
      </c>
      <c r="K36" s="67">
        <f>IFERROR(INDEX(Inputs!$H$11:$U$128,MATCH($C36,Input_ForRateCalc[Cost item],0),MATCH($F36,Inputs!$H$10:$U$10,0)),"-")</f>
        <v>0.25600000000000001</v>
      </c>
      <c r="L36" s="67">
        <f>IFERROR(INDEX(Inputs!$H$11:$U$128,MATCH($C36,Input_ForRateCalc[Cost item],0),MATCH($F36,Inputs!$H$10:$U$10,0)),"-")</f>
        <v>0.25600000000000001</v>
      </c>
      <c r="M36" s="67">
        <f>IFERROR(INDEX(Inputs!$H$11:$U$128,MATCH($C36,Input_ForRateCalc[Cost item],0),MATCH($F36,Inputs!$H$10:$U$10,0)),"-")</f>
        <v>0.25600000000000001</v>
      </c>
      <c r="N36" s="67">
        <f>IFERROR(INDEX(Inputs!$H$11:$U$128,MATCH($C36,Input_ForRateCalc[Cost item],0),MATCH($F36,Inputs!$H$10:$U$10,0)),"-")</f>
        <v>0.25600000000000001</v>
      </c>
      <c r="O36" s="67">
        <f>IFERROR(INDEX(Inputs!$H$11:$U$128,MATCH($C36,Input_ForRateCalc[Cost item],0),MATCH($F36,Inputs!$H$10:$U$10,0)),"-")</f>
        <v>0.25600000000000001</v>
      </c>
    </row>
    <row r="37" spans="3:15" outlineLevel="1" x14ac:dyDescent="0.25">
      <c r="C37" s="23" t="s">
        <v>318</v>
      </c>
      <c r="D37" s="82" t="str">
        <f>INDEX(Input_DecisionActual[[Decision]:[Decision]],MATCH(Calc_TU_values!$D$5,Input_DecisionActual[[VDO period]:[VDO period]],0),1)</f>
        <v>VDO 2022 - Final</v>
      </c>
      <c r="E37" s="23" t="s">
        <v>587</v>
      </c>
      <c r="F37" s="82" t="str">
        <f>IF($D37="-","-",INDEX(Inputs!$H$10:$U$10,1,MATCH($D37,Inputs!$H$8:$U$8,0)))</f>
        <v>F-CurrentVDO_Input</v>
      </c>
      <c r="G37" s="58"/>
      <c r="H37" s="23" t="s">
        <v>130</v>
      </c>
      <c r="I37" s="23" t="s">
        <v>282</v>
      </c>
      <c r="J37" s="59" t="s">
        <v>110</v>
      </c>
      <c r="K37" s="64">
        <f>IFERROR(K35*K36/1000,"-")</f>
        <v>1.0240000000000001E-2</v>
      </c>
      <c r="L37" s="64">
        <f t="shared" ref="L37" si="8">IFERROR(L35*L36/1000,"-")</f>
        <v>1.0240000000000001E-2</v>
      </c>
      <c r="M37" s="64">
        <f t="shared" ref="M37" si="9">IFERROR(M35*M36/1000,"-")</f>
        <v>1.0240000000000001E-2</v>
      </c>
      <c r="N37" s="64">
        <f t="shared" ref="N37" si="10">IFERROR(N35*N36/1000,"-")</f>
        <v>1.0240000000000001E-2</v>
      </c>
      <c r="O37" s="64">
        <f t="shared" ref="O37" si="11">IFERROR(O35*O36/1000,"-")</f>
        <v>1.0240000000000001E-2</v>
      </c>
    </row>
    <row r="38" spans="3:15" outlineLevel="1" x14ac:dyDescent="0.25">
      <c r="C38" s="23" t="s">
        <v>319</v>
      </c>
      <c r="D38" s="23"/>
      <c r="E38" s="23"/>
      <c r="F38" s="23"/>
      <c r="G38" s="23"/>
      <c r="H38" s="23" t="s">
        <v>130</v>
      </c>
      <c r="I38" s="23" t="s">
        <v>282</v>
      </c>
      <c r="J38" s="23" t="s">
        <v>110</v>
      </c>
      <c r="K38" s="128">
        <f>IFERROR(K34-K37,"-")</f>
        <v>6.6399999999999966E-4</v>
      </c>
      <c r="L38" s="128">
        <f t="shared" ref="L38" si="12">IFERROR(L34-L37,"-")</f>
        <v>6.6399999999999966E-4</v>
      </c>
      <c r="M38" s="128">
        <f t="shared" ref="M38" si="13">IFERROR(M34-M37,"-")</f>
        <v>6.6399999999999966E-4</v>
      </c>
      <c r="N38" s="128">
        <f t="shared" ref="N38" si="14">IFERROR(N34-N37,"-")</f>
        <v>6.6399999999999966E-4</v>
      </c>
      <c r="O38" s="128">
        <f t="shared" ref="O38" si="15">IFERROR(O34-O37,"-")</f>
        <v>6.6399999999999966E-4</v>
      </c>
    </row>
    <row r="39" spans="3:15" outlineLevel="1" x14ac:dyDescent="0.25">
      <c r="C39" s="23" t="s">
        <v>320</v>
      </c>
      <c r="D39" s="82" t="str">
        <f>INDEX(Input_DecisionActual[[Decision]:[Decision]],MATCH(Calc_TU_values!$D$5,Input_DecisionActual[[VDO period]:[VDO period]],0),1)</f>
        <v>VDO 2022 - Final</v>
      </c>
      <c r="E39" s="23" t="s">
        <v>587</v>
      </c>
      <c r="F39" s="82" t="str">
        <f>IF($D39="-","-",INDEX(Inputs!$H$10:$U$10,1,MATCH($D39,Inputs!$H$8:$U$8,0)))</f>
        <v>F-CurrentVDO_Input</v>
      </c>
      <c r="G39" s="23"/>
      <c r="H39" s="23" t="s">
        <v>130</v>
      </c>
      <c r="I39" s="23" t="s">
        <v>282</v>
      </c>
      <c r="J39" s="23" t="s">
        <v>110</v>
      </c>
      <c r="K39" s="129">
        <f>IFERROR(K38*(INDEX(Inputs!$H$11:$U$128,MATCH("Marginal loss factor - "&amp;K$15,Input_ForRateCalc[Cost item],0),MATCH($F39,Inputs!$H$10:$U$10,0))*INDEX(Inputs!$H$11:$U$128,MATCH("Distribution loss factor - "&amp;K$15,Input_ForRateCalc[Cost item],0),MATCH($F39,Inputs!$H$10:$U$10,0))-1),"-")</f>
        <v>5.2756708296022414E-5</v>
      </c>
      <c r="L39" s="129">
        <f>IFERROR(L38*(INDEX(Inputs!$H$11:$U$128,MATCH("Marginal loss factor - "&amp;L$15,Input_ForRateCalc[Cost item],0),MATCH($F39,Inputs!$H$10:$U$10,0))*INDEX(Inputs!$H$11:$U$128,MATCH("Distribution loss factor - "&amp;L$15,Input_ForRateCalc[Cost item],0),MATCH($F39,Inputs!$H$10:$U$10,0))-1),"-")</f>
        <v>3.1720386666666718E-5</v>
      </c>
      <c r="M39" s="129">
        <f>IFERROR(M38*(INDEX(Inputs!$H$11:$U$128,MATCH("Marginal loss factor - "&amp;M$15,Input_ForRateCalc[Cost item],0),MATCH($F39,Inputs!$H$10:$U$10,0))*INDEX(Inputs!$H$11:$U$128,MATCH("Distribution loss factor - "&amp;M$15,Input_ForRateCalc[Cost item],0),MATCH($F39,Inputs!$H$10:$U$10,0))-1),"-")</f>
        <v>2.8084527400000012E-5</v>
      </c>
      <c r="N39" s="129">
        <f>IFERROR(N38*(INDEX(Inputs!$H$11:$U$128,MATCH("Marginal loss factor - "&amp;N$15,Input_ForRateCalc[Cost item],0),MATCH($F39,Inputs!$H$10:$U$10,0))*INDEX(Inputs!$H$11:$U$128,MATCH("Distribution loss factor - "&amp;N$15,Input_ForRateCalc[Cost item],0),MATCH($F39,Inputs!$H$10:$U$10,0))-1),"-")</f>
        <v>4.7494332260730806E-5</v>
      </c>
      <c r="O39" s="129">
        <f>IFERROR(O38*(INDEX(Inputs!$H$11:$U$128,MATCH("Marginal loss factor - "&amp;O$15,Input_ForRateCalc[Cost item],0),MATCH($F39,Inputs!$H$10:$U$10,0))*INDEX(Inputs!$H$11:$U$128,MATCH("Distribution loss factor - "&amp;O$15,Input_ForRateCalc[Cost item],0),MATCH($F39,Inputs!$H$10:$U$10,0))-1),"-")</f>
        <v>3.1829488909090875E-5</v>
      </c>
    </row>
    <row r="40" spans="3:15" hidden="1" outlineLevel="1" x14ac:dyDescent="0.25">
      <c r="C40" s="23" t="s">
        <v>442</v>
      </c>
      <c r="D40" s="23"/>
      <c r="E40" s="23"/>
      <c r="F40" s="23"/>
      <c r="G40" s="23"/>
      <c r="H40" s="23" t="s">
        <v>130</v>
      </c>
      <c r="I40" s="23" t="s">
        <v>282</v>
      </c>
      <c r="J40" s="23" t="s">
        <v>110</v>
      </c>
      <c r="K40" s="129" t="str">
        <f>IF($D$11="Yes",SUM(K38:K39)*$D$12,"")</f>
        <v/>
      </c>
      <c r="L40" s="129" t="str">
        <f>IF($D$11="Yes",SUM(L38:L39)*$D$12,"")</f>
        <v/>
      </c>
      <c r="M40" s="129" t="str">
        <f>IF($D$11="Yes",SUM(M38:M39)*$D$12,"")</f>
        <v/>
      </c>
      <c r="N40" s="129" t="str">
        <f>IF($D$11="Yes",SUM(N38:N39)*$D$12,"")</f>
        <v/>
      </c>
      <c r="O40" s="129" t="str">
        <f>IF($D$11="Yes",SUM(O38:O39)*$D$12,"")</f>
        <v/>
      </c>
    </row>
    <row r="41" spans="3:15" outlineLevel="1" x14ac:dyDescent="0.25">
      <c r="C41" s="23" t="s">
        <v>321</v>
      </c>
      <c r="D41" s="82" t="str">
        <f>INDEX(Input_DecisionActual[[Decision]:[Decision]],MATCH(Calc_TU_values!$D$5,Input_DecisionActual[[VDO period]:[VDO period]],0),1)</f>
        <v>VDO 2022 - Final</v>
      </c>
      <c r="E41" s="23" t="s">
        <v>587</v>
      </c>
      <c r="F41" s="82" t="str">
        <f>IF($D41="-","-",INDEX(Inputs!$H$10:$U$10,1,MATCH($D41,Inputs!$H$8:$U$8,0)))</f>
        <v>F-CurrentVDO_Input</v>
      </c>
      <c r="G41" s="23"/>
      <c r="H41" s="23" t="s">
        <v>130</v>
      </c>
      <c r="I41" s="23" t="s">
        <v>282</v>
      </c>
      <c r="J41" s="23" t="s">
        <v>110</v>
      </c>
      <c r="K41" s="129">
        <f>IFERROR(SUM(K38:K40)*(INDEX(Inputs!$H$11:$U$128,MATCH("Retail operating margin",Input_ForRateCalc[Cost item],0),MATCH($F41,Inputs!$H$10:$U$10,0))),"-")</f>
        <v>4.3292105181079739E-5</v>
      </c>
      <c r="L41" s="129">
        <f>IFERROR(SUM(L38:L40)*(INDEX(Inputs!$H$11:$U$128,MATCH("Retail operating margin",Input_ForRateCalc[Cost item],0),MATCH($F41,Inputs!$H$10:$U$10,0))),"-")</f>
        <v>4.2021511354666655E-5</v>
      </c>
      <c r="M41" s="129">
        <f>IFERROR(SUM(M38:M40)*(INDEX(Inputs!$H$11:$U$128,MATCH("Retail operating margin",Input_ForRateCalc[Cost item],0),MATCH($F41,Inputs!$H$10:$U$10,0))),"-")</f>
        <v>4.1801905454959981E-5</v>
      </c>
      <c r="N41" s="129">
        <f>IFERROR(SUM(N38:N40)*(INDEX(Inputs!$H$11:$U$128,MATCH("Retail operating margin",Input_ForRateCalc[Cost item],0),MATCH($F41,Inputs!$H$10:$U$10,0))),"-")</f>
        <v>4.2974257668548118E-5</v>
      </c>
      <c r="O41" s="129">
        <f>IFERROR(SUM(O38:O40)*(INDEX(Inputs!$H$11:$U$128,MATCH("Retail operating margin",Input_ForRateCalc[Cost item],0),MATCH($F41,Inputs!$H$10:$U$10,0))),"-")</f>
        <v>4.2028101130109073E-5</v>
      </c>
    </row>
    <row r="42" spans="3:15" outlineLevel="1" x14ac:dyDescent="0.25">
      <c r="C42" s="23" t="s">
        <v>443</v>
      </c>
      <c r="D42" s="23"/>
      <c r="E42" s="23"/>
      <c r="F42" s="23"/>
      <c r="G42" s="23"/>
      <c r="H42" s="23" t="s">
        <v>130</v>
      </c>
      <c r="I42" s="23" t="s">
        <v>282</v>
      </c>
      <c r="J42" s="23" t="s">
        <v>110</v>
      </c>
      <c r="K42" s="129">
        <f>SUM(K38:K41)*GST</f>
        <v>7.6004881347710199E-5</v>
      </c>
      <c r="L42" s="129">
        <f>SUM(L38:L41)*GST</f>
        <v>7.3774189802133309E-5</v>
      </c>
      <c r="M42" s="129">
        <f>SUM(M38:M41)*GST</f>
        <v>7.3388643285495967E-5</v>
      </c>
      <c r="N42" s="129">
        <f>SUM(N38:N41)*GST</f>
        <v>7.5446858992927863E-5</v>
      </c>
      <c r="O42" s="129">
        <f>SUM(O38:O41)*GST</f>
        <v>7.3785759003919976E-5</v>
      </c>
    </row>
    <row r="43" spans="3:15" outlineLevel="1" x14ac:dyDescent="0.25">
      <c r="C43" s="59" t="s">
        <v>324</v>
      </c>
      <c r="D43" s="59"/>
      <c r="E43" s="59"/>
      <c r="F43" s="59"/>
      <c r="H43" s="59" t="s">
        <v>130</v>
      </c>
      <c r="I43" s="59" t="s">
        <v>282</v>
      </c>
      <c r="J43" s="59" t="s">
        <v>110</v>
      </c>
      <c r="K43" s="129">
        <f>SUM(K38:K42)</f>
        <v>8.3605369482481207E-4</v>
      </c>
      <c r="L43" s="129">
        <f>SUM(L38:L42)</f>
        <v>8.1151608782346635E-4</v>
      </c>
      <c r="M43" s="129">
        <f>SUM(M38:M42)</f>
        <v>8.0727507614045558E-4</v>
      </c>
      <c r="N43" s="129">
        <f>SUM(N38:N42)</f>
        <v>8.2991544892220645E-4</v>
      </c>
      <c r="O43" s="129">
        <f>SUM(O38:O42)</f>
        <v>8.1164334904311962E-4</v>
      </c>
    </row>
    <row r="44" spans="3:15" outlineLevel="1" x14ac:dyDescent="0.25">
      <c r="C44" s="125"/>
      <c r="D44" s="125"/>
      <c r="E44" s="125"/>
      <c r="F44" s="125"/>
      <c r="G44" s="125"/>
      <c r="H44" s="125"/>
      <c r="I44" s="125"/>
      <c r="J44" s="125"/>
      <c r="K44" s="159"/>
      <c r="L44" s="159"/>
      <c r="M44" s="159"/>
      <c r="N44" s="159"/>
      <c r="O44" s="159"/>
    </row>
    <row r="45" spans="3:15" outlineLevel="1" x14ac:dyDescent="0.25">
      <c r="C45" s="57" t="s">
        <v>325</v>
      </c>
      <c r="D45" s="57"/>
      <c r="E45" s="57"/>
      <c r="F45" s="57"/>
      <c r="G45" s="68" t="s">
        <v>317</v>
      </c>
      <c r="H45" s="68"/>
      <c r="I45" s="23"/>
      <c r="J45" s="23"/>
      <c r="K45" s="23"/>
      <c r="L45" s="23"/>
      <c r="M45" s="23"/>
      <c r="N45" s="23"/>
      <c r="O45" s="23"/>
    </row>
    <row r="46" spans="3:15" outlineLevel="1" x14ac:dyDescent="0.25">
      <c r="C46" s="23" t="s">
        <v>152</v>
      </c>
      <c r="D46" s="82" t="str">
        <f>Calc_TU_values!$D$5</f>
        <v>VDO 2022-23 - Draft</v>
      </c>
      <c r="E46" s="23" t="s">
        <v>586</v>
      </c>
      <c r="F46" s="82" t="str">
        <f>INDEX(Inputs!$H$10:$U$10,1,MATCH($D46,Inputs!$H$8:$U$8,0))</f>
        <v>D-NextVDO_Input</v>
      </c>
      <c r="G46" s="58"/>
      <c r="H46" s="23" t="s">
        <v>130</v>
      </c>
      <c r="I46" s="23" t="s">
        <v>153</v>
      </c>
      <c r="J46" s="59" t="s">
        <v>110</v>
      </c>
      <c r="K46" s="65">
        <f>IFERROR(INDEX(Input_TUEnv_Actual[],MATCH($C46,Input_TUEnv_Actual[Cost item],0),MATCH($F46,Input_TUEnv_Actual[#Headers],0)),"-")</f>
        <v>56.939318273848677</v>
      </c>
      <c r="L46" s="65">
        <f>IFERROR(INDEX(Input_TUEnv_Actual[],MATCH($C46,Input_TUEnv_Actual[Cost item],0),MATCH($F46,Input_TUEnv_Actual[#Headers],0)),"-")</f>
        <v>56.939318273848677</v>
      </c>
      <c r="M46" s="65">
        <f>IFERROR(INDEX(Input_TUEnv_Actual[],MATCH($C46,Input_TUEnv_Actual[Cost item],0),MATCH($F46,Input_TUEnv_Actual[#Headers],0)),"-")</f>
        <v>56.939318273848677</v>
      </c>
      <c r="N46" s="65">
        <f>IFERROR(INDEX(Input_TUEnv_Actual[],MATCH($C46,Input_TUEnv_Actual[Cost item],0),MATCH($F46,Input_TUEnv_Actual[#Headers],0)),"-")</f>
        <v>56.939318273848677</v>
      </c>
      <c r="O46" s="65">
        <f>IFERROR(INDEX(Input_TUEnv_Actual[],MATCH($C46,Input_TUEnv_Actual[Cost item],0),MATCH($F46,Input_TUEnv_Actual[#Headers],0)),"-")</f>
        <v>56.939318273848677</v>
      </c>
    </row>
    <row r="47" spans="3:15" outlineLevel="1" x14ac:dyDescent="0.25">
      <c r="C47" s="23" t="s">
        <v>156</v>
      </c>
      <c r="D47" s="82" t="str">
        <f>Calc_TU_values!$D$5</f>
        <v>VDO 2022-23 - Draft</v>
      </c>
      <c r="E47" s="23" t="s">
        <v>586</v>
      </c>
      <c r="F47" s="82" t="str">
        <f>INDEX(Inputs!$H$10:$U$10,1,MATCH($D47,Inputs!$H$8:$U$8,0))</f>
        <v>D-NextVDO_Input</v>
      </c>
      <c r="G47" s="58"/>
      <c r="H47" s="23" t="s">
        <v>130</v>
      </c>
      <c r="I47" s="23" t="s">
        <v>157</v>
      </c>
      <c r="J47" s="59" t="s">
        <v>110</v>
      </c>
      <c r="K47" s="67">
        <f>IFERROR(INDEX(Input_TUEnv_Actual[],MATCH($C47,Input_TUEnv_Actual[Cost item],0),MATCH($F47,Input_TUEnv_Actual[#Headers],0)),"-")</f>
        <v>0.17255000000000001</v>
      </c>
      <c r="L47" s="67">
        <f>IFERROR(INDEX(Input_TUEnv_Actual[],MATCH($C47,Input_TUEnv_Actual[Cost item],0),MATCH($F47,Input_TUEnv_Actual[#Headers],0)),"-")</f>
        <v>0.17255000000000001</v>
      </c>
      <c r="M47" s="67">
        <f>IFERROR(INDEX(Input_TUEnv_Actual[],MATCH($C47,Input_TUEnv_Actual[Cost item],0),MATCH($F47,Input_TUEnv_Actual[#Headers],0)),"-")</f>
        <v>0.17255000000000001</v>
      </c>
      <c r="N47" s="67">
        <f>IFERROR(INDEX(Input_TUEnv_Actual[],MATCH($C47,Input_TUEnv_Actual[Cost item],0),MATCH($F47,Input_TUEnv_Actual[#Headers],0)),"-")</f>
        <v>0.17255000000000001</v>
      </c>
      <c r="O47" s="67">
        <f>IFERROR(INDEX(Input_TUEnv_Actual[],MATCH($C47,Input_TUEnv_Actual[Cost item],0),MATCH($F47,Input_TUEnv_Actual[#Headers],0)),"-")</f>
        <v>0.17255000000000001</v>
      </c>
    </row>
    <row r="48" spans="3:15" outlineLevel="1" x14ac:dyDescent="0.25">
      <c r="C48" s="23" t="s">
        <v>318</v>
      </c>
      <c r="D48" s="82" t="str">
        <f>Calc_TU_values!$D$5</f>
        <v>VDO 2022-23 - Draft</v>
      </c>
      <c r="E48" s="23" t="s">
        <v>586</v>
      </c>
      <c r="F48" s="82" t="str">
        <f>INDEX(Inputs!$H$10:$U$10,1,MATCH($D48,Inputs!$H$8:$U$8,0))</f>
        <v>D-NextVDO_Input</v>
      </c>
      <c r="G48" s="58"/>
      <c r="H48" s="23" t="s">
        <v>130</v>
      </c>
      <c r="I48" s="23" t="s">
        <v>282</v>
      </c>
      <c r="J48" s="59" t="s">
        <v>110</v>
      </c>
      <c r="K48" s="64">
        <f>K46*K47/1000</f>
        <v>9.8248793681525899E-3</v>
      </c>
      <c r="L48" s="64">
        <f t="shared" ref="L48" si="16">L46*L47/1000</f>
        <v>9.8248793681525899E-3</v>
      </c>
      <c r="M48" s="64">
        <f t="shared" ref="M48" si="17">M46*M47/1000</f>
        <v>9.8248793681525899E-3</v>
      </c>
      <c r="N48" s="64">
        <f t="shared" ref="N48" si="18">N46*N47/1000</f>
        <v>9.8248793681525899E-3</v>
      </c>
      <c r="O48" s="64">
        <f t="shared" ref="O48" si="19">O46*O47/1000</f>
        <v>9.8248793681525899E-3</v>
      </c>
    </row>
    <row r="49" spans="2:17" outlineLevel="1" x14ac:dyDescent="0.25">
      <c r="C49" s="23" t="s">
        <v>152</v>
      </c>
      <c r="D49" s="82" t="str">
        <f>INDEX(Input_DecisionActual[[Decision]:[Decision]],MATCH(Calc_TU_values!$D$5,Input_DecisionActual[[VDO period]:[VDO period]],0),1)</f>
        <v>VDO 2022 - Final</v>
      </c>
      <c r="E49" s="23" t="s">
        <v>587</v>
      </c>
      <c r="F49" s="82" t="str">
        <f>IF($D49="-","-",INDEX(Inputs!$H$10:$U$10,1,MATCH($D49,Inputs!$H$8:$U$8,0)))</f>
        <v>F-CurrentVDO_Input</v>
      </c>
      <c r="G49" s="58"/>
      <c r="H49" s="23" t="s">
        <v>130</v>
      </c>
      <c r="I49" s="23" t="s">
        <v>153</v>
      </c>
      <c r="J49" s="59" t="s">
        <v>110</v>
      </c>
      <c r="K49" s="66">
        <f>IFERROR(INDEX(Inputs!$H$11:$U$128,MATCH($C49,Input_ForRateCalc[Cost item],0),MATCH($F49,Inputs!$H$10:$U$10,0)),"-")</f>
        <v>56.939318273848677</v>
      </c>
      <c r="L49" s="66">
        <f>IFERROR(INDEX(Inputs!$H$11:$U$128,MATCH($C49,Input_ForRateCalc[Cost item],0),MATCH($F49,Inputs!$H$10:$U$10,0)),"-")</f>
        <v>56.939318273848677</v>
      </c>
      <c r="M49" s="66">
        <f>IFERROR(INDEX(Inputs!$H$11:$U$128,MATCH($C49,Input_ForRateCalc[Cost item],0),MATCH($F49,Inputs!$H$10:$U$10,0)),"-")</f>
        <v>56.939318273848677</v>
      </c>
      <c r="N49" s="66">
        <f>IFERROR(INDEX(Inputs!$H$11:$U$128,MATCH($C49,Input_ForRateCalc[Cost item],0),MATCH($F49,Inputs!$H$10:$U$10,0)),"-")</f>
        <v>56.939318273848677</v>
      </c>
      <c r="O49" s="66">
        <f>IFERROR(INDEX(Inputs!$H$11:$U$128,MATCH($C49,Input_ForRateCalc[Cost item],0),MATCH($F49,Inputs!$H$10:$U$10,0)),"-")</f>
        <v>56.939318273848677</v>
      </c>
    </row>
    <row r="50" spans="2:17" outlineLevel="1" x14ac:dyDescent="0.25">
      <c r="C50" s="23" t="s">
        <v>156</v>
      </c>
      <c r="D50" s="82" t="str">
        <f>INDEX(Input_DecisionActual[[Decision]:[Decision]],MATCH(Calc_TU_values!$D$5,Input_DecisionActual[[VDO period]:[VDO period]],0),1)</f>
        <v>VDO 2022 - Final</v>
      </c>
      <c r="E50" s="23" t="s">
        <v>587</v>
      </c>
      <c r="F50" s="82" t="str">
        <f>IF($D50="-","-",INDEX(Inputs!$H$10:$U$10,1,MATCH($D50,Inputs!$H$8:$U$8,0)))</f>
        <v>F-CurrentVDO_Input</v>
      </c>
      <c r="G50" s="58"/>
      <c r="H50" s="23" t="s">
        <v>130</v>
      </c>
      <c r="I50" s="23" t="s">
        <v>157</v>
      </c>
      <c r="J50" s="59" t="s">
        <v>110</v>
      </c>
      <c r="K50" s="67">
        <f>IFERROR(INDEX(Inputs!$H$11:$U$128,MATCH($C50,Input_ForRateCalc[Cost item],0),MATCH($F50,Inputs!$H$10:$U$10,0)),"-")</f>
        <v>0.17255000000000001</v>
      </c>
      <c r="L50" s="67">
        <f>IFERROR(INDEX(Inputs!$H$11:$U$128,MATCH($C50,Input_ForRateCalc[Cost item],0),MATCH($F50,Inputs!$H$10:$U$10,0)),"-")</f>
        <v>0.17255000000000001</v>
      </c>
      <c r="M50" s="67">
        <f>IFERROR(INDEX(Inputs!$H$11:$U$128,MATCH($C50,Input_ForRateCalc[Cost item],0),MATCH($F50,Inputs!$H$10:$U$10,0)),"-")</f>
        <v>0.17255000000000001</v>
      </c>
      <c r="N50" s="67">
        <f>IFERROR(INDEX(Inputs!$H$11:$U$128,MATCH($C50,Input_ForRateCalc[Cost item],0),MATCH($F50,Inputs!$H$10:$U$10,0)),"-")</f>
        <v>0.17255000000000001</v>
      </c>
      <c r="O50" s="67">
        <f>IFERROR(INDEX(Inputs!$H$11:$U$128,MATCH($C50,Input_ForRateCalc[Cost item],0),MATCH($F50,Inputs!$H$10:$U$10,0)),"-")</f>
        <v>0.17255000000000001</v>
      </c>
    </row>
    <row r="51" spans="2:17" outlineLevel="1" x14ac:dyDescent="0.25">
      <c r="C51" s="23" t="s">
        <v>318</v>
      </c>
      <c r="D51" s="82" t="str">
        <f>INDEX(Input_DecisionActual[[Decision]:[Decision]],MATCH(Calc_TU_values!$D$5,Input_DecisionActual[[VDO period]:[VDO period]],0),1)</f>
        <v>VDO 2022 - Final</v>
      </c>
      <c r="E51" s="23" t="s">
        <v>587</v>
      </c>
      <c r="F51" s="82" t="str">
        <f>IF($D51="-","-",INDEX(Inputs!$H$10:$U$10,1,MATCH($D51,Inputs!$H$8:$U$8,0)))</f>
        <v>F-CurrentVDO_Input</v>
      </c>
      <c r="G51" s="58"/>
      <c r="H51" s="23" t="s">
        <v>130</v>
      </c>
      <c r="I51" s="23" t="s">
        <v>282</v>
      </c>
      <c r="J51" s="59" t="s">
        <v>110</v>
      </c>
      <c r="K51" s="64">
        <f>IFERROR(K49*K50/1000,"-")</f>
        <v>9.8248793681525899E-3</v>
      </c>
      <c r="L51" s="64">
        <f t="shared" ref="L51" si="20">IFERROR(L49*L50/1000,"-")</f>
        <v>9.8248793681525899E-3</v>
      </c>
      <c r="M51" s="64">
        <f t="shared" ref="M51" si="21">IFERROR(M49*M50/1000,"-")</f>
        <v>9.8248793681525899E-3</v>
      </c>
      <c r="N51" s="64">
        <f t="shared" ref="N51" si="22">IFERROR(N49*N50/1000,"-")</f>
        <v>9.8248793681525899E-3</v>
      </c>
      <c r="O51" s="64">
        <f t="shared" ref="O51" si="23">IFERROR(O49*O50/1000,"-")</f>
        <v>9.8248793681525899E-3</v>
      </c>
    </row>
    <row r="52" spans="2:17" outlineLevel="1" x14ac:dyDescent="0.25">
      <c r="C52" s="23" t="s">
        <v>319</v>
      </c>
      <c r="D52" s="23"/>
      <c r="E52" s="23"/>
      <c r="F52" s="23"/>
      <c r="G52" s="23"/>
      <c r="H52" s="23" t="s">
        <v>130</v>
      </c>
      <c r="I52" s="23" t="s">
        <v>282</v>
      </c>
      <c r="J52" s="23" t="s">
        <v>110</v>
      </c>
      <c r="K52" s="128">
        <f>IFERROR(K48-K51,"-")</f>
        <v>0</v>
      </c>
      <c r="L52" s="128">
        <f t="shared" ref="L52" si="24">IFERROR(L48-L51,"-")</f>
        <v>0</v>
      </c>
      <c r="M52" s="128">
        <f t="shared" ref="M52" si="25">IFERROR(M48-M51,"-")</f>
        <v>0</v>
      </c>
      <c r="N52" s="128">
        <f t="shared" ref="N52" si="26">IFERROR(N48-N51,"-")</f>
        <v>0</v>
      </c>
      <c r="O52" s="128">
        <f t="shared" ref="O52" si="27">IFERROR(O48-O51,"-")</f>
        <v>0</v>
      </c>
    </row>
    <row r="53" spans="2:17" outlineLevel="1" x14ac:dyDescent="0.25">
      <c r="C53" s="23" t="s">
        <v>320</v>
      </c>
      <c r="D53" s="82" t="str">
        <f>INDEX(Input_DecisionActual[[Decision]:[Decision]],MATCH(Calc_TU_values!$D$5,Input_DecisionActual[[VDO period]:[VDO period]],0),1)</f>
        <v>VDO 2022 - Final</v>
      </c>
      <c r="E53" s="23" t="s">
        <v>587</v>
      </c>
      <c r="F53" s="82" t="str">
        <f>IF($D53="-","-",INDEX(Inputs!$H$10:$U$10,1,MATCH($D53,Inputs!$H$8:$U$8,0)))</f>
        <v>F-CurrentVDO_Input</v>
      </c>
      <c r="G53" s="23"/>
      <c r="H53" s="23" t="s">
        <v>130</v>
      </c>
      <c r="I53" s="23" t="s">
        <v>282</v>
      </c>
      <c r="J53" s="23" t="s">
        <v>110</v>
      </c>
      <c r="K53" s="129">
        <f>IFERROR(K52*(INDEX(Inputs!$H$11:$U$128,MATCH("Marginal loss factor - "&amp;K$15,Input_ForRateCalc[Cost item],0),MATCH($F53,Inputs!$H$10:$U$10,0))*INDEX(Inputs!$H$11:$U$128,MATCH("Distribution loss factor - "&amp;K$15,Input_ForRateCalc[Cost item],0),MATCH($F53,Inputs!$H$10:$U$10,0))-1),"-")</f>
        <v>0</v>
      </c>
      <c r="L53" s="129">
        <f>IFERROR(L52*(INDEX(Inputs!$H$11:$U$128,MATCH("Marginal loss factor - "&amp;L$15,Input_ForRateCalc[Cost item],0),MATCH($F53,Inputs!$H$10:$U$10,0))*INDEX(Inputs!$H$11:$U$128,MATCH("Distribution loss factor - "&amp;L$15,Input_ForRateCalc[Cost item],0),MATCH($F53,Inputs!$H$10:$U$10,0))-1),"-")</f>
        <v>0</v>
      </c>
      <c r="M53" s="129">
        <f>IFERROR(M52*(INDEX(Inputs!$H$11:$U$128,MATCH("Marginal loss factor - "&amp;M$15,Input_ForRateCalc[Cost item],0),MATCH($F53,Inputs!$H$10:$U$10,0))*INDEX(Inputs!$H$11:$U$128,MATCH("Distribution loss factor - "&amp;M$15,Input_ForRateCalc[Cost item],0),MATCH($F53,Inputs!$H$10:$U$10,0))-1),"-")</f>
        <v>0</v>
      </c>
      <c r="N53" s="129">
        <f>IFERROR(N52*(INDEX(Inputs!$H$11:$U$128,MATCH("Marginal loss factor - "&amp;N$15,Input_ForRateCalc[Cost item],0),MATCH($F53,Inputs!$H$10:$U$10,0))*INDEX(Inputs!$H$11:$U$128,MATCH("Distribution loss factor - "&amp;N$15,Input_ForRateCalc[Cost item],0),MATCH($F53,Inputs!$H$10:$U$10,0))-1),"-")</f>
        <v>0</v>
      </c>
      <c r="O53" s="129">
        <f>IFERROR(O52*(INDEX(Inputs!$H$11:$U$128,MATCH("Marginal loss factor - "&amp;O$15,Input_ForRateCalc[Cost item],0),MATCH($F53,Inputs!$H$10:$U$10,0))*INDEX(Inputs!$H$11:$U$128,MATCH("Distribution loss factor - "&amp;O$15,Input_ForRateCalc[Cost item],0),MATCH($F53,Inputs!$H$10:$U$10,0))-1),"-")</f>
        <v>0</v>
      </c>
    </row>
    <row r="54" spans="2:17" hidden="1" outlineLevel="1" x14ac:dyDescent="0.25">
      <c r="C54" s="23" t="s">
        <v>442</v>
      </c>
      <c r="D54" s="23"/>
      <c r="E54" s="23"/>
      <c r="F54" s="23"/>
      <c r="G54" s="23"/>
      <c r="H54" s="23" t="s">
        <v>130</v>
      </c>
      <c r="I54" s="23" t="s">
        <v>282</v>
      </c>
      <c r="J54" s="23" t="s">
        <v>110</v>
      </c>
      <c r="K54" s="129" t="str">
        <f>IF($D$11="Yes",SUM(K52:K53)*$D$12,"")</f>
        <v/>
      </c>
      <c r="L54" s="129" t="str">
        <f>IF($D$11="Yes",SUM(L52:L53)*$D$12,"")</f>
        <v/>
      </c>
      <c r="M54" s="129" t="str">
        <f>IF($D$11="Yes",SUM(M52:M53)*$D$12,"")</f>
        <v/>
      </c>
      <c r="N54" s="129" t="str">
        <f>IF($D$11="Yes",SUM(N52:N53)*$D$12,"")</f>
        <v/>
      </c>
      <c r="O54" s="129" t="str">
        <f>IF($D$11="Yes",SUM(O52:O53)*$D$12,"")</f>
        <v/>
      </c>
    </row>
    <row r="55" spans="2:17" outlineLevel="1" x14ac:dyDescent="0.25">
      <c r="C55" s="23" t="s">
        <v>321</v>
      </c>
      <c r="D55" s="82" t="str">
        <f>INDEX(Input_DecisionActual[[Decision]:[Decision]],MATCH(Calc_TU_values!$D$5,Input_DecisionActual[[VDO period]:[VDO period]],0),1)</f>
        <v>VDO 2022 - Final</v>
      </c>
      <c r="E55" s="23" t="s">
        <v>587</v>
      </c>
      <c r="F55" s="82" t="str">
        <f>IF($D55="-","-",INDEX(Inputs!$H$10:$U$10,1,MATCH($D55,Inputs!$H$8:$U$8,0)))</f>
        <v>F-CurrentVDO_Input</v>
      </c>
      <c r="G55" s="23"/>
      <c r="H55" s="23" t="s">
        <v>130</v>
      </c>
      <c r="I55" s="23" t="s">
        <v>282</v>
      </c>
      <c r="J55" s="23" t="s">
        <v>110</v>
      </c>
      <c r="K55" s="129">
        <f>IFERROR(SUM(K52:K54)*(INDEX(Inputs!$H$11:$U$128,MATCH("Retail operating margin",Input_ForRateCalc[Cost item],0),MATCH($F55,Inputs!$H$10:$U$10,0))),"-")</f>
        <v>0</v>
      </c>
      <c r="L55" s="129">
        <f>IFERROR(SUM(L52:L54)*(INDEX(Inputs!$H$11:$U$128,MATCH("Retail operating margin",Input_ForRateCalc[Cost item],0),MATCH($F55,Inputs!$H$10:$U$10,0))),"-")</f>
        <v>0</v>
      </c>
      <c r="M55" s="129">
        <f>IFERROR(SUM(M52:M54)*(INDEX(Inputs!$H$11:$U$128,MATCH("Retail operating margin",Input_ForRateCalc[Cost item],0),MATCH($F55,Inputs!$H$10:$U$10,0))),"-")</f>
        <v>0</v>
      </c>
      <c r="N55" s="129">
        <f>IFERROR(SUM(N52:N54)*(INDEX(Inputs!$H$11:$U$128,MATCH("Retail operating margin",Input_ForRateCalc[Cost item],0),MATCH($F55,Inputs!$H$10:$U$10,0))),"-")</f>
        <v>0</v>
      </c>
      <c r="O55" s="129">
        <f>IFERROR(SUM(O52:O54)*(INDEX(Inputs!$H$11:$U$128,MATCH("Retail operating margin",Input_ForRateCalc[Cost item],0),MATCH($F55,Inputs!$H$10:$U$10,0))),"-")</f>
        <v>0</v>
      </c>
    </row>
    <row r="56" spans="2:17" outlineLevel="1" x14ac:dyDescent="0.25">
      <c r="B56"/>
      <c r="C56" s="23" t="s">
        <v>443</v>
      </c>
      <c r="D56" s="23"/>
      <c r="E56" s="23"/>
      <c r="F56" s="23"/>
      <c r="G56" s="23"/>
      <c r="H56" s="23" t="s">
        <v>130</v>
      </c>
      <c r="I56" s="23" t="s">
        <v>282</v>
      </c>
      <c r="J56" s="23" t="s">
        <v>110</v>
      </c>
      <c r="K56" s="129">
        <f>SUM(K52:K55)*GST</f>
        <v>0</v>
      </c>
      <c r="L56" s="129">
        <f>SUM(L52:L55)*GST</f>
        <v>0</v>
      </c>
      <c r="M56" s="129">
        <f>SUM(M52:M55)*GST</f>
        <v>0</v>
      </c>
      <c r="N56" s="129">
        <f>SUM(N52:N55)*GST</f>
        <v>0</v>
      </c>
      <c r="O56" s="129">
        <f>SUM(O52:O55)*GST</f>
        <v>0</v>
      </c>
    </row>
    <row r="57" spans="2:17" outlineLevel="1" x14ac:dyDescent="0.25">
      <c r="B57"/>
      <c r="C57" s="117" t="s">
        <v>326</v>
      </c>
      <c r="D57" s="117"/>
      <c r="E57" s="117"/>
      <c r="F57" s="117"/>
      <c r="G57" s="70"/>
      <c r="H57" s="23" t="s">
        <v>130</v>
      </c>
      <c r="I57" s="23" t="s">
        <v>282</v>
      </c>
      <c r="J57" s="59" t="s">
        <v>110</v>
      </c>
      <c r="K57" s="129">
        <f>SUM(K52:K56)</f>
        <v>0</v>
      </c>
      <c r="L57" s="129">
        <f>SUM(L52:L56)</f>
        <v>0</v>
      </c>
      <c r="M57" s="129">
        <f>SUM(M52:M56)</f>
        <v>0</v>
      </c>
      <c r="N57" s="129">
        <f>SUM(N52:N56)</f>
        <v>0</v>
      </c>
      <c r="O57" s="129">
        <f>SUM(O52:O56)</f>
        <v>0</v>
      </c>
    </row>
    <row r="58" spans="2:17" outlineLevel="1" x14ac:dyDescent="0.25"/>
    <row r="59" spans="2:17" ht="16.5" hidden="1" thickBot="1" x14ac:dyDescent="0.3">
      <c r="B59" s="9">
        <f ca="1">MAX(B$3:B58)+0.1</f>
        <v>13.2</v>
      </c>
      <c r="C59" s="28" t="s">
        <v>512</v>
      </c>
      <c r="D59" s="28"/>
      <c r="E59" s="28"/>
      <c r="F59" s="28"/>
      <c r="G59" s="28"/>
      <c r="H59" s="28"/>
      <c r="I59" s="28"/>
      <c r="J59" s="28"/>
      <c r="K59" s="28"/>
      <c r="L59" s="28"/>
      <c r="M59" s="28"/>
      <c r="N59" s="28"/>
      <c r="O59" s="28"/>
      <c r="P59" s="28"/>
      <c r="Q59" s="28"/>
    </row>
    <row r="60" spans="2:17" hidden="1" collapsed="1" x14ac:dyDescent="0.25"/>
    <row r="61" spans="2:17" ht="15.75" hidden="1" outlineLevel="1" x14ac:dyDescent="0.25">
      <c r="C61" s="42" t="s">
        <v>46</v>
      </c>
      <c r="D61" s="42" t="s">
        <v>513</v>
      </c>
      <c r="G61" s="42" t="s">
        <v>315</v>
      </c>
      <c r="H61" s="42" t="s">
        <v>102</v>
      </c>
      <c r="I61" s="42" t="s">
        <v>103</v>
      </c>
      <c r="J61" s="42" t="s">
        <v>91</v>
      </c>
      <c r="K61" s="50" t="s">
        <v>268</v>
      </c>
      <c r="L61" s="50" t="s">
        <v>269</v>
      </c>
      <c r="M61" s="50" t="s">
        <v>270</v>
      </c>
      <c r="N61" s="50" t="s">
        <v>271</v>
      </c>
      <c r="O61" s="50" t="s">
        <v>272</v>
      </c>
      <c r="P61" s="50" t="s">
        <v>612</v>
      </c>
      <c r="Q61" s="42" t="s">
        <v>613</v>
      </c>
    </row>
    <row r="62" spans="2:17" hidden="1" outlineLevel="1" x14ac:dyDescent="0.25">
      <c r="C62" s="57" t="s">
        <v>525</v>
      </c>
      <c r="D62" s="57"/>
      <c r="G62" s="57"/>
      <c r="H62" s="57"/>
      <c r="I62" s="57"/>
      <c r="J62" s="57"/>
      <c r="K62" s="206">
        <f>SUM(K63:K64)</f>
        <v>0</v>
      </c>
      <c r="L62" s="206">
        <f t="shared" ref="L62:O62" si="28">SUM(L63:L64)</f>
        <v>0</v>
      </c>
      <c r="M62" s="206">
        <f t="shared" si="28"/>
        <v>0</v>
      </c>
      <c r="N62" s="206">
        <f t="shared" si="28"/>
        <v>0</v>
      </c>
      <c r="O62" s="206">
        <f t="shared" si="28"/>
        <v>0</v>
      </c>
      <c r="P62" s="205">
        <f>IFERROR(AVERAGE(K62:O62),"-")</f>
        <v>0</v>
      </c>
      <c r="Q62" s="301" t="str">
        <f>IFERROR(P62/ROUND($D$78/30,0),"-")</f>
        <v>-</v>
      </c>
    </row>
    <row r="63" spans="2:17" hidden="1" outlineLevel="1" x14ac:dyDescent="0.25">
      <c r="C63" s="183" t="s">
        <v>108</v>
      </c>
      <c r="D63" s="59"/>
      <c r="G63" s="59"/>
      <c r="H63" s="59"/>
      <c r="I63" s="59"/>
      <c r="J63" s="59"/>
      <c r="K63" s="207" t="str">
        <f>K117</f>
        <v>-</v>
      </c>
      <c r="L63" s="207" t="str">
        <f t="shared" ref="L63:O63" si="29">L117</f>
        <v>-</v>
      </c>
      <c r="M63" s="207" t="str">
        <f t="shared" si="29"/>
        <v>-</v>
      </c>
      <c r="N63" s="207" t="str">
        <f t="shared" si="29"/>
        <v>-</v>
      </c>
      <c r="O63" s="207" t="str">
        <f t="shared" si="29"/>
        <v>-</v>
      </c>
      <c r="P63" s="170" t="str">
        <f t="shared" ref="P63:P73" si="30">IFERROR(AVERAGE(K63:O63),"-")</f>
        <v>-</v>
      </c>
      <c r="Q63" s="301" t="str">
        <f t="shared" ref="Q63:Q73" si="31">IFERROR(P63/ROUND($D$78/30,0),"-")</f>
        <v>-</v>
      </c>
    </row>
    <row r="64" spans="2:17" hidden="1" outlineLevel="1" x14ac:dyDescent="0.25">
      <c r="C64" s="183" t="s">
        <v>130</v>
      </c>
      <c r="D64" s="59"/>
      <c r="G64" s="59"/>
      <c r="H64" s="59"/>
      <c r="I64" s="59"/>
      <c r="J64" s="59"/>
      <c r="K64" s="207" t="str">
        <f>K132</f>
        <v>-</v>
      </c>
      <c r="L64" s="207" t="str">
        <f t="shared" ref="L64:O64" si="32">L132</f>
        <v>-</v>
      </c>
      <c r="M64" s="207" t="str">
        <f t="shared" si="32"/>
        <v>-</v>
      </c>
      <c r="N64" s="207" t="str">
        <f t="shared" si="32"/>
        <v>-</v>
      </c>
      <c r="O64" s="207" t="str">
        <f t="shared" si="32"/>
        <v>-</v>
      </c>
      <c r="P64" s="170" t="str">
        <f t="shared" si="30"/>
        <v>-</v>
      </c>
      <c r="Q64" s="301" t="str">
        <f t="shared" si="31"/>
        <v>-</v>
      </c>
    </row>
    <row r="65" spans="2:17" hidden="1" outlineLevel="1" x14ac:dyDescent="0.25">
      <c r="C65" s="57" t="s">
        <v>526</v>
      </c>
      <c r="D65" s="57"/>
      <c r="G65" s="57"/>
      <c r="H65" s="57"/>
      <c r="I65" s="57"/>
      <c r="J65" s="57"/>
      <c r="K65" s="206">
        <f>SUM(K66:K67)</f>
        <v>0</v>
      </c>
      <c r="L65" s="206">
        <f t="shared" ref="L65:O65" si="33">SUM(L66:L67)</f>
        <v>0</v>
      </c>
      <c r="M65" s="206">
        <f t="shared" si="33"/>
        <v>0</v>
      </c>
      <c r="N65" s="206">
        <f t="shared" si="33"/>
        <v>0</v>
      </c>
      <c r="O65" s="206">
        <f t="shared" si="33"/>
        <v>0</v>
      </c>
      <c r="P65" s="205">
        <f t="shared" si="30"/>
        <v>0</v>
      </c>
      <c r="Q65" s="301" t="str">
        <f t="shared" si="31"/>
        <v>-</v>
      </c>
    </row>
    <row r="66" spans="2:17" hidden="1" outlineLevel="1" x14ac:dyDescent="0.25">
      <c r="C66" s="183" t="s">
        <v>108</v>
      </c>
      <c r="D66" s="59"/>
      <c r="G66" s="59"/>
      <c r="H66" s="59"/>
      <c r="I66" s="59"/>
      <c r="J66" s="59"/>
      <c r="K66" s="207" t="str">
        <f>K157</f>
        <v>-</v>
      </c>
      <c r="L66" s="207" t="str">
        <f t="shared" ref="L66:O66" si="34">L157</f>
        <v>-</v>
      </c>
      <c r="M66" s="207" t="str">
        <f t="shared" si="34"/>
        <v>-</v>
      </c>
      <c r="N66" s="207" t="str">
        <f t="shared" si="34"/>
        <v>-</v>
      </c>
      <c r="O66" s="207" t="str">
        <f t="shared" si="34"/>
        <v>-</v>
      </c>
      <c r="P66" s="170" t="str">
        <f t="shared" si="30"/>
        <v>-</v>
      </c>
      <c r="Q66" s="301" t="str">
        <f t="shared" si="31"/>
        <v>-</v>
      </c>
    </row>
    <row r="67" spans="2:17" hidden="1" outlineLevel="1" x14ac:dyDescent="0.25">
      <c r="C67" s="183" t="s">
        <v>130</v>
      </c>
      <c r="D67" s="59"/>
      <c r="G67" s="59"/>
      <c r="H67" s="59"/>
      <c r="I67" s="59"/>
      <c r="J67" s="59"/>
      <c r="K67" s="207" t="str">
        <f>K172</f>
        <v>-</v>
      </c>
      <c r="L67" s="207" t="str">
        <f t="shared" ref="L67:O67" si="35">L172</f>
        <v>-</v>
      </c>
      <c r="M67" s="207" t="str">
        <f t="shared" si="35"/>
        <v>-</v>
      </c>
      <c r="N67" s="207" t="str">
        <f t="shared" si="35"/>
        <v>-</v>
      </c>
      <c r="O67" s="207" t="str">
        <f t="shared" si="35"/>
        <v>-</v>
      </c>
      <c r="P67" s="170" t="str">
        <f t="shared" si="30"/>
        <v>-</v>
      </c>
      <c r="Q67" s="301" t="str">
        <f t="shared" si="31"/>
        <v>-</v>
      </c>
    </row>
    <row r="68" spans="2:17" hidden="1" outlineLevel="1" x14ac:dyDescent="0.25">
      <c r="C68" s="57" t="s">
        <v>527</v>
      </c>
      <c r="D68" s="57"/>
      <c r="G68" s="57"/>
      <c r="H68" s="57"/>
      <c r="I68" s="57"/>
      <c r="J68" s="57"/>
      <c r="K68" s="206">
        <f>SUM(K69:K70)</f>
        <v>0</v>
      </c>
      <c r="L68" s="206">
        <f t="shared" ref="L68:O68" si="36">SUM(L69:L70)</f>
        <v>0</v>
      </c>
      <c r="M68" s="206">
        <f t="shared" si="36"/>
        <v>0</v>
      </c>
      <c r="N68" s="206">
        <f t="shared" si="36"/>
        <v>0</v>
      </c>
      <c r="O68" s="206">
        <f t="shared" si="36"/>
        <v>0</v>
      </c>
      <c r="P68" s="205">
        <f t="shared" si="30"/>
        <v>0</v>
      </c>
      <c r="Q68" s="301" t="str">
        <f t="shared" si="31"/>
        <v>-</v>
      </c>
    </row>
    <row r="69" spans="2:17" hidden="1" outlineLevel="1" x14ac:dyDescent="0.25">
      <c r="C69" s="183" t="s">
        <v>108</v>
      </c>
      <c r="D69" s="59"/>
      <c r="G69" s="59"/>
      <c r="H69" s="59"/>
      <c r="I69" s="59"/>
      <c r="J69" s="59"/>
      <c r="K69" s="207" t="str">
        <f>K187</f>
        <v>-</v>
      </c>
      <c r="L69" s="207" t="str">
        <f t="shared" ref="L69:O69" si="37">L187</f>
        <v>-</v>
      </c>
      <c r="M69" s="207" t="str">
        <f t="shared" si="37"/>
        <v>-</v>
      </c>
      <c r="N69" s="207" t="str">
        <f t="shared" si="37"/>
        <v>-</v>
      </c>
      <c r="O69" s="207" t="str">
        <f t="shared" si="37"/>
        <v>-</v>
      </c>
      <c r="P69" s="170" t="str">
        <f t="shared" si="30"/>
        <v>-</v>
      </c>
      <c r="Q69" s="301" t="str">
        <f t="shared" si="31"/>
        <v>-</v>
      </c>
    </row>
    <row r="70" spans="2:17" hidden="1" outlineLevel="1" x14ac:dyDescent="0.25">
      <c r="C70" s="183" t="s">
        <v>130</v>
      </c>
      <c r="D70" s="59"/>
      <c r="G70" s="59"/>
      <c r="H70" s="59"/>
      <c r="I70" s="59"/>
      <c r="J70" s="59"/>
      <c r="K70" s="207" t="str">
        <f>K201</f>
        <v>-</v>
      </c>
      <c r="L70" s="207" t="str">
        <f t="shared" ref="L70:O70" si="38">L201</f>
        <v>-</v>
      </c>
      <c r="M70" s="207" t="str">
        <f t="shared" si="38"/>
        <v>-</v>
      </c>
      <c r="N70" s="207" t="str">
        <f t="shared" si="38"/>
        <v>-</v>
      </c>
      <c r="O70" s="207" t="str">
        <f t="shared" si="38"/>
        <v>-</v>
      </c>
      <c r="P70" s="170" t="str">
        <f t="shared" si="30"/>
        <v>-</v>
      </c>
      <c r="Q70" s="301" t="str">
        <f t="shared" si="31"/>
        <v>-</v>
      </c>
    </row>
    <row r="71" spans="2:17" hidden="1" outlineLevel="1" x14ac:dyDescent="0.25">
      <c r="C71" s="57" t="s">
        <v>528</v>
      </c>
      <c r="D71" s="57"/>
      <c r="G71" s="57"/>
      <c r="H71" s="57"/>
      <c r="I71" s="57"/>
      <c r="J71" s="57"/>
      <c r="K71" s="206">
        <f>SUM(K72:K73)</f>
        <v>0</v>
      </c>
      <c r="L71" s="206">
        <f t="shared" ref="L71:O71" si="39">SUM(L72:L73)</f>
        <v>0</v>
      </c>
      <c r="M71" s="206">
        <f t="shared" si="39"/>
        <v>0</v>
      </c>
      <c r="N71" s="206">
        <f t="shared" si="39"/>
        <v>0</v>
      </c>
      <c r="O71" s="206">
        <f t="shared" si="39"/>
        <v>0</v>
      </c>
      <c r="P71" s="205">
        <f t="shared" si="30"/>
        <v>0</v>
      </c>
      <c r="Q71" s="301" t="str">
        <f t="shared" si="31"/>
        <v>-</v>
      </c>
    </row>
    <row r="72" spans="2:17" hidden="1" outlineLevel="1" x14ac:dyDescent="0.25">
      <c r="C72" s="183" t="s">
        <v>108</v>
      </c>
      <c r="D72" s="59"/>
      <c r="G72" s="59"/>
      <c r="H72" s="59"/>
      <c r="I72" s="59"/>
      <c r="J72" s="59"/>
      <c r="K72" s="207" t="str">
        <f>K215</f>
        <v>-</v>
      </c>
      <c r="L72" s="207" t="str">
        <f t="shared" ref="L72:O72" si="40">L215</f>
        <v>-</v>
      </c>
      <c r="M72" s="207" t="str">
        <f t="shared" si="40"/>
        <v>-</v>
      </c>
      <c r="N72" s="207" t="str">
        <f t="shared" si="40"/>
        <v>-</v>
      </c>
      <c r="O72" s="207" t="str">
        <f t="shared" si="40"/>
        <v>-</v>
      </c>
      <c r="P72" s="170" t="str">
        <f t="shared" si="30"/>
        <v>-</v>
      </c>
      <c r="Q72" s="301" t="str">
        <f t="shared" si="31"/>
        <v>-</v>
      </c>
    </row>
    <row r="73" spans="2:17" hidden="1" outlineLevel="1" x14ac:dyDescent="0.25">
      <c r="C73" s="183" t="s">
        <v>130</v>
      </c>
      <c r="D73" s="59"/>
      <c r="G73" s="59"/>
      <c r="H73" s="59"/>
      <c r="I73" s="59"/>
      <c r="J73" s="59"/>
      <c r="K73" s="207" t="str">
        <f>K229</f>
        <v>-</v>
      </c>
      <c r="L73" s="207" t="str">
        <f t="shared" ref="L73:O73" si="41">L229</f>
        <v>-</v>
      </c>
      <c r="M73" s="207" t="str">
        <f t="shared" si="41"/>
        <v>-</v>
      </c>
      <c r="N73" s="207" t="str">
        <f t="shared" si="41"/>
        <v>-</v>
      </c>
      <c r="O73" s="207" t="str">
        <f t="shared" si="41"/>
        <v>-</v>
      </c>
      <c r="P73" s="170" t="str">
        <f t="shared" si="30"/>
        <v>-</v>
      </c>
      <c r="Q73" s="301" t="str">
        <f t="shared" si="31"/>
        <v>-</v>
      </c>
    </row>
    <row r="74" spans="2:17" hidden="1" outlineLevel="1" x14ac:dyDescent="0.25"/>
    <row r="75" spans="2:17" hidden="1" outlineLevel="1" x14ac:dyDescent="0.25">
      <c r="I75" t="s">
        <v>625</v>
      </c>
      <c r="J75" s="59" t="s">
        <v>92</v>
      </c>
      <c r="K75" s="283" t="str">
        <f>IFERROR(K68/ROUND($D$78/30,0),"-")</f>
        <v>-</v>
      </c>
      <c r="L75" s="283" t="str">
        <f t="shared" ref="L75:O75" si="42">IFERROR(L68/ROUND($D$78/30,0),"-")</f>
        <v>-</v>
      </c>
      <c r="M75" s="283" t="str">
        <f t="shared" si="42"/>
        <v>-</v>
      </c>
      <c r="N75" s="283" t="str">
        <f t="shared" si="42"/>
        <v>-</v>
      </c>
      <c r="O75" s="283" t="str">
        <f t="shared" si="42"/>
        <v>-</v>
      </c>
    </row>
    <row r="76" spans="2:17" ht="15.75" hidden="1" outlineLevel="1" x14ac:dyDescent="0.25">
      <c r="B76"/>
      <c r="C76" s="54" t="s">
        <v>552</v>
      </c>
      <c r="D76" s="82" t="str">
        <f>INDEX(Inputs!$H$10:$U$10,1,MATCH($D$5,Inputs!$H$8:$U$8,0))</f>
        <v>D-NextVDO_Input</v>
      </c>
      <c r="E76" s="227" t="e">
        <f>INDEX(Input_TUNet_Dates[[F-PreviousVDO_Input]:[F-CurrentVDO_Input]],MATCH($C76,Input_TUNet_Dates[Item],0),MATCH($D76,Input_TUNet_Dates[[#Headers],[F-PreviousVDO_Input]:[F-CurrentVDO_Input]],0))</f>
        <v>#N/A</v>
      </c>
      <c r="I76" t="s">
        <v>625</v>
      </c>
      <c r="J76" s="59" t="s">
        <v>93</v>
      </c>
      <c r="K76" s="283" t="str">
        <f>IFERROR(K71/ROUND($D$78/30,0),"-")</f>
        <v>-</v>
      </c>
      <c r="L76" s="283" t="str">
        <f t="shared" ref="L76:O76" si="43">IFERROR(L71/ROUND($D$78/30,0),"-")</f>
        <v>-</v>
      </c>
      <c r="M76" s="283" t="str">
        <f t="shared" si="43"/>
        <v>-</v>
      </c>
      <c r="N76" s="283" t="str">
        <f t="shared" si="43"/>
        <v>-</v>
      </c>
      <c r="O76" s="283" t="str">
        <f t="shared" si="43"/>
        <v>-</v>
      </c>
    </row>
    <row r="77" spans="2:17" ht="15.75" hidden="1" outlineLevel="1" x14ac:dyDescent="0.25">
      <c r="B77"/>
      <c r="C77" s="54" t="s">
        <v>553</v>
      </c>
      <c r="D77" s="82" t="str">
        <f>INDEX(Inputs!$H$10:$U$10,1,MATCH($D$5,Inputs!$H$8:$U$8,0))</f>
        <v>D-NextVDO_Input</v>
      </c>
      <c r="E77" s="227" t="e">
        <f>INDEX(Input_TUNet_Dates[[F-PreviousVDO_Input]:[F-CurrentVDO_Input]],MATCH($C77,Input_TUNet_Dates[Item],0),MATCH($D77,Input_TUNet_Dates[[#Headers],[F-PreviousVDO_Input]:[F-CurrentVDO_Input]],0))</f>
        <v>#N/A</v>
      </c>
      <c r="K77" s="121"/>
      <c r="L77" s="121"/>
      <c r="M77" s="121"/>
      <c r="N77" s="121"/>
      <c r="O77" s="121"/>
    </row>
    <row r="78" spans="2:17" ht="15.75" hidden="1" outlineLevel="1" x14ac:dyDescent="0.25">
      <c r="B78"/>
      <c r="C78" s="54" t="s">
        <v>643</v>
      </c>
      <c r="D78" s="283" t="str">
        <f>IFERROR(_xlfn.DAYS(E77,E76)+1,"-")</f>
        <v>-</v>
      </c>
      <c r="K78" s="121"/>
      <c r="L78" s="121"/>
      <c r="M78" s="121"/>
      <c r="N78" s="121"/>
      <c r="O78" s="121"/>
    </row>
    <row r="79" spans="2:17" ht="15.75" hidden="1" outlineLevel="1" x14ac:dyDescent="0.25">
      <c r="B79"/>
      <c r="C79" s="54" t="s">
        <v>515</v>
      </c>
      <c r="D79" s="196">
        <f>IFERROR(D78/DiY,0)</f>
        <v>0</v>
      </c>
    </row>
    <row r="80" spans="2:17" ht="15.75" hidden="1" outlineLevel="1" x14ac:dyDescent="0.25">
      <c r="B80"/>
      <c r="C80" s="54" t="s">
        <v>442</v>
      </c>
      <c r="D80" s="195" t="s">
        <v>317</v>
      </c>
    </row>
    <row r="81" spans="2:10" ht="15.75" hidden="1" outlineLevel="1" x14ac:dyDescent="0.25">
      <c r="B81"/>
      <c r="C81" s="54" t="s">
        <v>558</v>
      </c>
      <c r="D81" s="196">
        <f>(1+WACC)^(1/2)-1</f>
        <v>3.2230594392551382E-2</v>
      </c>
    </row>
    <row r="82" spans="2:10" hidden="1" outlineLevel="1" x14ac:dyDescent="0.25">
      <c r="B82"/>
    </row>
    <row r="83" spans="2:10" ht="15.75" hidden="1" outlineLevel="1" x14ac:dyDescent="0.25">
      <c r="B83"/>
      <c r="C83" s="29" t="s">
        <v>649</v>
      </c>
    </row>
    <row r="84" spans="2:10" ht="15.75" hidden="1" outlineLevel="1" x14ac:dyDescent="0.25">
      <c r="B84"/>
      <c r="C84" s="217" t="s">
        <v>6</v>
      </c>
      <c r="D84" s="217" t="s">
        <v>101</v>
      </c>
      <c r="E84" s="217" t="s">
        <v>91</v>
      </c>
      <c r="F84" s="217" t="s">
        <v>638</v>
      </c>
    </row>
    <row r="85" spans="2:10" hidden="1" outlineLevel="1" x14ac:dyDescent="0.25">
      <c r="B85"/>
      <c r="C85" s="59" t="s">
        <v>631</v>
      </c>
      <c r="D85" s="82" t="str">
        <f>INDEX(Inputs!$H$10:$U$10,1,MATCH($D$5,Inputs!$H$8:$U$8,0))</f>
        <v>D-NextVDO_Input</v>
      </c>
      <c r="E85" s="59" t="s">
        <v>92</v>
      </c>
      <c r="F85" s="221" t="e">
        <f>SUMIFS(
INDEX(Input_TUNet_Actual[[F-PreviousVDO_Input]:[F-CurrentVDO_Input]],0,MATCH(TUNet_Usage_Actual_1[[#This Row],[VDO decision]],Input_TUNet_Actual[[#Headers],[F-PreviousVDO_Input]:[F-CurrentVDO_Input]],0)),
Input_TUNet_Actual[Customer type],Calc_TU_values!E85,Input_TUNet_Actual[Item],Calc_TU_values!C85)</f>
        <v>#N/A</v>
      </c>
    </row>
    <row r="86" spans="2:10" hidden="1" outlineLevel="1" x14ac:dyDescent="0.25">
      <c r="B86"/>
      <c r="C86" s="23" t="s">
        <v>627</v>
      </c>
      <c r="D86" s="82" t="str">
        <f>INDEX(Inputs!$H$10:$U$10,1,MATCH($D$5,Inputs!$H$8:$U$8,0))</f>
        <v>D-NextVDO_Input</v>
      </c>
      <c r="E86" s="59" t="s">
        <v>92</v>
      </c>
      <c r="F86" s="221" t="e">
        <f>SUMIFS(
INDEX(Input_TUNet_Actual[[F-PreviousVDO_Input]:[F-CurrentVDO_Input]],0,MATCH(TUNet_Usage_Actual_1[[#This Row],[VDO decision]],Input_TUNet_Actual[[#Headers],[F-PreviousVDO_Input]:[F-CurrentVDO_Input]],0)),
Input_TUNet_Actual[Customer type],Calc_TU_values!E86,Input_TUNet_Actual[Item],Calc_TU_values!C86)</f>
        <v>#N/A</v>
      </c>
    </row>
    <row r="87" spans="2:10" hidden="1" outlineLevel="1" x14ac:dyDescent="0.25">
      <c r="B87"/>
      <c r="C87" s="59" t="s">
        <v>637</v>
      </c>
      <c r="D87" s="82" t="str">
        <f>INDEX(Inputs!$H$10:$U$10,1,MATCH($D$5,Inputs!$H$8:$U$8,0))</f>
        <v>D-NextVDO_Input</v>
      </c>
      <c r="E87" s="59" t="s">
        <v>92</v>
      </c>
      <c r="F87" s="222" t="str">
        <f>IFERROR(F85/F86,"-")</f>
        <v>-</v>
      </c>
    </row>
    <row r="88" spans="2:10" hidden="1" outlineLevel="1" x14ac:dyDescent="0.25">
      <c r="B88"/>
      <c r="C88" s="59" t="s">
        <v>631</v>
      </c>
      <c r="D88" s="82" t="str">
        <f>INDEX(Inputs!$H$10:$U$10,1,MATCH($D$5,Inputs!$H$8:$U$8,0))</f>
        <v>D-NextVDO_Input</v>
      </c>
      <c r="E88" s="59" t="s">
        <v>93</v>
      </c>
      <c r="F88" s="221" t="e">
        <f>SUMIFS(
INDEX(Input_TUNet_Actual[[F-PreviousVDO_Input]:[F-CurrentVDO_Input]],0,MATCH(TUNet_Usage_Actual_1[[#This Row],[VDO decision]],Input_TUNet_Actual[[#Headers],[F-PreviousVDO_Input]:[F-CurrentVDO_Input]],0)),
Input_TUNet_Actual[Customer type],Calc_TU_values!E88,Input_TUNet_Actual[Item],Calc_TU_values!C88)</f>
        <v>#N/A</v>
      </c>
    </row>
    <row r="89" spans="2:10" hidden="1" outlineLevel="1" x14ac:dyDescent="0.25">
      <c r="B89"/>
      <c r="C89" s="23" t="s">
        <v>627</v>
      </c>
      <c r="D89" s="82" t="str">
        <f>INDEX(Inputs!$H$10:$U$10,1,MATCH($D$5,Inputs!$H$8:$U$8,0))</f>
        <v>D-NextVDO_Input</v>
      </c>
      <c r="E89" s="59" t="s">
        <v>93</v>
      </c>
      <c r="F89" s="221" t="e">
        <f>SUMIFS(
INDEX(Input_TUNet_Actual[[F-PreviousVDO_Input]:[F-CurrentVDO_Input]],0,MATCH(TUNet_Usage_Actual_1[[#This Row],[VDO decision]],Input_TUNet_Actual[[#Headers],[F-PreviousVDO_Input]:[F-CurrentVDO_Input]],0)),
Input_TUNet_Actual[Customer type],Calc_TU_values!E89,Input_TUNet_Actual[Item],Calc_TU_values!C89)</f>
        <v>#N/A</v>
      </c>
    </row>
    <row r="90" spans="2:10" hidden="1" outlineLevel="1" x14ac:dyDescent="0.25">
      <c r="B90"/>
      <c r="C90" s="223" t="s">
        <v>637</v>
      </c>
      <c r="D90" s="82" t="str">
        <f>INDEX(Inputs!$H$10:$U$10,1,MATCH($D$5,Inputs!$H$8:$U$8,0))</f>
        <v>D-NextVDO_Input</v>
      </c>
      <c r="E90" s="223" t="s">
        <v>93</v>
      </c>
      <c r="F90" s="222" t="str">
        <f>IFERROR(F88/F89,"-")</f>
        <v>-</v>
      </c>
    </row>
    <row r="91" spans="2:10" hidden="1" outlineLevel="1" x14ac:dyDescent="0.25">
      <c r="B91"/>
      <c r="C91" s="223" t="s">
        <v>792</v>
      </c>
      <c r="D91" s="225" t="str">
        <f>INDEX(Inputs!$H$10:$U$10,1,MATCH($D$5,Inputs!$H$8:$U$8,0))</f>
        <v>D-NextVDO_Input</v>
      </c>
      <c r="E91" s="59" t="s">
        <v>92</v>
      </c>
      <c r="F91" s="196" t="e">
        <f>SUMIFS(
INDEX(Input_TUNet_Actual[[F-PreviousVDO_Input]:[F-CurrentVDO_Input]],0,MATCH(TUNet_Usage_Actual_1[[#This Row],[VDO decision]],Input_TUNet_Actual[[#Headers],[F-PreviousVDO_Input]:[F-CurrentVDO_Input]],0)),
Input_TUNet_Actual[Item],"Total usage - Controlled load",Input_TUNet_Actual[Customer type],TUNet_Usage_Actual_1[[#This Row],[Customer type]],Input_TUNet_Actual[Month],"July 2020 to August 2020")
/SUMIFS(
INDEX(Input_TUNet_Actual[[F-PreviousVDO_Input]:[F-CurrentVDO_Input]],0,MATCH(TUNet_Usage_Actual_1[[#This Row],[VDO decision]],Input_TUNet_Actual[[#Headers],[F-PreviousVDO_Input]:[F-CurrentVDO_Input]],0)),
Input_TUNet_Actual[Item],"Total usage - Controlled load",Input_TUNet_Actual[Customer type],TUNet_Usage_Actual_1[[#This Row],[Customer type]],Input_TUNet_Actual[Month],"July 2020 to June 2021")</f>
        <v>#N/A</v>
      </c>
    </row>
    <row r="92" spans="2:10" hidden="1" outlineLevel="1" x14ac:dyDescent="0.25">
      <c r="B92"/>
    </row>
    <row r="93" spans="2:10" ht="15.75" hidden="1" outlineLevel="1" x14ac:dyDescent="0.25">
      <c r="B93"/>
      <c r="C93" s="29" t="s">
        <v>667</v>
      </c>
    </row>
    <row r="94" spans="2:10" ht="15.75" hidden="1" outlineLevel="1" x14ac:dyDescent="0.25">
      <c r="B94"/>
      <c r="C94" s="217" t="s">
        <v>6</v>
      </c>
      <c r="D94" s="217" t="s">
        <v>101</v>
      </c>
      <c r="E94" s="217" t="s">
        <v>91</v>
      </c>
      <c r="F94" s="217" t="s">
        <v>268</v>
      </c>
      <c r="G94" s="60" t="s">
        <v>269</v>
      </c>
      <c r="H94" s="60" t="s">
        <v>270</v>
      </c>
      <c r="I94" s="60" t="s">
        <v>271</v>
      </c>
      <c r="J94" s="60" t="s">
        <v>272</v>
      </c>
    </row>
    <row r="95" spans="2:10" hidden="1" outlineLevel="1" x14ac:dyDescent="0.25">
      <c r="B95"/>
      <c r="C95" s="59" t="s">
        <v>661</v>
      </c>
      <c r="D95" s="82" t="str">
        <f>INDEX(Inputs!$H$10:$U$10,1,MATCH($D$5,Inputs!$H$8:$U$8,0))</f>
        <v>D-NextVDO_Input</v>
      </c>
      <c r="E95" s="59" t="s">
        <v>92</v>
      </c>
      <c r="F95" s="226" t="e">
        <f>IF(SUMIFS(
INDEX(Input_TUNet_Actual[[F-PreviousVDO_Input]:[F-CurrentVDO_Input]],0,MATCH(TUNet_Usage_PerRate_1[[#This Row],[VDO decision]],Input_TUNet_Actual[[#Headers],[F-PreviousVDO_Input]:[F-CurrentVDO_Input]],0)),
Input_TUNet_Actual[Customer type],$E95,Input_TUNet_Actual[Item],$C95&amp;" - "&amp;F$94)=0,"-",MIN(SUMIFS(TUNet_Usage_Actual_1[Value],TUNet_Usage_Actual_1[Customer type],$E95,TUNet_Usage_Actual_1[Description],"Usage per customer"),SUMIFS(
INDEX(Input_TUNet_Actual[[F-PreviousVDO_Input]:[F-CurrentVDO_Input]],0,MATCH(TUNet_Usage_PerRate_1[[#This Row],[VDO decision]],Input_TUNet_Actual[[#Headers],[F-PreviousVDO_Input]:[F-CurrentVDO_Input]],0)),
Input_TUNet_Actual[Customer type],$E95,Input_TUNet_Actual[Item],$C95&amp;" - "&amp;F$94)))</f>
        <v>#N/A</v>
      </c>
      <c r="G95" s="226" t="e">
        <f>IF(SUMIFS(
INDEX(Input_TUNet_Actual[[F-PreviousVDO_Input]:[F-CurrentVDO_Input]],0,MATCH(TUNet_Usage_PerRate_1[[#This Row],[VDO decision]],Input_TUNet_Actual[[#Headers],[F-PreviousVDO_Input]:[F-CurrentVDO_Input]],0)),
Input_TUNet_Actual[Customer type],$E95,Input_TUNet_Actual[Item],$C95&amp;" - "&amp;G$94)=0,"-",MIN(SUMIFS(TUNet_Usage_Actual_1[Value],TUNet_Usage_Actual_1[Customer type],$E95,TUNet_Usage_Actual_1[Description],"Usage per customer"),SUMIFS(
INDEX(Input_TUNet_Actual[[F-PreviousVDO_Input]:[F-CurrentVDO_Input]],0,MATCH(TUNet_Usage_PerRate_1[[#This Row],[VDO decision]],Input_TUNet_Actual[[#Headers],[F-PreviousVDO_Input]:[F-CurrentVDO_Input]],0)),
Input_TUNet_Actual[Customer type],$E95,Input_TUNet_Actual[Item],$C95&amp;" - "&amp;G$94)))</f>
        <v>#N/A</v>
      </c>
      <c r="H95" s="226" t="e">
        <f>IF(SUMIFS(
INDEX(Input_TUNet_Actual[[F-PreviousVDO_Input]:[F-CurrentVDO_Input]],0,MATCH(TUNet_Usage_PerRate_1[[#This Row],[VDO decision]],Input_TUNet_Actual[[#Headers],[F-PreviousVDO_Input]:[F-CurrentVDO_Input]],0)),
Input_TUNet_Actual[Customer type],$E95,Input_TUNet_Actual[Item],$C95&amp;" - "&amp;H$94)=0,"-",MIN(SUMIFS(TUNet_Usage_Actual_1[Value],TUNet_Usage_Actual_1[Customer type],$E95,TUNet_Usage_Actual_1[Description],"Usage per customer"),SUMIFS(
INDEX(Input_TUNet_Actual[[F-PreviousVDO_Input]:[F-CurrentVDO_Input]],0,MATCH(TUNet_Usage_PerRate_1[[#This Row],[VDO decision]],Input_TUNet_Actual[[#Headers],[F-PreviousVDO_Input]:[F-CurrentVDO_Input]],0)),
Input_TUNet_Actual[Customer type],$E95,Input_TUNet_Actual[Item],$C95&amp;" - "&amp;H$94)))</f>
        <v>#N/A</v>
      </c>
      <c r="I95" s="226" t="e">
        <f>IF(SUMIFS(
INDEX(Input_TUNet_Actual[[F-PreviousVDO_Input]:[F-CurrentVDO_Input]],0,MATCH(TUNet_Usage_PerRate_1[[#This Row],[VDO decision]],Input_TUNet_Actual[[#Headers],[F-PreviousVDO_Input]:[F-CurrentVDO_Input]],0)),
Input_TUNet_Actual[Customer type],$E95,Input_TUNet_Actual[Item],$C95&amp;" - "&amp;I$94)=0,"-",MIN(SUMIFS(TUNet_Usage_Actual_1[Value],TUNet_Usage_Actual_1[Customer type],$E95,TUNet_Usage_Actual_1[Description],"Usage per customer"),SUMIFS(
INDEX(Input_TUNet_Actual[[F-PreviousVDO_Input]:[F-CurrentVDO_Input]],0,MATCH(TUNet_Usage_PerRate_1[[#This Row],[VDO decision]],Input_TUNet_Actual[[#Headers],[F-PreviousVDO_Input]:[F-CurrentVDO_Input]],0)),
Input_TUNet_Actual[Customer type],$E95,Input_TUNet_Actual[Item],$C95&amp;" - "&amp;I$94)))</f>
        <v>#N/A</v>
      </c>
      <c r="J95" s="226" t="e">
        <f>IF(SUMIFS(
INDEX(Input_TUNet_Actual[[F-PreviousVDO_Input]:[F-CurrentVDO_Input]],0,MATCH(TUNet_Usage_PerRate_1[[#This Row],[VDO decision]],Input_TUNet_Actual[[#Headers],[F-PreviousVDO_Input]:[F-CurrentVDO_Input]],0)),
Input_TUNet_Actual[Customer type],$E95,Input_TUNet_Actual[Item],$C95&amp;" - "&amp;J$94)=0,"-",MIN(SUMIFS(TUNet_Usage_Actual_1[Value],TUNet_Usage_Actual_1[Customer type],$E95,TUNet_Usage_Actual_1[Description],"Usage per customer"),SUMIFS(
INDEX(Input_TUNet_Actual[[F-PreviousVDO_Input]:[F-CurrentVDO_Input]],0,MATCH(TUNet_Usage_PerRate_1[[#This Row],[VDO decision]],Input_TUNet_Actual[[#Headers],[F-PreviousVDO_Input]:[F-CurrentVDO_Input]],0)),
Input_TUNet_Actual[Customer type],$E95,Input_TUNet_Actual[Item],$C95&amp;" - "&amp;J$94)))</f>
        <v>#N/A</v>
      </c>
    </row>
    <row r="96" spans="2:10" hidden="1" outlineLevel="1" x14ac:dyDescent="0.25">
      <c r="B96"/>
      <c r="C96" s="59" t="s">
        <v>661</v>
      </c>
      <c r="D96" s="82" t="str">
        <f>INDEX(Inputs!$H$10:$U$10,1,MATCH($D$5,Inputs!$H$8:$U$8,0))</f>
        <v>D-NextVDO_Input</v>
      </c>
      <c r="E96" s="59" t="s">
        <v>93</v>
      </c>
      <c r="F96" s="226" t="e">
        <f>IF(SUMIFS(
INDEX(Input_TUNet_Actual[[F-PreviousVDO_Input]:[F-CurrentVDO_Input]],0,MATCH(TUNet_Usage_PerRate_1[[#This Row],[VDO decision]],Input_TUNet_Actual[[#Headers],[F-PreviousVDO_Input]:[F-CurrentVDO_Input]],0)),
Input_TUNet_Actual[Customer type],$E96,Input_TUNet_Actual[Item],$C96&amp;" - "&amp;F$94)=0,"-",MIN(SUMIFS(TUNet_Usage_Actual_1[Value],TUNet_Usage_Actual_1[Customer type],$E96,TUNet_Usage_Actual_1[Description],"Usage per customer"),SUMIFS(
INDEX(Input_TUNet_Actual[[F-PreviousVDO_Input]:[F-CurrentVDO_Input]],0,MATCH(TUNet_Usage_PerRate_1[[#This Row],[VDO decision]],Input_TUNet_Actual[[#Headers],[F-PreviousVDO_Input]:[F-CurrentVDO_Input]],0)),
Input_TUNet_Actual[Customer type],$E96,Input_TUNet_Actual[Item],$C96&amp;" - "&amp;F$94)))</f>
        <v>#N/A</v>
      </c>
      <c r="G96" s="226" t="e">
        <f>IF(SUMIFS(
INDEX(Input_TUNet_Actual[[F-PreviousVDO_Input]:[F-CurrentVDO_Input]],0,MATCH(TUNet_Usage_PerRate_1[[#This Row],[VDO decision]],Input_TUNet_Actual[[#Headers],[F-PreviousVDO_Input]:[F-CurrentVDO_Input]],0)),
Input_TUNet_Actual[Customer type],$E96,Input_TUNet_Actual[Item],$C96&amp;" - "&amp;G$94)=0,"-",MIN(SUMIFS(TUNet_Usage_Actual_1[Value],TUNet_Usage_Actual_1[Customer type],$E96,TUNet_Usage_Actual_1[Description],"Usage per customer"),SUMIFS(
INDEX(Input_TUNet_Actual[[F-PreviousVDO_Input]:[F-CurrentVDO_Input]],0,MATCH(TUNet_Usage_PerRate_1[[#This Row],[VDO decision]],Input_TUNet_Actual[[#Headers],[F-PreviousVDO_Input]:[F-CurrentVDO_Input]],0)),
Input_TUNet_Actual[Customer type],$E96,Input_TUNet_Actual[Item],$C96&amp;" - "&amp;G$94)))</f>
        <v>#N/A</v>
      </c>
      <c r="H96" s="226" t="e">
        <f>IF(SUMIFS(
INDEX(Input_TUNet_Actual[[F-PreviousVDO_Input]:[F-CurrentVDO_Input]],0,MATCH(TUNet_Usage_PerRate_1[[#This Row],[VDO decision]],Input_TUNet_Actual[[#Headers],[F-PreviousVDO_Input]:[F-CurrentVDO_Input]],0)),
Input_TUNet_Actual[Customer type],$E96,Input_TUNet_Actual[Item],$C96&amp;" - "&amp;H$94)=0,"-",MIN(SUMIFS(TUNet_Usage_Actual_1[Value],TUNet_Usage_Actual_1[Customer type],$E96,TUNet_Usage_Actual_1[Description],"Usage per customer"),SUMIFS(
INDEX(Input_TUNet_Actual[[F-PreviousVDO_Input]:[F-CurrentVDO_Input]],0,MATCH(TUNet_Usage_PerRate_1[[#This Row],[VDO decision]],Input_TUNet_Actual[[#Headers],[F-PreviousVDO_Input]:[F-CurrentVDO_Input]],0)),
Input_TUNet_Actual[Customer type],$E96,Input_TUNet_Actual[Item],$C96&amp;" - "&amp;H$94)))</f>
        <v>#N/A</v>
      </c>
      <c r="I96" s="226" t="e">
        <f>IF(SUMIFS(
INDEX(Input_TUNet_Actual[[F-PreviousVDO_Input]:[F-CurrentVDO_Input]],0,MATCH(TUNet_Usage_PerRate_1[[#This Row],[VDO decision]],Input_TUNet_Actual[[#Headers],[F-PreviousVDO_Input]:[F-CurrentVDO_Input]],0)),
Input_TUNet_Actual[Customer type],$E96,Input_TUNet_Actual[Item],$C96&amp;" - "&amp;I$94)=0,"-",MIN(SUMIFS(TUNet_Usage_Actual_1[Value],TUNet_Usage_Actual_1[Customer type],$E96,TUNet_Usage_Actual_1[Description],"Usage per customer"),SUMIFS(
INDEX(Input_TUNet_Actual[[F-PreviousVDO_Input]:[F-CurrentVDO_Input]],0,MATCH(TUNet_Usage_PerRate_1[[#This Row],[VDO decision]],Input_TUNet_Actual[[#Headers],[F-PreviousVDO_Input]:[F-CurrentVDO_Input]],0)),
Input_TUNet_Actual[Customer type],$E96,Input_TUNet_Actual[Item],$C96&amp;" - "&amp;I$94)))</f>
        <v>#N/A</v>
      </c>
      <c r="J96" s="226" t="e">
        <f>IF(SUMIFS(
INDEX(Input_TUNet_Actual[[F-PreviousVDO_Input]:[F-CurrentVDO_Input]],0,MATCH(TUNet_Usage_PerRate_1[[#This Row],[VDO decision]],Input_TUNet_Actual[[#Headers],[F-PreviousVDO_Input]:[F-CurrentVDO_Input]],0)),
Input_TUNet_Actual[Customer type],$E96,Input_TUNet_Actual[Item],$C96&amp;" - "&amp;J$94)=0,"-",MIN(SUMIFS(TUNet_Usage_Actual_1[Value],TUNet_Usage_Actual_1[Customer type],$E96,TUNet_Usage_Actual_1[Description],"Usage per customer"),SUMIFS(
INDEX(Input_TUNet_Actual[[F-PreviousVDO_Input]:[F-CurrentVDO_Input]],0,MATCH(TUNet_Usage_PerRate_1[[#This Row],[VDO decision]],Input_TUNet_Actual[[#Headers],[F-PreviousVDO_Input]:[F-CurrentVDO_Input]],0)),
Input_TUNet_Actual[Customer type],$E96,Input_TUNet_Actual[Item],$C96&amp;" - "&amp;J$94)))</f>
        <v>#N/A</v>
      </c>
    </row>
    <row r="97" spans="2:15" hidden="1" outlineLevel="1" x14ac:dyDescent="0.25">
      <c r="B97"/>
      <c r="C97" s="223" t="s">
        <v>662</v>
      </c>
      <c r="D97" s="82" t="str">
        <f>INDEX(Inputs!$H$10:$U$10,1,MATCH($D$5,Inputs!$H$8:$U$8,0))</f>
        <v>D-NextVDO_Input</v>
      </c>
      <c r="E97" s="59" t="s">
        <v>92</v>
      </c>
      <c r="F97" s="226" t="e">
        <f>IF(SUMIFS(F$95:F$96,$E$95:$E$96,$E97,$C$95:$C$96,"Usage per customer - Block 1")=0,"-",SUMIFS(TUNet_Usage_Actual_1[Value],TUNet_Usage_Actual_1[Customer type],$E97,TUNet_Usage_Actual_1[Description],"Usage per customer")-SUMIFS(F$95:F$96,$E$95:$E$96,$E97,$C$95:$C$96,"Usage per customer - Block 1"))</f>
        <v>#N/A</v>
      </c>
      <c r="G97" s="226" t="e">
        <f>IF(SUMIFS(G$95:G$96,$E$95:$E$96,$E97,$C$95:$C$96,"Usage per customer - Block 1")=0,"-",SUMIFS(TUNet_Usage_Actual_1[Value],TUNet_Usage_Actual_1[Customer type],$E97,TUNet_Usage_Actual_1[Description],"Usage per customer")-SUMIFS(G$95:G$96,$E$95:$E$96,$E97,$C$95:$C$96,"Usage per customer - Block 1"))</f>
        <v>#N/A</v>
      </c>
      <c r="H97" s="226" t="e">
        <f>IF(SUMIFS(H$95:H$96,$E$95:$E$96,$E97,$C$95:$C$96,"Usage per customer - Block 1")=0,"-",SUMIFS(TUNet_Usage_Actual_1[Value],TUNet_Usage_Actual_1[Customer type],$E97,TUNet_Usage_Actual_1[Description],"Usage per customer")-SUMIFS(H$95:H$96,$E$95:$E$96,$E97,$C$95:$C$96,"Usage per customer - Block 1"))</f>
        <v>#N/A</v>
      </c>
      <c r="I97" s="226" t="e">
        <f>IF(SUMIFS(I$95:I$96,$E$95:$E$96,$E97,$C$95:$C$96,"Usage per customer - Block 1")=0,"-",SUMIFS(TUNet_Usage_Actual_1[Value],TUNet_Usage_Actual_1[Customer type],$E97,TUNet_Usage_Actual_1[Description],"Usage per customer")-SUMIFS(I$95:I$96,$E$95:$E$96,$E97,$C$95:$C$96,"Usage per customer - Block 1"))</f>
        <v>#N/A</v>
      </c>
      <c r="J97" s="226" t="e">
        <f>IF(SUMIFS(J$95:J$96,$E$95:$E$96,$E97,$C$95:$C$96,"Usage per customer - Block 1")=0,"-",SUMIFS(TUNet_Usage_Actual_1[Value],TUNet_Usage_Actual_1[Customer type],$E97,TUNet_Usage_Actual_1[Description],"Usage per customer")-SUMIFS(J$95:J$96,$E$95:$E$96,$E97,$C$95:$C$96,"Usage per customer - Block 1"))</f>
        <v>#N/A</v>
      </c>
    </row>
    <row r="98" spans="2:15" hidden="1" outlineLevel="1" x14ac:dyDescent="0.25">
      <c r="B98"/>
      <c r="C98" s="223" t="s">
        <v>662</v>
      </c>
      <c r="D98" s="82" t="str">
        <f>INDEX(Inputs!$H$10:$U$10,1,MATCH($D$5,Inputs!$H$8:$U$8,0))</f>
        <v>D-NextVDO_Input</v>
      </c>
      <c r="E98" s="59" t="s">
        <v>93</v>
      </c>
      <c r="F98" s="226" t="e">
        <f>IF(SUMIFS(F$95:F$96,$E$95:$E$96,$E98,$C$95:$C$96,"Usage per customer - Block 1")=0,"-",SUMIFS(TUNet_Usage_Actual_1[Value],TUNet_Usage_Actual_1[Customer type],$E98,TUNet_Usage_Actual_1[Description],"Usage per customer")-SUMIFS(F$95:F$96,$E$95:$E$96,$E98,$C$95:$C$96,"Usage per customer - Block 1"))</f>
        <v>#N/A</v>
      </c>
      <c r="G98" s="226" t="e">
        <f>IF(SUMIFS(G$95:G$96,$E$95:$E$96,$E98,$C$95:$C$96,"Usage per customer - Block 1")=0,"-",SUMIFS(TUNet_Usage_Actual_1[Value],TUNet_Usage_Actual_1[Customer type],$E98,TUNet_Usage_Actual_1[Description],"Usage per customer")-SUMIFS(G$95:G$96,$E$95:$E$96,$E98,$C$95:$C$96,"Usage per customer - Block 1"))</f>
        <v>#N/A</v>
      </c>
      <c r="H98" s="226" t="e">
        <f>IF(SUMIFS(H$95:H$96,$E$95:$E$96,$E98,$C$95:$C$96,"Usage per customer - Block 1")=0,"-",SUMIFS(TUNet_Usage_Actual_1[Value],TUNet_Usage_Actual_1[Customer type],$E98,TUNet_Usage_Actual_1[Description],"Usage per customer")-SUMIFS(H$95:H$96,$E$95:$E$96,$E98,$C$95:$C$96,"Usage per customer - Block 1"))</f>
        <v>#N/A</v>
      </c>
      <c r="I98" s="226" t="e">
        <f>IF(SUMIFS(I$95:I$96,$E$95:$E$96,$E98,$C$95:$C$96,"Usage per customer - Block 1")=0,"-",SUMIFS(TUNet_Usage_Actual_1[Value],TUNet_Usage_Actual_1[Customer type],$E98,TUNet_Usage_Actual_1[Description],"Usage per customer")-SUMIFS(I$95:I$96,$E$95:$E$96,$E98,$C$95:$C$96,"Usage per customer - Block 1"))</f>
        <v>#N/A</v>
      </c>
      <c r="J98" s="226" t="e">
        <f>IF(SUMIFS(J$95:J$96,$E$95:$E$96,$E98,$C$95:$C$96,"Usage per customer - Block 1")=0,"-",SUMIFS(TUNet_Usage_Actual_1[Value],TUNet_Usage_Actual_1[Customer type],$E98,TUNet_Usage_Actual_1[Description],"Usage per customer")-SUMIFS(J$95:J$96,$E$95:$E$96,$E98,$C$95:$C$96,"Usage per customer - Block 1"))</f>
        <v>#N/A</v>
      </c>
    </row>
    <row r="99" spans="2:15" hidden="1" outlineLevel="1" x14ac:dyDescent="0.25">
      <c r="B99"/>
      <c r="C99" s="223" t="s">
        <v>663</v>
      </c>
      <c r="D99" s="82" t="str">
        <f>INDEX(Inputs!$H$10:$U$10,1,MATCH($D$5,Inputs!$H$8:$U$8,0))</f>
        <v>D-NextVDO_Input</v>
      </c>
      <c r="E99" s="59" t="s">
        <v>92</v>
      </c>
      <c r="F99" s="226" t="e">
        <f>IF(SUMIFS(
INDEX(Input_TUNet_Actual[[F-PreviousVDO_Input]:[F-CurrentVDO_Input]],0,MATCH(TUNet_Usage_PerRate_1[[#This Row],[VDO decision]],Input_TUNet_Actual[[#Headers],[F-PreviousVDO_Input]:[F-CurrentVDO_Input]],0)),
Input_TUNet_Actual[Customer type],$E99,Input_TUNet_Actual[Item],"Usage per customer - Block 1 - "&amp;F$94)=0,SUMIFS(TUNet_Usage_Actual_1[Value],TUNet_Usage_Actual_1[Customer type],$E99,TUNet_Usage_Actual_1[Description],"Usage per customer"),"-")</f>
        <v>#N/A</v>
      </c>
      <c r="G99" s="226" t="e">
        <f>IF(SUMIFS(
INDEX(Input_TUNet_Actual[[F-PreviousVDO_Input]:[F-CurrentVDO_Input]],0,MATCH(TUNet_Usage_PerRate_1[[#This Row],[VDO decision]],Input_TUNet_Actual[[#Headers],[F-PreviousVDO_Input]:[F-CurrentVDO_Input]],0)),
Input_TUNet_Actual[Customer type],$E99,Input_TUNet_Actual[Item],"Usage per customer - Block 1 - "&amp;G$94)=0,SUMIFS(TUNet_Usage_Actual_1[Value],TUNet_Usage_Actual_1[Customer type],$E99,TUNet_Usage_Actual_1[Description],"Usage per customer"),"-")</f>
        <v>#N/A</v>
      </c>
      <c r="H99" s="226" t="e">
        <f>IF(SUMIFS(
INDEX(Input_TUNet_Actual[[F-PreviousVDO_Input]:[F-CurrentVDO_Input]],0,MATCH(TUNet_Usage_PerRate_1[[#This Row],[VDO decision]],Input_TUNet_Actual[[#Headers],[F-PreviousVDO_Input]:[F-CurrentVDO_Input]],0)),
Input_TUNet_Actual[Customer type],$E99,Input_TUNet_Actual[Item],"Usage per customer - Block 1 - "&amp;H$94)=0,SUMIFS(TUNet_Usage_Actual_1[Value],TUNet_Usage_Actual_1[Customer type],$E99,TUNet_Usage_Actual_1[Description],"Usage per customer"),"-")</f>
        <v>#N/A</v>
      </c>
      <c r="I99" s="226" t="e">
        <f>IF(SUMIFS(
INDEX(Input_TUNet_Actual[[F-PreviousVDO_Input]:[F-CurrentVDO_Input]],0,MATCH(TUNet_Usage_PerRate_1[[#This Row],[VDO decision]],Input_TUNet_Actual[[#Headers],[F-PreviousVDO_Input]:[F-CurrentVDO_Input]],0)),
Input_TUNet_Actual[Customer type],$E99,Input_TUNet_Actual[Item],"Usage per customer - Block 1 - "&amp;I$94)=0,SUMIFS(TUNet_Usage_Actual_1[Value],TUNet_Usage_Actual_1[Customer type],$E99,TUNet_Usage_Actual_1[Description],"Usage per customer"),"-")</f>
        <v>#N/A</v>
      </c>
      <c r="J99" s="226" t="e">
        <f>IF(SUMIFS(
INDEX(Input_TUNet_Actual[[F-PreviousVDO_Input]:[F-CurrentVDO_Input]],0,MATCH(TUNet_Usage_PerRate_1[[#This Row],[VDO decision]],Input_TUNet_Actual[[#Headers],[F-PreviousVDO_Input]:[F-CurrentVDO_Input]],0)),
Input_TUNet_Actual[Customer type],$E99,Input_TUNet_Actual[Item],"Usage per customer - Block 1 - "&amp;J$94)=0,SUMIFS(TUNet_Usage_Actual_1[Value],TUNet_Usage_Actual_1[Customer type],$E99,TUNet_Usage_Actual_1[Description],"Usage per customer"),"-")</f>
        <v>#N/A</v>
      </c>
    </row>
    <row r="100" spans="2:15" hidden="1" outlineLevel="1" x14ac:dyDescent="0.25">
      <c r="B100"/>
      <c r="C100" s="181" t="s">
        <v>663</v>
      </c>
      <c r="D100" s="82" t="str">
        <f>INDEX(Inputs!$H$10:$U$10,1,MATCH($D$5,Inputs!$H$8:$U$8,0))</f>
        <v>D-NextVDO_Input</v>
      </c>
      <c r="E100" s="59" t="s">
        <v>93</v>
      </c>
      <c r="F100" s="226" t="e">
        <f>IF(SUMIFS(
INDEX(Input_TUNet_Actual[[F-PreviousVDO_Input]:[F-CurrentVDO_Input]],0,MATCH(TUNet_Usage_PerRate_1[[#This Row],[VDO decision]],Input_TUNet_Actual[[#Headers],[F-PreviousVDO_Input]:[F-CurrentVDO_Input]],0)),
Input_TUNet_Actual[Customer type],$E100,Input_TUNet_Actual[Item],"Usage per customer - Block 1 - "&amp;F$94)=0,SUMIFS(TUNet_Usage_Actual_1[Value],TUNet_Usage_Actual_1[Customer type],$E100,TUNet_Usage_Actual_1[Description],"Usage per customer"),"-")</f>
        <v>#N/A</v>
      </c>
      <c r="G100" s="226" t="e">
        <f>IF(SUMIFS(
INDEX(Input_TUNet_Actual[[F-PreviousVDO_Input]:[F-CurrentVDO_Input]],0,MATCH(TUNet_Usage_PerRate_1[[#This Row],[VDO decision]],Input_TUNet_Actual[[#Headers],[F-PreviousVDO_Input]:[F-CurrentVDO_Input]],0)),
Input_TUNet_Actual[Customer type],$E100,Input_TUNet_Actual[Item],"Usage per customer - Block 1 - "&amp;G$94)=0,SUMIFS(TUNet_Usage_Actual_1[Value],TUNet_Usage_Actual_1[Customer type],$E100,TUNet_Usage_Actual_1[Description],"Usage per customer"),"-")</f>
        <v>#N/A</v>
      </c>
      <c r="H100" s="226" t="e">
        <f>IF(SUMIFS(
INDEX(Input_TUNet_Actual[[F-PreviousVDO_Input]:[F-CurrentVDO_Input]],0,MATCH(TUNet_Usage_PerRate_1[[#This Row],[VDO decision]],Input_TUNet_Actual[[#Headers],[F-PreviousVDO_Input]:[F-CurrentVDO_Input]],0)),
Input_TUNet_Actual[Customer type],$E100,Input_TUNet_Actual[Item],"Usage per customer - Block 1 - "&amp;H$94)=0,SUMIFS(TUNet_Usage_Actual_1[Value],TUNet_Usage_Actual_1[Customer type],$E100,TUNet_Usage_Actual_1[Description],"Usage per customer"),"-")</f>
        <v>#N/A</v>
      </c>
      <c r="I100" s="226" t="e">
        <f>IF(SUMIFS(
INDEX(Input_TUNet_Actual[[F-PreviousVDO_Input]:[F-CurrentVDO_Input]],0,MATCH(TUNet_Usage_PerRate_1[[#This Row],[VDO decision]],Input_TUNet_Actual[[#Headers],[F-PreviousVDO_Input]:[F-CurrentVDO_Input]],0)),
Input_TUNet_Actual[Customer type],$E100,Input_TUNet_Actual[Item],"Usage per customer - Block 1 - "&amp;I$94)=0,SUMIFS(TUNet_Usage_Actual_1[Value],TUNet_Usage_Actual_1[Customer type],$E100,TUNet_Usage_Actual_1[Description],"Usage per customer"),"-")</f>
        <v>#N/A</v>
      </c>
      <c r="J100" s="226" t="e">
        <f>IF(SUMIFS(
INDEX(Input_TUNet_Actual[[F-PreviousVDO_Input]:[F-CurrentVDO_Input]],0,MATCH(TUNet_Usage_PerRate_1[[#This Row],[VDO decision]],Input_TUNet_Actual[[#Headers],[F-PreviousVDO_Input]:[F-CurrentVDO_Input]],0)),
Input_TUNet_Actual[Customer type],$E100,Input_TUNet_Actual[Item],"Usage per customer - Block 1 - "&amp;J$94)=0,SUMIFS(TUNet_Usage_Actual_1[Value],TUNet_Usage_Actual_1[Customer type],$E100,TUNet_Usage_Actual_1[Description],"Usage per customer"),"-")</f>
        <v>#N/A</v>
      </c>
    </row>
    <row r="101" spans="2:15" hidden="1" outlineLevel="1" x14ac:dyDescent="0.25">
      <c r="B101"/>
    </row>
    <row r="102" spans="2:15" ht="15.75" hidden="1" outlineLevel="1" x14ac:dyDescent="0.25">
      <c r="B102"/>
      <c r="C102" s="29" t="s">
        <v>647</v>
      </c>
    </row>
    <row r="103" spans="2:15" ht="15.75" hidden="1" outlineLevel="1" x14ac:dyDescent="0.25">
      <c r="C103" s="43" t="s">
        <v>46</v>
      </c>
      <c r="D103" s="43" t="s">
        <v>101</v>
      </c>
      <c r="E103" s="43" t="s">
        <v>585</v>
      </c>
      <c r="F103" s="43" t="s">
        <v>588</v>
      </c>
      <c r="G103" s="43" t="s">
        <v>315</v>
      </c>
      <c r="H103" s="43" t="s">
        <v>102</v>
      </c>
      <c r="I103" s="43" t="s">
        <v>103</v>
      </c>
      <c r="J103" s="42" t="s">
        <v>91</v>
      </c>
      <c r="K103" s="60" t="s">
        <v>268</v>
      </c>
      <c r="L103" s="60" t="s">
        <v>269</v>
      </c>
      <c r="M103" s="60" t="s">
        <v>270</v>
      </c>
      <c r="N103" s="60" t="s">
        <v>271</v>
      </c>
      <c r="O103" s="60" t="s">
        <v>272</v>
      </c>
    </row>
    <row r="104" spans="2:15" hidden="1" outlineLevel="1" x14ac:dyDescent="0.25">
      <c r="C104" s="59"/>
      <c r="D104" s="59"/>
      <c r="E104" s="59"/>
      <c r="F104" s="59"/>
      <c r="G104" s="59"/>
      <c r="H104" s="59"/>
      <c r="I104" s="59"/>
      <c r="J104" s="59"/>
      <c r="K104" s="66"/>
      <c r="L104" s="59"/>
      <c r="M104" s="59"/>
      <c r="N104" s="59"/>
      <c r="O104" s="59"/>
    </row>
    <row r="105" spans="2:15" ht="15.75" hidden="1" outlineLevel="1" x14ac:dyDescent="0.25">
      <c r="C105" s="1" t="s">
        <v>525</v>
      </c>
      <c r="D105" s="59"/>
      <c r="E105" s="59"/>
      <c r="F105" s="59"/>
      <c r="G105" s="68" t="s">
        <v>317</v>
      </c>
      <c r="H105" s="59"/>
      <c r="I105" s="59"/>
      <c r="J105" s="59"/>
      <c r="K105" s="66"/>
      <c r="L105" s="59"/>
      <c r="M105" s="59"/>
      <c r="N105" s="59"/>
      <c r="O105" s="59"/>
    </row>
    <row r="106" spans="2:15" hidden="1" outlineLevel="1" x14ac:dyDescent="0.25">
      <c r="C106" s="57" t="s">
        <v>539</v>
      </c>
      <c r="D106" s="57"/>
      <c r="E106" s="57"/>
      <c r="F106" s="57"/>
      <c r="G106" s="68"/>
      <c r="H106" s="68"/>
      <c r="I106" s="23"/>
      <c r="J106" s="23"/>
      <c r="K106" s="65"/>
      <c r="L106" s="23"/>
      <c r="M106" s="23"/>
      <c r="N106" s="23"/>
      <c r="O106" s="23"/>
    </row>
    <row r="107" spans="2:15" hidden="1" outlineLevel="1" x14ac:dyDescent="0.25">
      <c r="C107" s="59" t="s">
        <v>514</v>
      </c>
      <c r="D107" s="82" t="str">
        <f>Calc_TU_values!$D$5</f>
        <v>VDO 2022-23 - Draft</v>
      </c>
      <c r="E107" s="23" t="s">
        <v>586</v>
      </c>
      <c r="F107" s="82" t="str">
        <f>INDEX(Inputs!$H$10:$U$10,1,MATCH($D107,Inputs!$H$8:$U$8,0))</f>
        <v>D-NextVDO_Input</v>
      </c>
      <c r="G107" s="58"/>
      <c r="H107" s="23" t="s">
        <v>108</v>
      </c>
      <c r="I107" s="23" t="s">
        <v>109</v>
      </c>
      <c r="J107" s="59" t="s">
        <v>92</v>
      </c>
      <c r="K107" s="66" cm="1">
        <f t="array" ref="K107">IFERROR(INDEX(Input_ForRateCalc[],MATCH($C107&amp;" - "&amp;K$103,Input_ForRateCalc[[Cost item]:[Cost item]],0),MATCH(Calc_TUV_Net_1[[#This Row],[Decision ref]:[Decision ref]],Input_ForRateCalc[#Headers],0)),"-")*TUProp_Days_1</f>
        <v>0</v>
      </c>
      <c r="L107" s="66" cm="1">
        <f t="array" ref="L107">IFERROR(INDEX(Input_ForRateCalc[],MATCH($C107&amp;" - "&amp;L$103,Input_ForRateCalc[[Cost item]:[Cost item]],0),MATCH(Calc_TUV_Net_1[[#This Row],[Decision ref]:[Decision ref]],Input_ForRateCalc[#Headers],0)),"-")*TUProp_Days_1</f>
        <v>0</v>
      </c>
      <c r="M107" s="66" cm="1">
        <f t="array" ref="M107">IFERROR(INDEX(Input_ForRateCalc[],MATCH($C107&amp;" - "&amp;M$103,Input_ForRateCalc[[Cost item]:[Cost item]],0),MATCH(Calc_TUV_Net_1[[#This Row],[Decision ref]:[Decision ref]],Input_ForRateCalc[#Headers],0)),"-")*TUProp_Days_1</f>
        <v>0</v>
      </c>
      <c r="N107" s="66" cm="1">
        <f t="array" ref="N107">IFERROR(INDEX(Input_ForRateCalc[],MATCH($C107&amp;" - "&amp;N$103,Input_ForRateCalc[[Cost item]:[Cost item]],0),MATCH(Calc_TUV_Net_1[[#This Row],[Decision ref]:[Decision ref]],Input_ForRateCalc[#Headers],0)),"-")*TUProp_Days_1</f>
        <v>0</v>
      </c>
      <c r="O107" s="66" cm="1">
        <f t="array" ref="O107">IFERROR(INDEX(Input_ForRateCalc[],MATCH($C107&amp;" - "&amp;O$103,Input_ForRateCalc[[Cost item]:[Cost item]],0),MATCH(Calc_TUV_Net_1[[#This Row],[Decision ref]:[Decision ref]],Input_ForRateCalc[#Headers],0)),"-")*TUProp_Days_1</f>
        <v>0</v>
      </c>
    </row>
    <row r="108" spans="2:15" hidden="1" outlineLevel="1" x14ac:dyDescent="0.25">
      <c r="C108" s="59" t="s">
        <v>275</v>
      </c>
      <c r="D108" s="82" t="str">
        <f>Calc_TU_values!$D$5</f>
        <v>VDO 2022-23 - Draft</v>
      </c>
      <c r="E108" s="23" t="s">
        <v>586</v>
      </c>
      <c r="F108" s="82" t="str">
        <f>INDEX(Inputs!$H$10:$U$10,1,MATCH($D108,Inputs!$H$8:$U$8,0))</f>
        <v>D-NextVDO_Input</v>
      </c>
      <c r="G108" s="58"/>
      <c r="H108" s="23" t="s">
        <v>108</v>
      </c>
      <c r="I108" s="23" t="s">
        <v>109</v>
      </c>
      <c r="J108" s="59" t="s">
        <v>92</v>
      </c>
      <c r="K108" s="66" cm="1">
        <f t="array" ref="K108">IFERROR(INDEX(Input_ForRateCalc[],MATCH($C108&amp;" - "&amp;K$103,Input_ForRateCalc[[Cost item]:[Cost item]],0),MATCH(Calc_TUV_Net_1[[#This Row],[Decision ref]:[Decision ref]],Input_ForRateCalc[#Headers],0)),"-")*TUProp_Days_1</f>
        <v>0</v>
      </c>
      <c r="L108" s="66" cm="1">
        <f t="array" ref="L108">IFERROR(INDEX(Input_ForRateCalc[],MATCH($C108&amp;" - "&amp;L$103,Input_ForRateCalc[[Cost item]:[Cost item]],0),MATCH(Calc_TUV_Net_1[[#This Row],[Decision ref]:[Decision ref]],Input_ForRateCalc[#Headers],0)),"-")*TUProp_Days_1</f>
        <v>0</v>
      </c>
      <c r="M108" s="66" cm="1">
        <f t="array" ref="M108">IFERROR(INDEX(Input_ForRateCalc[],MATCH($C108&amp;" - "&amp;M$103,Input_ForRateCalc[[Cost item]:[Cost item]],0),MATCH(Calc_TUV_Net_1[[#This Row],[Decision ref]:[Decision ref]],Input_ForRateCalc[#Headers],0)),"-")*TUProp_Days_1</f>
        <v>0</v>
      </c>
      <c r="N108" s="66" cm="1">
        <f t="array" ref="N108">IFERROR(INDEX(Input_ForRateCalc[],MATCH($C108&amp;" - "&amp;N$103,Input_ForRateCalc[[Cost item]:[Cost item]],0),MATCH(Calc_TUV_Net_1[[#This Row],[Decision ref]:[Decision ref]],Input_ForRateCalc[#Headers],0)),"-")*TUProp_Days_1</f>
        <v>0</v>
      </c>
      <c r="O108" s="66" cm="1">
        <f t="array" ref="O108">IFERROR(INDEX(Input_ForRateCalc[],MATCH($C108&amp;" - "&amp;O$103,Input_ForRateCalc[[Cost item]:[Cost item]],0),MATCH(Calc_TUV_Net_1[[#This Row],[Decision ref]:[Decision ref]],Input_ForRateCalc[#Headers],0)),"-")*TUProp_Days_1</f>
        <v>0</v>
      </c>
    </row>
    <row r="109" spans="2:15" hidden="1" outlineLevel="1" x14ac:dyDescent="0.25">
      <c r="C109" s="59" t="s">
        <v>318</v>
      </c>
      <c r="D109" s="82" t="str">
        <f>Calc_TU_values!$D$5</f>
        <v>VDO 2022-23 - Draft</v>
      </c>
      <c r="E109" s="23" t="s">
        <v>586</v>
      </c>
      <c r="F109" s="82" t="str">
        <f>INDEX(Inputs!$H$10:$U$10,1,MATCH($D109,Inputs!$H$8:$U$8,0))</f>
        <v>D-NextVDO_Input</v>
      </c>
      <c r="G109" s="58"/>
      <c r="H109" s="23" t="s">
        <v>108</v>
      </c>
      <c r="I109" s="23" t="s">
        <v>109</v>
      </c>
      <c r="J109" s="59" t="s">
        <v>92</v>
      </c>
      <c r="K109" s="64">
        <f>IFERROR(SUM(K107:K108),"-")</f>
        <v>0</v>
      </c>
      <c r="L109" s="64">
        <f>IFERROR(SUM(L107:L108),"-")</f>
        <v>0</v>
      </c>
      <c r="M109" s="64">
        <f>IFERROR(SUM(M107:M108),"-")</f>
        <v>0</v>
      </c>
      <c r="N109" s="64">
        <f>IFERROR(SUM(N107:N108),"-")</f>
        <v>0</v>
      </c>
      <c r="O109" s="64">
        <f>IFERROR(SUM(O107:O108),"-")</f>
        <v>0</v>
      </c>
    </row>
    <row r="110" spans="2:15" hidden="1" outlineLevel="1" x14ac:dyDescent="0.25">
      <c r="C110" s="59" t="s">
        <v>514</v>
      </c>
      <c r="D110" s="82" t="str">
        <f>INDEX(Input_DecisionActual[[Decision]:[Decision]],MATCH(Calc_TU_values!$D$5,Input_DecisionActual[[VDO period]:[VDO period]],0),1)</f>
        <v>VDO 2022 - Final</v>
      </c>
      <c r="E110" s="23" t="s">
        <v>587</v>
      </c>
      <c r="F110" s="82" t="str">
        <f>IF($D110="-","-",INDEX(Inputs!$H$10:$U$10,1,MATCH($D110,Inputs!$H$8:$U$8,0)))</f>
        <v>F-CurrentVDO_Input</v>
      </c>
      <c r="G110" s="58"/>
      <c r="H110" s="23" t="s">
        <v>108</v>
      </c>
      <c r="I110" s="23" t="s">
        <v>109</v>
      </c>
      <c r="J110" s="59" t="s">
        <v>92</v>
      </c>
      <c r="K110" s="66" cm="1">
        <f t="array" ref="K110">IFERROR(INDEX(Input_ForRateCalc[],MATCH($C110&amp;" - "&amp;K$103,Input_ForRateCalc[[Cost item]:[Cost item]],0),MATCH(Calc_TUV_Net_1[[#This Row],[Decision ref]:[Decision ref]],Input_ForRateCalc[#Headers],0)),"-")*TUProp_Days_1</f>
        <v>0</v>
      </c>
      <c r="L110" s="66" cm="1">
        <f t="array" ref="L110">IFERROR(INDEX(Input_ForRateCalc[],MATCH($C110&amp;" - "&amp;L$103,Input_ForRateCalc[[Cost item]:[Cost item]],0),MATCH(Calc_TUV_Net_1[[#This Row],[Decision ref]:[Decision ref]],Input_ForRateCalc[#Headers],0)),"-")*TUProp_Days_1</f>
        <v>0</v>
      </c>
      <c r="M110" s="66" cm="1">
        <f t="array" ref="M110">IFERROR(INDEX(Input_ForRateCalc[],MATCH($C110&amp;" - "&amp;M$103,Input_ForRateCalc[[Cost item]:[Cost item]],0),MATCH(Calc_TUV_Net_1[[#This Row],[Decision ref]:[Decision ref]],Input_ForRateCalc[#Headers],0)),"-")*TUProp_Days_1</f>
        <v>0</v>
      </c>
      <c r="N110" s="66" cm="1">
        <f t="array" ref="N110">IFERROR(INDEX(Input_ForRateCalc[],MATCH($C110&amp;" - "&amp;N$103,Input_ForRateCalc[[Cost item]:[Cost item]],0),MATCH(Calc_TUV_Net_1[[#This Row],[Decision ref]:[Decision ref]],Input_ForRateCalc[#Headers],0)),"-")*TUProp_Days_1</f>
        <v>0</v>
      </c>
      <c r="O110" s="66" cm="1">
        <f t="array" ref="O110">IFERROR(INDEX(Input_ForRateCalc[],MATCH($C110&amp;" - "&amp;O$103,Input_ForRateCalc[[Cost item]:[Cost item]],0),MATCH(Calc_TUV_Net_1[[#This Row],[Decision ref]:[Decision ref]],Input_ForRateCalc[#Headers],0)),"-")*TUProp_Days_1</f>
        <v>0</v>
      </c>
    </row>
    <row r="111" spans="2:15" hidden="1" outlineLevel="1" x14ac:dyDescent="0.25">
      <c r="C111" s="59" t="s">
        <v>275</v>
      </c>
      <c r="D111" s="82" t="str">
        <f>INDEX(Input_DecisionActual[[Decision]:[Decision]],MATCH(Calc_TU_values!$D$5,Input_DecisionActual[[VDO period]:[VDO period]],0),1)</f>
        <v>VDO 2022 - Final</v>
      </c>
      <c r="E111" s="23" t="s">
        <v>587</v>
      </c>
      <c r="F111" s="82" t="str">
        <f>IF($D111="-","-",INDEX(Inputs!$H$10:$U$10,1,MATCH($D111,Inputs!$H$8:$U$8,0)))</f>
        <v>F-CurrentVDO_Input</v>
      </c>
      <c r="G111" s="58"/>
      <c r="H111" s="23" t="s">
        <v>108</v>
      </c>
      <c r="I111" s="23" t="s">
        <v>109</v>
      </c>
      <c r="J111" s="59" t="s">
        <v>92</v>
      </c>
      <c r="K111" s="66" cm="1">
        <f t="array" ref="K111">IFERROR(INDEX(Input_ForRateCalc[],MATCH($C111&amp;" - "&amp;K$103,Input_ForRateCalc[[Cost item]:[Cost item]],0),MATCH(Calc_TUV_Net_1[[#This Row],[Decision ref]:[Decision ref]],Input_ForRateCalc[#Headers],0)),"-")*TUProp_Days_1</f>
        <v>0</v>
      </c>
      <c r="L111" s="66" cm="1">
        <f t="array" ref="L111">IFERROR(INDEX(Input_ForRateCalc[],MATCH($C111&amp;" - "&amp;L$103,Input_ForRateCalc[[Cost item]:[Cost item]],0),MATCH(Calc_TUV_Net_1[[#This Row],[Decision ref]:[Decision ref]],Input_ForRateCalc[#Headers],0)),"-")*TUProp_Days_1</f>
        <v>0</v>
      </c>
      <c r="M111" s="66" cm="1">
        <f t="array" ref="M111">IFERROR(INDEX(Input_ForRateCalc[],MATCH($C111&amp;" - "&amp;M$103,Input_ForRateCalc[[Cost item]:[Cost item]],0),MATCH(Calc_TUV_Net_1[[#This Row],[Decision ref]:[Decision ref]],Input_ForRateCalc[#Headers],0)),"-")*TUProp_Days_1</f>
        <v>0</v>
      </c>
      <c r="N111" s="66" cm="1">
        <f t="array" ref="N111">IFERROR(INDEX(Input_ForRateCalc[],MATCH($C111&amp;" - "&amp;N$103,Input_ForRateCalc[[Cost item]:[Cost item]],0),MATCH(Calc_TUV_Net_1[[#This Row],[Decision ref]:[Decision ref]],Input_ForRateCalc[#Headers],0)),"-")*TUProp_Days_1</f>
        <v>0</v>
      </c>
      <c r="O111" s="66" cm="1">
        <f t="array" ref="O111">IFERROR(INDEX(Input_ForRateCalc[],MATCH($C111&amp;" - "&amp;O$103,Input_ForRateCalc[[Cost item]:[Cost item]],0),MATCH(Calc_TUV_Net_1[[#This Row],[Decision ref]:[Decision ref]],Input_ForRateCalc[#Headers],0)),"-")*TUProp_Days_1</f>
        <v>0</v>
      </c>
    </row>
    <row r="112" spans="2:15" hidden="1" outlineLevel="1" x14ac:dyDescent="0.25">
      <c r="C112" s="59" t="s">
        <v>318</v>
      </c>
      <c r="D112" s="82" t="str">
        <f>INDEX(Input_DecisionActual[[Decision]:[Decision]],MATCH(Calc_TU_values!$D$5,Input_DecisionActual[[VDO period]:[VDO period]],0),1)</f>
        <v>VDO 2022 - Final</v>
      </c>
      <c r="E112" s="23" t="s">
        <v>587</v>
      </c>
      <c r="F112" s="82" t="str">
        <f>IF($D112="-","-",INDEX(Inputs!$H$10:$U$10,1,MATCH($D112,Inputs!$H$8:$U$8,0)))</f>
        <v>F-CurrentVDO_Input</v>
      </c>
      <c r="G112" s="58"/>
      <c r="H112" s="23" t="s">
        <v>108</v>
      </c>
      <c r="I112" s="23" t="s">
        <v>109</v>
      </c>
      <c r="J112" s="59" t="s">
        <v>92</v>
      </c>
      <c r="K112" s="65">
        <f>SUM(K110:K111)</f>
        <v>0</v>
      </c>
      <c r="L112" s="65">
        <f>SUM(L110:L111)</f>
        <v>0</v>
      </c>
      <c r="M112" s="65">
        <f>SUM(M110:M111)</f>
        <v>0</v>
      </c>
      <c r="N112" s="65">
        <f>SUM(N110:N111)</f>
        <v>0</v>
      </c>
      <c r="O112" s="65">
        <f>SUM(O110:O111)</f>
        <v>0</v>
      </c>
    </row>
    <row r="113" spans="3:15" hidden="1" outlineLevel="1" x14ac:dyDescent="0.25">
      <c r="C113" s="59" t="s">
        <v>319</v>
      </c>
      <c r="D113" s="23"/>
      <c r="E113" s="23"/>
      <c r="F113" s="23"/>
      <c r="G113" s="23"/>
      <c r="H113" s="23" t="s">
        <v>108</v>
      </c>
      <c r="I113" s="23" t="s">
        <v>109</v>
      </c>
      <c r="J113" s="59" t="s">
        <v>92</v>
      </c>
      <c r="K113" s="65" t="str">
        <f>IF(K112=0,"-",K109-K112)</f>
        <v>-</v>
      </c>
      <c r="L113" s="65" t="str">
        <f t="shared" ref="L113:O113" si="44">IF(L112=0,"-",L109-L112)</f>
        <v>-</v>
      </c>
      <c r="M113" s="65" t="str">
        <f t="shared" si="44"/>
        <v>-</v>
      </c>
      <c r="N113" s="65" t="str">
        <f t="shared" si="44"/>
        <v>-</v>
      </c>
      <c r="O113" s="65" t="str">
        <f t="shared" si="44"/>
        <v>-</v>
      </c>
    </row>
    <row r="114" spans="3:15" hidden="1" outlineLevel="1" x14ac:dyDescent="0.25">
      <c r="C114" s="59" t="s">
        <v>442</v>
      </c>
      <c r="D114" s="23"/>
      <c r="E114" s="23"/>
      <c r="F114" s="23"/>
      <c r="G114" s="23"/>
      <c r="H114" s="23" t="s">
        <v>108</v>
      </c>
      <c r="I114" s="23" t="s">
        <v>109</v>
      </c>
      <c r="J114" s="59" t="s">
        <v>92</v>
      </c>
      <c r="K114" s="66" t="str">
        <f>IFERROR(IF($D$11="Yes",K113*(1+WACC_adj_1),""),"-")</f>
        <v/>
      </c>
      <c r="L114" s="66" t="str">
        <f>IFERROR(IF($D$11="Yes",L113*(1+WACC_adj_1),""),"-")</f>
        <v/>
      </c>
      <c r="M114" s="66" t="str">
        <f>IFERROR(IF($D$11="Yes",M113*(1+WACC_adj_1),""),"-")</f>
        <v/>
      </c>
      <c r="N114" s="66" t="str">
        <f>IFERROR(IF($D$11="Yes",N113*(1+WACC_adj_1),""),"-")</f>
        <v/>
      </c>
      <c r="O114" s="66" t="str">
        <f>IFERROR(IF($D$11="Yes",O113*(1+WACC_adj_1),""),"-")</f>
        <v/>
      </c>
    </row>
    <row r="115" spans="3:15" hidden="1" outlineLevel="1" x14ac:dyDescent="0.25">
      <c r="C115" s="59" t="s">
        <v>321</v>
      </c>
      <c r="D115" s="82" t="str">
        <f>INDEX(Input_DecisionActual[[Decision]:[Decision]],MATCH(Calc_TU_values!$D$5,Input_DecisionActual[[VDO period]:[VDO period]],0),1)</f>
        <v>VDO 2022 - Final</v>
      </c>
      <c r="E115" s="23" t="s">
        <v>587</v>
      </c>
      <c r="F115" s="82" t="str">
        <f>IF($D115="-","-",INDEX(Inputs!$H$10:$U$10,1,MATCH($D115,Inputs!$H$8:$U$8,0)))</f>
        <v>F-CurrentVDO_Input</v>
      </c>
      <c r="G115" s="23"/>
      <c r="H115" s="23" t="s">
        <v>108</v>
      </c>
      <c r="I115" s="23" t="s">
        <v>109</v>
      </c>
      <c r="J115" s="59" t="s">
        <v>92</v>
      </c>
      <c r="K115" s="66" cm="1">
        <f t="array" ref="K115">IFERROR(SUM(K113:K114)*(INDEX(Inputs!$H$11:$U$128,MATCH("Retail operating margin",Input_ForRateCalc[[Cost item]:[Cost item]],0),MATCH(Calc_TUV_Net_1[[#This Row],[Decision ref]:[Decision ref]],Inputs!$H$10:$U$10,0))),"-")</f>
        <v>0</v>
      </c>
      <c r="L115" s="66" cm="1">
        <f t="array" ref="L115">IFERROR(SUM(L113:L114)*(INDEX(Inputs!$H$11:$U$128,MATCH("Retail operating margin",Input_ForRateCalc[[Cost item]:[Cost item]],0),MATCH(Calc_TUV_Net_1[[#This Row],[Decision ref]:[Decision ref]],Inputs!$H$10:$U$10,0))),"-")</f>
        <v>0</v>
      </c>
      <c r="M115" s="66" cm="1">
        <f t="array" ref="M115">IFERROR(SUM(M113:M114)*(INDEX(Inputs!$H$11:$U$128,MATCH("Retail operating margin",Input_ForRateCalc[[Cost item]:[Cost item]],0),MATCH(Calc_TUV_Net_1[[#This Row],[Decision ref]:[Decision ref]],Inputs!$H$10:$U$10,0))),"-")</f>
        <v>0</v>
      </c>
      <c r="N115" s="66" cm="1">
        <f t="array" ref="N115">IFERROR(SUM(N113:N114)*(INDEX(Inputs!$H$11:$U$128,MATCH("Retail operating margin",Input_ForRateCalc[[Cost item]:[Cost item]],0),MATCH(Calc_TUV_Net_1[[#This Row],[Decision ref]:[Decision ref]],Inputs!$H$10:$U$10,0))),"-")</f>
        <v>0</v>
      </c>
      <c r="O115" s="66" cm="1">
        <f t="array" ref="O115">IFERROR(SUM(O113:O114)*(INDEX(Inputs!$H$11:$U$128,MATCH("Retail operating margin",Input_ForRateCalc[[Cost item]:[Cost item]],0),MATCH(Calc_TUV_Net_1[[#This Row],[Decision ref]:[Decision ref]],Inputs!$H$10:$U$10,0))),"-")</f>
        <v>0</v>
      </c>
    </row>
    <row r="116" spans="3:15" hidden="1" outlineLevel="1" x14ac:dyDescent="0.25">
      <c r="C116" s="59" t="s">
        <v>443</v>
      </c>
      <c r="D116" s="23"/>
      <c r="E116" s="23"/>
      <c r="F116" s="23"/>
      <c r="G116" s="23"/>
      <c r="H116" s="23" t="s">
        <v>108</v>
      </c>
      <c r="I116" s="23" t="s">
        <v>109</v>
      </c>
      <c r="J116" s="59" t="s">
        <v>92</v>
      </c>
      <c r="K116" s="66" t="str">
        <f>IF(K112=0,"-",SUM(K113:K115)*GST)</f>
        <v>-</v>
      </c>
      <c r="L116" s="66" t="str">
        <f>IF(L112=0,"-",SUM(L113:L115)*GST)</f>
        <v>-</v>
      </c>
      <c r="M116" s="66" t="str">
        <f>IF(M112=0,"-",SUM(M113:M115)*GST)</f>
        <v>-</v>
      </c>
      <c r="N116" s="66" t="str">
        <f>IF(N112=0,"-",SUM(N113:N115)*GST)</f>
        <v>-</v>
      </c>
      <c r="O116" s="66" t="str">
        <f>IF(O112=0,"-",SUM(O113:O115)*GST)</f>
        <v>-</v>
      </c>
    </row>
    <row r="117" spans="3:15" hidden="1" outlineLevel="1" x14ac:dyDescent="0.25">
      <c r="C117" s="23" t="s">
        <v>535</v>
      </c>
      <c r="D117" s="23"/>
      <c r="E117" s="23"/>
      <c r="F117" s="23"/>
      <c r="G117" s="23"/>
      <c r="H117" s="23" t="s">
        <v>108</v>
      </c>
      <c r="I117" s="23" t="s">
        <v>109</v>
      </c>
      <c r="J117" s="59" t="s">
        <v>92</v>
      </c>
      <c r="K117" s="66" t="str">
        <f>IF(K112=0,"-",SUM(K113:K116))</f>
        <v>-</v>
      </c>
      <c r="L117" s="66" t="str">
        <f>IF(L112=0,"-",SUM(L113:L116))</f>
        <v>-</v>
      </c>
      <c r="M117" s="66" t="str">
        <f>IF(M112=0,"-",SUM(M113:M116))</f>
        <v>-</v>
      </c>
      <c r="N117" s="66" t="str">
        <f>IF(N112=0,"-",SUM(N113:N116))</f>
        <v>-</v>
      </c>
      <c r="O117" s="66" t="str">
        <f>IF(O112=0,"-",SUM(O113:O116))</f>
        <v>-</v>
      </c>
    </row>
    <row r="118" spans="3:15" hidden="1" outlineLevel="1" x14ac:dyDescent="0.25">
      <c r="C118" s="59"/>
      <c r="D118" s="116"/>
      <c r="E118" s="116"/>
      <c r="F118" s="116"/>
      <c r="H118" s="23"/>
      <c r="I118" s="23"/>
      <c r="J118" s="23"/>
      <c r="K118" s="128"/>
      <c r="L118" s="128"/>
      <c r="M118" s="128"/>
      <c r="N118" s="128"/>
      <c r="O118" s="128"/>
    </row>
    <row r="119" spans="3:15" hidden="1" outlineLevel="1" x14ac:dyDescent="0.25">
      <c r="C119" s="57" t="s">
        <v>540</v>
      </c>
      <c r="D119" s="23"/>
      <c r="E119" s="23"/>
      <c r="F119" s="23"/>
      <c r="G119" s="68"/>
      <c r="H119" s="23"/>
      <c r="I119" s="23"/>
      <c r="J119" s="23"/>
      <c r="K119" s="129"/>
      <c r="L119" s="129"/>
      <c r="M119" s="129"/>
      <c r="N119" s="129"/>
      <c r="O119" s="129"/>
    </row>
    <row r="120" spans="3:15" hidden="1" outlineLevel="1" x14ac:dyDescent="0.25">
      <c r="C120" s="59" t="s">
        <v>517</v>
      </c>
      <c r="D120" s="82" t="str">
        <f>Calc_TU_values!$D$5</f>
        <v>VDO 2022-23 - Draft</v>
      </c>
      <c r="E120" s="23" t="s">
        <v>586</v>
      </c>
      <c r="F120" s="82" t="str">
        <f>INDEX(Inputs!$H$10:$U$10,1,MATCH($D120,Inputs!$H$8:$U$8,0))</f>
        <v>D-NextVDO_Input</v>
      </c>
      <c r="G120" s="23"/>
      <c r="H120" s="23" t="s">
        <v>130</v>
      </c>
      <c r="I120" s="23" t="s">
        <v>165</v>
      </c>
      <c r="J120" s="59" t="s">
        <v>92</v>
      </c>
      <c r="K120" s="66" cm="1">
        <f t="array" ref="K120">IFERROR(INDEX(Input_ForRateCalc[],MATCH($C120&amp;" - "&amp;K$103,Input_ForRateCalc[[Cost item]:[Cost item]],0),MATCH(Calc_TUV_Net_1[[#This Row],[Decision ref]:[Decision ref]],Input_ForRateCalc[#Headers],0)),"-")</f>
        <v>11.4503</v>
      </c>
      <c r="L120" s="66" t="str" cm="1">
        <f t="array" ref="L120">IFERROR(INDEX(Input_ForRateCalc[],MATCH($C120&amp;" - "&amp;L$103,Input_ForRateCalc[[Cost item]:[Cost item]],0),MATCH(Calc_TUV_Net_1[[#This Row],[Decision ref]:[Decision ref]],Input_ForRateCalc[#Headers],0)),"-")</f>
        <v>-</v>
      </c>
      <c r="M120" s="66" t="str" cm="1">
        <f t="array" ref="M120">IFERROR(INDEX(Input_ForRateCalc[],MATCH($C120&amp;" - "&amp;M$103,Input_ForRateCalc[[Cost item]:[Cost item]],0),MATCH(Calc_TUV_Net_1[[#This Row],[Decision ref]:[Decision ref]],Input_ForRateCalc[#Headers],0)),"-")</f>
        <v>-</v>
      </c>
      <c r="N120" s="66" t="str" cm="1">
        <f t="array" ref="N120">IFERROR(INDEX(Input_ForRateCalc[],MATCH($C120&amp;" - "&amp;N$103,Input_ForRateCalc[[Cost item]:[Cost item]],0),MATCH(Calc_TUV_Net_1[[#This Row],[Decision ref]:[Decision ref]],Input_ForRateCalc[#Headers],0)),"-")</f>
        <v>-</v>
      </c>
      <c r="O120" s="66" t="str" cm="1">
        <f t="array" ref="O120">IFERROR(INDEX(Input_ForRateCalc[],MATCH($C120&amp;" - "&amp;O$103,Input_ForRateCalc[[Cost item]:[Cost item]],0),MATCH(Calc_TUV_Net_1[[#This Row],[Decision ref]:[Decision ref]],Input_ForRateCalc[#Headers],0)),"-")</f>
        <v>-</v>
      </c>
    </row>
    <row r="121" spans="3:15" hidden="1" outlineLevel="1" x14ac:dyDescent="0.25">
      <c r="C121" s="59" t="s">
        <v>518</v>
      </c>
      <c r="D121" s="82" t="str">
        <f>Calc_TU_values!$D$5</f>
        <v>VDO 2022-23 - Draft</v>
      </c>
      <c r="E121" s="23" t="s">
        <v>586</v>
      </c>
      <c r="F121" s="82" t="str">
        <f>INDEX(Inputs!$H$10:$U$10,1,MATCH($D121,Inputs!$H$8:$U$8,0))</f>
        <v>D-NextVDO_Input</v>
      </c>
      <c r="G121" s="68"/>
      <c r="H121" s="23" t="s">
        <v>130</v>
      </c>
      <c r="I121" s="23" t="s">
        <v>165</v>
      </c>
      <c r="J121" s="59" t="s">
        <v>92</v>
      </c>
      <c r="K121" s="66" cm="1">
        <f t="array" ref="K121">IFERROR(INDEX(Input_ForRateCalc[],MATCH($C121&amp;" - "&amp;K$103,Input_ForRateCalc[[Cost item]:[Cost item]],0),MATCH(Calc_TUV_Net_1[[#This Row],[Decision ref]:[Decision ref]],Input_ForRateCalc[#Headers],0)),"-")</f>
        <v>12.838200000000001</v>
      </c>
      <c r="L121" s="66" t="str" cm="1">
        <f t="array" ref="L121">IFERROR(INDEX(Input_ForRateCalc[],MATCH($C121&amp;" - "&amp;L$103,Input_ForRateCalc[[Cost item]:[Cost item]],0),MATCH(Calc_TUV_Net_1[[#This Row],[Decision ref]:[Decision ref]],Input_ForRateCalc[#Headers],0)),"-")</f>
        <v>-</v>
      </c>
      <c r="M121" s="66" t="str" cm="1">
        <f t="array" ref="M121">IFERROR(INDEX(Input_ForRateCalc[],MATCH($C121&amp;" - "&amp;M$103,Input_ForRateCalc[[Cost item]:[Cost item]],0),MATCH(Calc_TUV_Net_1[[#This Row],[Decision ref]:[Decision ref]],Input_ForRateCalc[#Headers],0)),"-")</f>
        <v>-</v>
      </c>
      <c r="N121" s="66" t="str" cm="1">
        <f t="array" ref="N121">IFERROR(INDEX(Input_ForRateCalc[],MATCH($C121&amp;" - "&amp;N$103,Input_ForRateCalc[[Cost item]:[Cost item]],0),MATCH(Calc_TUV_Net_1[[#This Row],[Decision ref]:[Decision ref]],Input_ForRateCalc[#Headers],0)),"-")</f>
        <v>-</v>
      </c>
      <c r="O121" s="66" t="str" cm="1">
        <f t="array" ref="O121">IFERROR(INDEX(Input_ForRateCalc[],MATCH($C121&amp;" - "&amp;O$103,Input_ForRateCalc[[Cost item]:[Cost item]],0),MATCH(Calc_TUV_Net_1[[#This Row],[Decision ref]:[Decision ref]],Input_ForRateCalc[#Headers],0)),"-")</f>
        <v>-</v>
      </c>
    </row>
    <row r="122" spans="3:15" hidden="1" outlineLevel="1" x14ac:dyDescent="0.25">
      <c r="C122" s="59" t="s">
        <v>519</v>
      </c>
      <c r="D122" s="82" t="str">
        <f>Calc_TU_values!$D$5</f>
        <v>VDO 2022-23 - Draft</v>
      </c>
      <c r="E122" s="23" t="s">
        <v>586</v>
      </c>
      <c r="F122" s="82" t="str">
        <f>INDEX(Inputs!$H$10:$U$10,1,MATCH($D122,Inputs!$H$8:$U$8,0))</f>
        <v>D-NextVDO_Input</v>
      </c>
      <c r="G122" s="58"/>
      <c r="H122" s="23" t="s">
        <v>130</v>
      </c>
      <c r="I122" s="23" t="s">
        <v>165</v>
      </c>
      <c r="J122" s="59" t="s">
        <v>92</v>
      </c>
      <c r="K122" s="66" t="str" cm="1">
        <f t="array" ref="K122">IFERROR(INDEX(Input_ForRateCalc[],MATCH($C122&amp;" - "&amp;K$103,Input_ForRateCalc[[Cost item]:[Cost item]],0),MATCH(Calc_TUV_Net_1[[#This Row],[Decision ref]:[Decision ref]],Input_ForRateCalc[#Headers],0)),"-")</f>
        <v>-</v>
      </c>
      <c r="L122" s="66" cm="1">
        <f t="array" ref="L122">IFERROR(INDEX(Input_ForRateCalc[],MATCH($C122&amp;" - "&amp;L$103,Input_ForRateCalc[[Cost item]:[Cost item]],0),MATCH(Calc_TUV_Net_1[[#This Row],[Decision ref]:[Decision ref]],Input_ForRateCalc[#Headers],0)),"-")</f>
        <v>8.0500000000000007</v>
      </c>
      <c r="M122" s="66" cm="1">
        <f t="array" ref="M122">IFERROR(INDEX(Input_ForRateCalc[],MATCH($C122&amp;" - "&amp;M$103,Input_ForRateCalc[[Cost item]:[Cost item]],0),MATCH(Calc_TUV_Net_1[[#This Row],[Decision ref]:[Decision ref]],Input_ForRateCalc[#Headers],0)),"-")</f>
        <v>8.67</v>
      </c>
      <c r="N122" s="66" cm="1">
        <f t="array" ref="N122">IFERROR(INDEX(Input_ForRateCalc[],MATCH($C122&amp;" - "&amp;N$103,Input_ForRateCalc[[Cost item]:[Cost item]],0),MATCH(Calc_TUV_Net_1[[#This Row],[Decision ref]:[Decision ref]],Input_ForRateCalc[#Headers],0)),"-")</f>
        <v>8.15</v>
      </c>
      <c r="O122" s="66" cm="1">
        <f t="array" ref="O122">IFERROR(INDEX(Input_ForRateCalc[],MATCH($C122&amp;" - "&amp;O$103,Input_ForRateCalc[[Cost item]:[Cost item]],0),MATCH(Calc_TUV_Net_1[[#This Row],[Decision ref]:[Decision ref]],Input_ForRateCalc[#Headers],0)),"-")</f>
        <v>7.99</v>
      </c>
    </row>
    <row r="123" spans="3:15" hidden="1" outlineLevel="1" x14ac:dyDescent="0.25">
      <c r="C123" s="59" t="s">
        <v>318</v>
      </c>
      <c r="D123" s="82" t="str">
        <f>Calc_TU_values!$D$5</f>
        <v>VDO 2022-23 - Draft</v>
      </c>
      <c r="E123" s="23" t="s">
        <v>586</v>
      </c>
      <c r="F123" s="82" t="str">
        <f>INDEX(Inputs!$H$10:$U$10,1,MATCH($D123,Inputs!$H$8:$U$8,0))</f>
        <v>D-NextVDO_Input</v>
      </c>
      <c r="G123" s="58"/>
      <c r="H123" s="23" t="s">
        <v>130</v>
      </c>
      <c r="I123" s="23" t="s">
        <v>109</v>
      </c>
      <c r="J123" s="59" t="s">
        <v>92</v>
      </c>
      <c r="K123" s="67">
        <f>SUM(
IFERROR(K120/100*SUMIFS(INDEX(TUNet_Usage_PerRate_1[],0,MATCH(K$103,TUNet_Usage_PerRate_1[#Headers],0)),TUNet_Usage_PerRate_1[Customer type],Calc_TUV_Net_1[[#This Row],[Customer type]],TUNet_Usage_PerRate_1[Description],"Usage per customer - Block 1"),0),
IFERROR(K121/100*SUMIFS(INDEX(TUNet_Usage_PerRate_1[],0,MATCH(K$103,TUNet_Usage_PerRate_1[#Headers],0)),TUNet_Usage_PerRate_1[Customer type],Calc_TUV_Net_1[[#This Row],[Customer type]],TUNet_Usage_PerRate_1[Description],"Usage per customer - Balance"),0),
IFERROR(K122/100*SUMIFS(INDEX(TUNet_Usage_PerRate_1[],0,MATCH(K$103,TUNet_Usage_PerRate_1[#Headers],0)),TUNet_Usage_PerRate_1[Customer type],Calc_TUV_Net_1[[#This Row],[Customer type]],TUNet_Usage_PerRate_1[Description],"Usage per customer - Single rate"),0))</f>
        <v>0</v>
      </c>
      <c r="L123" s="67">
        <f>SUM(
IFERROR(L120/100*SUMIFS(INDEX(TUNet_Usage_PerRate_1[],0,MATCH(L$103,TUNet_Usage_PerRate_1[#Headers],0)),TUNet_Usage_PerRate_1[Customer type],Calc_TUV_Net_1[[#This Row],[Customer type]],TUNet_Usage_PerRate_1[Description],"Usage per customer - Block 1"),0),
IFERROR(L121/100*SUMIFS(INDEX(TUNet_Usage_PerRate_1[],0,MATCH(L$103,TUNet_Usage_PerRate_1[#Headers],0)),TUNet_Usage_PerRate_1[Customer type],Calc_TUV_Net_1[[#This Row],[Customer type]],TUNet_Usage_PerRate_1[Description],"Usage per customer - Balance"),0),
IFERROR(L122/100*SUMIFS(INDEX(TUNet_Usage_PerRate_1[],0,MATCH(L$103,TUNet_Usage_PerRate_1[#Headers],0)),TUNet_Usage_PerRate_1[Customer type],Calc_TUV_Net_1[[#This Row],[Customer type]],TUNet_Usage_PerRate_1[Description],"Usage per customer - Single rate"),0))</f>
        <v>0</v>
      </c>
      <c r="M123" s="67">
        <f>SUM(
IFERROR(M120/100*SUMIFS(INDEX(TUNet_Usage_PerRate_1[],0,MATCH(M$103,TUNet_Usage_PerRate_1[#Headers],0)),TUNet_Usage_PerRate_1[Customer type],Calc_TUV_Net_1[[#This Row],[Customer type]],TUNet_Usage_PerRate_1[Description],"Usage per customer - Block 1"),0),
IFERROR(M121/100*SUMIFS(INDEX(TUNet_Usage_PerRate_1[],0,MATCH(M$103,TUNet_Usage_PerRate_1[#Headers],0)),TUNet_Usage_PerRate_1[Customer type],Calc_TUV_Net_1[[#This Row],[Customer type]],TUNet_Usage_PerRate_1[Description],"Usage per customer - Balance"),0),
IFERROR(M122/100*SUMIFS(INDEX(TUNet_Usage_PerRate_1[],0,MATCH(M$103,TUNet_Usage_PerRate_1[#Headers],0)),TUNet_Usage_PerRate_1[Customer type],Calc_TUV_Net_1[[#This Row],[Customer type]],TUNet_Usage_PerRate_1[Description],"Usage per customer - Single rate"),0))</f>
        <v>0</v>
      </c>
      <c r="N123" s="67">
        <f>SUM(
IFERROR(N120/100*SUMIFS(INDEX(TUNet_Usage_PerRate_1[],0,MATCH(N$103,TUNet_Usage_PerRate_1[#Headers],0)),TUNet_Usage_PerRate_1[Customer type],Calc_TUV_Net_1[[#This Row],[Customer type]],TUNet_Usage_PerRate_1[Description],"Usage per customer - Block 1"),0),
IFERROR(N121/100*SUMIFS(INDEX(TUNet_Usage_PerRate_1[],0,MATCH(N$103,TUNet_Usage_PerRate_1[#Headers],0)),TUNet_Usage_PerRate_1[Customer type],Calc_TUV_Net_1[[#This Row],[Customer type]],TUNet_Usage_PerRate_1[Description],"Usage per customer - Balance"),0),
IFERROR(N122/100*SUMIFS(INDEX(TUNet_Usage_PerRate_1[],0,MATCH(N$103,TUNet_Usage_PerRate_1[#Headers],0)),TUNet_Usage_PerRate_1[Customer type],Calc_TUV_Net_1[[#This Row],[Customer type]],TUNet_Usage_PerRate_1[Description],"Usage per customer - Single rate"),0))</f>
        <v>0</v>
      </c>
      <c r="O123" s="67">
        <f>SUM(
IFERROR(O120/100*SUMIFS(INDEX(TUNet_Usage_PerRate_1[],0,MATCH(O$103,TUNet_Usage_PerRate_1[#Headers],0)),TUNet_Usage_PerRate_1[Customer type],Calc_TUV_Net_1[[#This Row],[Customer type]],TUNet_Usage_PerRate_1[Description],"Usage per customer - Block 1"),0),
IFERROR(O121/100*SUMIFS(INDEX(TUNet_Usage_PerRate_1[],0,MATCH(O$103,TUNet_Usage_PerRate_1[#Headers],0)),TUNet_Usage_PerRate_1[Customer type],Calc_TUV_Net_1[[#This Row],[Customer type]],TUNet_Usage_PerRate_1[Description],"Usage per customer - Balance"),0),
IFERROR(O122/100*SUMIFS(INDEX(TUNet_Usage_PerRate_1[],0,MATCH(O$103,TUNet_Usage_PerRate_1[#Headers],0)),TUNet_Usage_PerRate_1[Customer type],Calc_TUV_Net_1[[#This Row],[Customer type]],TUNet_Usage_PerRate_1[Description],"Usage per customer - Single rate"),0))</f>
        <v>0</v>
      </c>
    </row>
    <row r="124" spans="3:15" hidden="1" outlineLevel="1" x14ac:dyDescent="0.25">
      <c r="C124" s="59" t="s">
        <v>517</v>
      </c>
      <c r="D124" s="82" t="str">
        <f>INDEX(Input_DecisionActual[[Decision]:[Decision]],MATCH(Calc_TU_values!$D$5,Input_DecisionActual[[VDO period]:[VDO period]],0),1)</f>
        <v>VDO 2022 - Final</v>
      </c>
      <c r="E124" s="23" t="s">
        <v>587</v>
      </c>
      <c r="F124" s="82" t="str">
        <f>IF($D124="-","-",INDEX(Inputs!$H$10:$U$10,1,MATCH($D124,Inputs!$H$8:$U$8,0)))</f>
        <v>F-CurrentVDO_Input</v>
      </c>
      <c r="G124" s="58"/>
      <c r="H124" s="23" t="s">
        <v>130</v>
      </c>
      <c r="I124" s="23" t="s">
        <v>165</v>
      </c>
      <c r="J124" s="59" t="s">
        <v>92</v>
      </c>
      <c r="K124" s="66" cm="1">
        <f t="array" ref="K124">IFERROR(INDEX(Input_ForRateCalc[],MATCH($C124&amp;" - "&amp;K$103,Input_ForRateCalc[[Cost item]:[Cost item]],0),MATCH(Calc_TUV_Net_1[[#This Row],[Decision ref]:[Decision ref]],Input_ForRateCalc[#Headers],0)),"-")</f>
        <v>11.4503</v>
      </c>
      <c r="L124" s="66" t="str" cm="1">
        <f t="array" ref="L124">IFERROR(INDEX(Input_ForRateCalc[],MATCH($C124&amp;" - "&amp;L$103,Input_ForRateCalc[[Cost item]:[Cost item]],0),MATCH(Calc_TUV_Net_1[[#This Row],[Decision ref]:[Decision ref]],Input_ForRateCalc[#Headers],0)),"-")</f>
        <v>-</v>
      </c>
      <c r="M124" s="66" t="str" cm="1">
        <f t="array" ref="M124">IFERROR(INDEX(Input_ForRateCalc[],MATCH($C124&amp;" - "&amp;M$103,Input_ForRateCalc[[Cost item]:[Cost item]],0),MATCH(Calc_TUV_Net_1[[#This Row],[Decision ref]:[Decision ref]],Input_ForRateCalc[#Headers],0)),"-")</f>
        <v>-</v>
      </c>
      <c r="N124" s="66" t="str" cm="1">
        <f t="array" ref="N124">IFERROR(INDEX(Input_ForRateCalc[],MATCH($C124&amp;" - "&amp;N$103,Input_ForRateCalc[[Cost item]:[Cost item]],0),MATCH(Calc_TUV_Net_1[[#This Row],[Decision ref]:[Decision ref]],Input_ForRateCalc[#Headers],0)),"-")</f>
        <v>-</v>
      </c>
      <c r="O124" s="66" t="str" cm="1">
        <f t="array" ref="O124">IFERROR(INDEX(Input_ForRateCalc[],MATCH($C124&amp;" - "&amp;O$103,Input_ForRateCalc[[Cost item]:[Cost item]],0),MATCH(Calc_TUV_Net_1[[#This Row],[Decision ref]:[Decision ref]],Input_ForRateCalc[#Headers],0)),"-")</f>
        <v>-</v>
      </c>
    </row>
    <row r="125" spans="3:15" hidden="1" outlineLevel="1" x14ac:dyDescent="0.25">
      <c r="C125" s="59" t="s">
        <v>518</v>
      </c>
      <c r="D125" s="82" t="str">
        <f>INDEX(Input_DecisionActual[[Decision]:[Decision]],MATCH(Calc_TU_values!$D$5,Input_DecisionActual[[VDO period]:[VDO period]],0),1)</f>
        <v>VDO 2022 - Final</v>
      </c>
      <c r="E125" s="23" t="s">
        <v>587</v>
      </c>
      <c r="F125" s="82" t="str">
        <f>IF($D125="-","-",INDEX(Inputs!$H$10:$U$10,1,MATCH($D125,Inputs!$H$8:$U$8,0)))</f>
        <v>F-CurrentVDO_Input</v>
      </c>
      <c r="G125" s="58"/>
      <c r="H125" s="23" t="s">
        <v>130</v>
      </c>
      <c r="I125" s="23" t="s">
        <v>165</v>
      </c>
      <c r="J125" s="59" t="s">
        <v>92</v>
      </c>
      <c r="K125" s="66" cm="1">
        <f t="array" ref="K125">IFERROR(INDEX(Input_ForRateCalc[],MATCH($C125&amp;" - "&amp;K$103,Input_ForRateCalc[[Cost item]:[Cost item]],0),MATCH(Calc_TUV_Net_1[[#This Row],[Decision ref]:[Decision ref]],Input_ForRateCalc[#Headers],0)),"-")</f>
        <v>12.838200000000001</v>
      </c>
      <c r="L125" s="66" t="str" cm="1">
        <f t="array" ref="L125">IFERROR(INDEX(Input_ForRateCalc[],MATCH($C125&amp;" - "&amp;L$103,Input_ForRateCalc[[Cost item]:[Cost item]],0),MATCH(Calc_TUV_Net_1[[#This Row],[Decision ref]:[Decision ref]],Input_ForRateCalc[#Headers],0)),"-")</f>
        <v>-</v>
      </c>
      <c r="M125" s="66" t="str" cm="1">
        <f t="array" ref="M125">IFERROR(INDEX(Input_ForRateCalc[],MATCH($C125&amp;" - "&amp;M$103,Input_ForRateCalc[[Cost item]:[Cost item]],0),MATCH(Calc_TUV_Net_1[[#This Row],[Decision ref]:[Decision ref]],Input_ForRateCalc[#Headers],0)),"-")</f>
        <v>-</v>
      </c>
      <c r="N125" s="66" t="str" cm="1">
        <f t="array" ref="N125">IFERROR(INDEX(Input_ForRateCalc[],MATCH($C125&amp;" - "&amp;N$103,Input_ForRateCalc[[Cost item]:[Cost item]],0),MATCH(Calc_TUV_Net_1[[#This Row],[Decision ref]:[Decision ref]],Input_ForRateCalc[#Headers],0)),"-")</f>
        <v>-</v>
      </c>
      <c r="O125" s="66" t="str" cm="1">
        <f t="array" ref="O125">IFERROR(INDEX(Input_ForRateCalc[],MATCH($C125&amp;" - "&amp;O$103,Input_ForRateCalc[[Cost item]:[Cost item]],0),MATCH(Calc_TUV_Net_1[[#This Row],[Decision ref]:[Decision ref]],Input_ForRateCalc[#Headers],0)),"-")</f>
        <v>-</v>
      </c>
    </row>
    <row r="126" spans="3:15" hidden="1" outlineLevel="1" x14ac:dyDescent="0.25">
      <c r="C126" s="59" t="s">
        <v>519</v>
      </c>
      <c r="D126" s="82" t="str">
        <f>INDEX(Input_DecisionActual[[Decision]:[Decision]],MATCH(Calc_TU_values!$D$5,Input_DecisionActual[[VDO period]:[VDO period]],0),1)</f>
        <v>VDO 2022 - Final</v>
      </c>
      <c r="E126" s="23" t="s">
        <v>587</v>
      </c>
      <c r="F126" s="82" t="str">
        <f>IF($D126="-","-",INDEX(Inputs!$H$10:$U$10,1,MATCH($D126,Inputs!$H$8:$U$8,0)))</f>
        <v>F-CurrentVDO_Input</v>
      </c>
      <c r="G126" s="58"/>
      <c r="H126" s="23" t="s">
        <v>130</v>
      </c>
      <c r="I126" s="23" t="s">
        <v>165</v>
      </c>
      <c r="J126" s="59" t="s">
        <v>92</v>
      </c>
      <c r="K126" s="66" t="str" cm="1">
        <f t="array" ref="K126">IFERROR(INDEX(Input_ForRateCalc[],MATCH($C126&amp;" - "&amp;K$103,Input_ForRateCalc[[Cost item]:[Cost item]],0),MATCH(Calc_TUV_Net_1[[#This Row],[Decision ref]:[Decision ref]],Input_ForRateCalc[#Headers],0)),"-")</f>
        <v>-</v>
      </c>
      <c r="L126" s="66" cm="1">
        <f t="array" ref="L126">IFERROR(INDEX(Input_ForRateCalc[],MATCH($C126&amp;" - "&amp;L$103,Input_ForRateCalc[[Cost item]:[Cost item]],0),MATCH(Calc_TUV_Net_1[[#This Row],[Decision ref]:[Decision ref]],Input_ForRateCalc[#Headers],0)),"-")</f>
        <v>8.0500000000000007</v>
      </c>
      <c r="M126" s="66" cm="1">
        <f t="array" ref="M126">IFERROR(INDEX(Input_ForRateCalc[],MATCH($C126&amp;" - "&amp;M$103,Input_ForRateCalc[[Cost item]:[Cost item]],0),MATCH(Calc_TUV_Net_1[[#This Row],[Decision ref]:[Decision ref]],Input_ForRateCalc[#Headers],0)),"-")</f>
        <v>8.67</v>
      </c>
      <c r="N126" s="66" cm="1">
        <f t="array" ref="N126">IFERROR(INDEX(Input_ForRateCalc[],MATCH($C126&amp;" - "&amp;N$103,Input_ForRateCalc[[Cost item]:[Cost item]],0),MATCH(Calc_TUV_Net_1[[#This Row],[Decision ref]:[Decision ref]],Input_ForRateCalc[#Headers],0)),"-")</f>
        <v>8.15</v>
      </c>
      <c r="O126" s="66" cm="1">
        <f t="array" ref="O126">IFERROR(INDEX(Input_ForRateCalc[],MATCH($C126&amp;" - "&amp;O$103,Input_ForRateCalc[[Cost item]:[Cost item]],0),MATCH(Calc_TUV_Net_1[[#This Row],[Decision ref]:[Decision ref]],Input_ForRateCalc[#Headers],0)),"-")</f>
        <v>7.99</v>
      </c>
    </row>
    <row r="127" spans="3:15" hidden="1" outlineLevel="1" x14ac:dyDescent="0.25">
      <c r="C127" s="59" t="s">
        <v>318</v>
      </c>
      <c r="D127" s="82" t="str">
        <f>INDEX(Input_DecisionActual[[Decision]:[Decision]],MATCH(Calc_TU_values!$D$5,Input_DecisionActual[[VDO period]:[VDO period]],0),1)</f>
        <v>VDO 2022 - Final</v>
      </c>
      <c r="E127" s="23" t="s">
        <v>587</v>
      </c>
      <c r="F127" s="82" t="str">
        <f>IF($D127="-","-",INDEX(Inputs!$H$10:$U$10,1,MATCH($D127,Inputs!$H$8:$U$8,0)))</f>
        <v>F-CurrentVDO_Input</v>
      </c>
      <c r="G127" s="58"/>
      <c r="H127" s="23" t="s">
        <v>130</v>
      </c>
      <c r="I127" s="23" t="s">
        <v>109</v>
      </c>
      <c r="J127" s="59" t="s">
        <v>92</v>
      </c>
      <c r="K127" s="67">
        <f>SUM(
IFERROR(K124/100*SUMIFS(INDEX(TUNet_Usage_PerRate_1[],0,MATCH(K$103,TUNet_Usage_PerRate_1[#Headers],0)),TUNet_Usage_PerRate_1[Customer type],Calc_TUV_Net_1[[#This Row],[Customer type]],TUNet_Usage_PerRate_1[Description],"Usage per customer - Block 1"),0),
IFERROR(K125/100*SUMIFS(INDEX(TUNet_Usage_PerRate_1[],0,MATCH(K$103,TUNet_Usage_PerRate_1[#Headers],0)),TUNet_Usage_PerRate_1[Customer type],Calc_TUV_Net_1[[#This Row],[Customer type]],TUNet_Usage_PerRate_1[Description],"Usage per customer - Balance"),0),
IFERROR(K126/100*SUMIFS(INDEX(TUNet_Usage_PerRate_1[],0,MATCH(K$103,TUNet_Usage_PerRate_1[#Headers],0)),TUNet_Usage_PerRate_1[Customer type],Calc_TUV_Net_1[[#This Row],[Customer type]],TUNet_Usage_PerRate_1[Description],"Usage per customer - Single rate"),0))</f>
        <v>0</v>
      </c>
      <c r="L127" s="67">
        <f>SUM(
IFERROR(L124/100*SUMIFS(INDEX(TUNet_Usage_PerRate_1[],0,MATCH(L$103,TUNet_Usage_PerRate_1[#Headers],0)),TUNet_Usage_PerRate_1[Customer type],Calc_TUV_Net_1[[#This Row],[Customer type]],TUNet_Usage_PerRate_1[Description],"Usage per customer - Block 1"),0),
IFERROR(L125/100*SUMIFS(INDEX(TUNet_Usage_PerRate_1[],0,MATCH(L$103,TUNet_Usage_PerRate_1[#Headers],0)),TUNet_Usage_PerRate_1[Customer type],Calc_TUV_Net_1[[#This Row],[Customer type]],TUNet_Usage_PerRate_1[Description],"Usage per customer - Balance"),0),
IFERROR(L126/100*SUMIFS(INDEX(TUNet_Usage_PerRate_1[],0,MATCH(L$103,TUNet_Usage_PerRate_1[#Headers],0)),TUNet_Usage_PerRate_1[Customer type],Calc_TUV_Net_1[[#This Row],[Customer type]],TUNet_Usage_PerRate_1[Description],"Usage per customer - Single rate"),0))</f>
        <v>0</v>
      </c>
      <c r="M127" s="67">
        <f>SUM(
IFERROR(M124/100*SUMIFS(INDEX(TUNet_Usage_PerRate_1[],0,MATCH(M$103,TUNet_Usage_PerRate_1[#Headers],0)),TUNet_Usage_PerRate_1[Customer type],Calc_TUV_Net_1[[#This Row],[Customer type]],TUNet_Usage_PerRate_1[Description],"Usage per customer - Block 1"),0),
IFERROR(M125/100*SUMIFS(INDEX(TUNet_Usage_PerRate_1[],0,MATCH(M$103,TUNet_Usage_PerRate_1[#Headers],0)),TUNet_Usage_PerRate_1[Customer type],Calc_TUV_Net_1[[#This Row],[Customer type]],TUNet_Usage_PerRate_1[Description],"Usage per customer - Balance"),0),
IFERROR(M126/100*SUMIFS(INDEX(TUNet_Usage_PerRate_1[],0,MATCH(M$103,TUNet_Usage_PerRate_1[#Headers],0)),TUNet_Usage_PerRate_1[Customer type],Calc_TUV_Net_1[[#This Row],[Customer type]],TUNet_Usage_PerRate_1[Description],"Usage per customer - Single rate"),0))</f>
        <v>0</v>
      </c>
      <c r="N127" s="67">
        <f>SUM(
IFERROR(N124/100*SUMIFS(INDEX(TUNet_Usage_PerRate_1[],0,MATCH(N$103,TUNet_Usage_PerRate_1[#Headers],0)),TUNet_Usage_PerRate_1[Customer type],Calc_TUV_Net_1[[#This Row],[Customer type]],TUNet_Usage_PerRate_1[Description],"Usage per customer - Block 1"),0),
IFERROR(N125/100*SUMIFS(INDEX(TUNet_Usage_PerRate_1[],0,MATCH(N$103,TUNet_Usage_PerRate_1[#Headers],0)),TUNet_Usage_PerRate_1[Customer type],Calc_TUV_Net_1[[#This Row],[Customer type]],TUNet_Usage_PerRate_1[Description],"Usage per customer - Balance"),0),
IFERROR(N126/100*SUMIFS(INDEX(TUNet_Usage_PerRate_1[],0,MATCH(N$103,TUNet_Usage_PerRate_1[#Headers],0)),TUNet_Usage_PerRate_1[Customer type],Calc_TUV_Net_1[[#This Row],[Customer type]],TUNet_Usage_PerRate_1[Description],"Usage per customer - Single rate"),0))</f>
        <v>0</v>
      </c>
      <c r="O127" s="67">
        <f>SUM(
IFERROR(O124/100*SUMIFS(INDEX(TUNet_Usage_PerRate_1[],0,MATCH(O$103,TUNet_Usage_PerRate_1[#Headers],0)),TUNet_Usage_PerRate_1[Customer type],Calc_TUV_Net_1[[#This Row],[Customer type]],TUNet_Usage_PerRate_1[Description],"Usage per customer - Block 1"),0),
IFERROR(O125/100*SUMIFS(INDEX(TUNet_Usage_PerRate_1[],0,MATCH(O$103,TUNet_Usage_PerRate_1[#Headers],0)),TUNet_Usage_PerRate_1[Customer type],Calc_TUV_Net_1[[#This Row],[Customer type]],TUNet_Usage_PerRate_1[Description],"Usage per customer - Balance"),0),
IFERROR(O126/100*SUMIFS(INDEX(TUNet_Usage_PerRate_1[],0,MATCH(O$103,TUNet_Usage_PerRate_1[#Headers],0)),TUNet_Usage_PerRate_1[Customer type],Calc_TUV_Net_1[[#This Row],[Customer type]],TUNet_Usage_PerRate_1[Description],"Usage per customer - Single rate"),0))</f>
        <v>0</v>
      </c>
    </row>
    <row r="128" spans="3:15" hidden="1" outlineLevel="1" x14ac:dyDescent="0.25">
      <c r="C128" s="59" t="s">
        <v>319</v>
      </c>
      <c r="D128" s="23"/>
      <c r="E128" s="23"/>
      <c r="F128" s="23"/>
      <c r="G128" s="23"/>
      <c r="H128" s="23" t="s">
        <v>130</v>
      </c>
      <c r="I128" s="23" t="s">
        <v>109</v>
      </c>
      <c r="J128" s="59" t="s">
        <v>92</v>
      </c>
      <c r="K128" s="65" t="str">
        <f>IF(K127=0,"-",K123-K127)</f>
        <v>-</v>
      </c>
      <c r="L128" s="65" t="str">
        <f t="shared" ref="L128:O128" si="45">IF(L127=0,"-",L123-L127)</f>
        <v>-</v>
      </c>
      <c r="M128" s="65" t="str">
        <f t="shared" si="45"/>
        <v>-</v>
      </c>
      <c r="N128" s="65" t="str">
        <f t="shared" si="45"/>
        <v>-</v>
      </c>
      <c r="O128" s="65" t="str">
        <f t="shared" si="45"/>
        <v>-</v>
      </c>
    </row>
    <row r="129" spans="3:15" hidden="1" outlineLevel="1" x14ac:dyDescent="0.25">
      <c r="C129" s="59" t="s">
        <v>442</v>
      </c>
      <c r="D129" s="23"/>
      <c r="E129" s="23"/>
      <c r="F129" s="23"/>
      <c r="G129" s="23"/>
      <c r="H129" s="23" t="s">
        <v>130</v>
      </c>
      <c r="I129" s="23" t="s">
        <v>109</v>
      </c>
      <c r="J129" s="59" t="s">
        <v>92</v>
      </c>
      <c r="K129" s="66" t="str">
        <f>IFERROR(IF($D$11="Yes",K128*(1+WACC_adj_1),""),"-")</f>
        <v/>
      </c>
      <c r="L129" s="66" t="str">
        <f>IFERROR(IF($D$11="Yes",L128*(1+WACC_adj_1),""),"-")</f>
        <v/>
      </c>
      <c r="M129" s="66" t="str">
        <f>IFERROR(IF($D$11="Yes",M128*(1+WACC_adj_1),""),"-")</f>
        <v/>
      </c>
      <c r="N129" s="66" t="str">
        <f>IFERROR(IF($D$11="Yes",N128*(1+WACC_adj_1),""),"-")</f>
        <v/>
      </c>
      <c r="O129" s="66" t="str">
        <f>IFERROR(IF($D$11="Yes",O128*(1+WACC_adj_1),""),"-")</f>
        <v/>
      </c>
    </row>
    <row r="130" spans="3:15" hidden="1" outlineLevel="1" x14ac:dyDescent="0.25">
      <c r="C130" s="59" t="s">
        <v>321</v>
      </c>
      <c r="D130" s="82" t="str">
        <f>INDEX(Input_DecisionActual[[Decision]:[Decision]],MATCH(Calc_TU_values!$D$5,Input_DecisionActual[[VDO period]:[VDO period]],0),1)</f>
        <v>VDO 2022 - Final</v>
      </c>
      <c r="E130" s="23" t="s">
        <v>587</v>
      </c>
      <c r="F130" s="82" t="str">
        <f>IF($D130="-","-",INDEX(Inputs!$H$10:$U$10,1,MATCH($D130,Inputs!$H$8:$U$8,0)))</f>
        <v>F-CurrentVDO_Input</v>
      </c>
      <c r="G130" s="23"/>
      <c r="H130" s="23" t="s">
        <v>130</v>
      </c>
      <c r="I130" s="23" t="s">
        <v>109</v>
      </c>
      <c r="J130" s="59" t="s">
        <v>92</v>
      </c>
      <c r="K130" s="66" cm="1">
        <f t="array" ref="K130">IFERROR(SUM(K128:K129)*(INDEX(Inputs!$H$11:$U$128,MATCH("Retail operating margin",Input_ForRateCalc[[Cost item]:[Cost item]],0),MATCH(Calc_TUV_Net_1[[#This Row],[Decision ref]:[Decision ref]],Inputs!$H$10:$U$10,0))),"-")</f>
        <v>0</v>
      </c>
      <c r="L130" s="66" cm="1">
        <f t="array" ref="L130">IFERROR(SUM(L128:L129)*(INDEX(Inputs!$H$11:$U$128,MATCH("Retail operating margin",Input_ForRateCalc[[Cost item]:[Cost item]],0),MATCH(Calc_TUV_Net_1[[#This Row],[Decision ref]:[Decision ref]],Inputs!$H$10:$U$10,0))),"-")</f>
        <v>0</v>
      </c>
      <c r="M130" s="66" cm="1">
        <f t="array" ref="M130">IFERROR(SUM(M128:M129)*(INDEX(Inputs!$H$11:$U$128,MATCH("Retail operating margin",Input_ForRateCalc[[Cost item]:[Cost item]],0),MATCH(Calc_TUV_Net_1[[#This Row],[Decision ref]:[Decision ref]],Inputs!$H$10:$U$10,0))),"-")</f>
        <v>0</v>
      </c>
      <c r="N130" s="66" cm="1">
        <f t="array" ref="N130">IFERROR(SUM(N128:N129)*(INDEX(Inputs!$H$11:$U$128,MATCH("Retail operating margin",Input_ForRateCalc[[Cost item]:[Cost item]],0),MATCH(Calc_TUV_Net_1[[#This Row],[Decision ref]:[Decision ref]],Inputs!$H$10:$U$10,0))),"-")</f>
        <v>0</v>
      </c>
      <c r="O130" s="66" cm="1">
        <f t="array" ref="O130">IFERROR(SUM(O128:O129)*(INDEX(Inputs!$H$11:$U$128,MATCH("Retail operating margin",Input_ForRateCalc[[Cost item]:[Cost item]],0),MATCH(Calc_TUV_Net_1[[#This Row],[Decision ref]:[Decision ref]],Inputs!$H$10:$U$10,0))),"-")</f>
        <v>0</v>
      </c>
    </row>
    <row r="131" spans="3:15" hidden="1" outlineLevel="1" x14ac:dyDescent="0.25">
      <c r="C131" s="59" t="s">
        <v>443</v>
      </c>
      <c r="D131" s="23"/>
      <c r="E131" s="23"/>
      <c r="F131" s="23"/>
      <c r="G131" s="23"/>
      <c r="H131" s="23" t="s">
        <v>130</v>
      </c>
      <c r="I131" s="23" t="s">
        <v>109</v>
      </c>
      <c r="J131" s="59" t="s">
        <v>92</v>
      </c>
      <c r="K131" s="66" t="str">
        <f>IF(K127=0,"-",SUM(K128:K130)*GST)</f>
        <v>-</v>
      </c>
      <c r="L131" s="66" t="str">
        <f>IF(L127=0,"-",SUM(L128:L130)*GST)</f>
        <v>-</v>
      </c>
      <c r="M131" s="66" t="str">
        <f>IF(M127=0,"-",SUM(M128:M130)*GST)</f>
        <v>-</v>
      </c>
      <c r="N131" s="66" t="str">
        <f>IF(N127=0,"-",SUM(N128:N130)*GST)</f>
        <v>-</v>
      </c>
      <c r="O131" s="66" t="str">
        <f>IF(O127=0,"-",SUM(O128:O130)*GST)</f>
        <v>-</v>
      </c>
    </row>
    <row r="132" spans="3:15" hidden="1" outlineLevel="1" x14ac:dyDescent="0.25">
      <c r="C132" s="59" t="s">
        <v>536</v>
      </c>
      <c r="D132" s="116"/>
      <c r="E132" s="116"/>
      <c r="F132" s="116"/>
      <c r="H132" s="23" t="s">
        <v>130</v>
      </c>
      <c r="I132" s="23" t="s">
        <v>109</v>
      </c>
      <c r="J132" s="59" t="s">
        <v>92</v>
      </c>
      <c r="K132" s="66" t="str">
        <f>IF(K127=0,"-",SUM(K128:K131))</f>
        <v>-</v>
      </c>
      <c r="L132" s="66" t="str">
        <f t="shared" ref="L132:O132" si="46">IF(L127=0,"-",SUM(L128:L131))</f>
        <v>-</v>
      </c>
      <c r="M132" s="66" t="str">
        <f t="shared" si="46"/>
        <v>-</v>
      </c>
      <c r="N132" s="66" t="str">
        <f t="shared" si="46"/>
        <v>-</v>
      </c>
      <c r="O132" s="66" t="str">
        <f t="shared" si="46"/>
        <v>-</v>
      </c>
    </row>
    <row r="133" spans="3:15" hidden="1" outlineLevel="1" x14ac:dyDescent="0.25">
      <c r="C133" s="59"/>
      <c r="D133" s="125"/>
      <c r="E133" s="125"/>
      <c r="F133" s="125"/>
      <c r="G133" s="125"/>
      <c r="H133" s="125"/>
      <c r="I133" s="125"/>
      <c r="J133" s="125"/>
      <c r="K133" s="159"/>
      <c r="L133" s="159"/>
      <c r="M133" s="159"/>
      <c r="N133" s="159"/>
      <c r="O133" s="159"/>
    </row>
    <row r="134" spans="3:15" hidden="1" outlineLevel="1" x14ac:dyDescent="0.25">
      <c r="C134" s="57" t="s">
        <v>618</v>
      </c>
      <c r="D134" s="23"/>
      <c r="E134" s="23"/>
      <c r="F134" s="23"/>
      <c r="G134" s="68" t="s">
        <v>317</v>
      </c>
      <c r="H134" s="23"/>
      <c r="I134" s="23"/>
      <c r="J134" s="23"/>
      <c r="K134" s="159"/>
      <c r="L134" s="159"/>
      <c r="M134" s="159"/>
      <c r="N134" s="159"/>
      <c r="O134" s="159"/>
    </row>
    <row r="135" spans="3:15" hidden="1" outlineLevel="1" x14ac:dyDescent="0.25">
      <c r="C135" s="59" t="s">
        <v>617</v>
      </c>
      <c r="D135" s="82" t="str">
        <f>Calc_TU_values!$D$5</f>
        <v>VDO 2022-23 - Draft</v>
      </c>
      <c r="E135" s="23" t="s">
        <v>586</v>
      </c>
      <c r="F135" s="82" t="str">
        <f>INDEX(Inputs!$H$10:$U$10,1,MATCH($D135,Inputs!$H$8:$U$8,0))</f>
        <v>D-NextVDO_Input</v>
      </c>
      <c r="G135" s="23"/>
      <c r="H135" s="23" t="s">
        <v>130</v>
      </c>
      <c r="I135" s="23" t="s">
        <v>165</v>
      </c>
      <c r="J135" s="59" t="s">
        <v>92</v>
      </c>
      <c r="K135" s="66" cm="1">
        <f t="array" ref="K135">IFERROR(INDEX(Input_ForRateCalc[],MATCH($C135&amp;" - "&amp;K$103,Input_ForRateCalc[[Cost item]:[Cost item]],0),MATCH(Calc_TUV_Net_1[[#This Row],[Decision ref]:[Decision ref]],Input_ForRateCalc[#Headers],0)),"-")</f>
        <v>4.2622999999999998</v>
      </c>
      <c r="L135" s="66" cm="1">
        <f t="array" ref="L135">IFERROR(INDEX(Input_ForRateCalc[],MATCH($C135&amp;" - "&amp;L$103,Input_ForRateCalc[[Cost item]:[Cost item]],0),MATCH(Calc_TUV_Net_1[[#This Row],[Decision ref]:[Decision ref]],Input_ForRateCalc[#Headers],0)),"-")</f>
        <v>2.4700000000000002</v>
      </c>
      <c r="M135" s="66" cm="1">
        <f t="array" ref="M135">IFERROR(INDEX(Input_ForRateCalc[],MATCH($C135&amp;" - "&amp;M$103,Input_ForRateCalc[[Cost item]:[Cost item]],0),MATCH(Calc_TUV_Net_1[[#This Row],[Decision ref]:[Decision ref]],Input_ForRateCalc[#Headers],0)),"-")</f>
        <v>3.5990000000000002</v>
      </c>
      <c r="N135" s="66" cm="1">
        <f t="array" ref="N135">IFERROR(INDEX(Input_ForRateCalc[],MATCH($C135&amp;" - "&amp;N$103,Input_ForRateCalc[[Cost item]:[Cost item]],0),MATCH(Calc_TUV_Net_1[[#This Row],[Decision ref]:[Decision ref]],Input_ForRateCalc[#Headers],0)),"-")</f>
        <v>2.39</v>
      </c>
      <c r="O135" s="66" cm="1">
        <f t="array" ref="O135">IFERROR(INDEX(Input_ForRateCalc[],MATCH($C135&amp;" - "&amp;O$103,Input_ForRateCalc[[Cost item]:[Cost item]],0),MATCH(Calc_TUV_Net_1[[#This Row],[Decision ref]:[Decision ref]],Input_ForRateCalc[#Headers],0)),"-")</f>
        <v>2.17</v>
      </c>
    </row>
    <row r="136" spans="3:15" hidden="1" outlineLevel="1" x14ac:dyDescent="0.25">
      <c r="C136" s="59" t="s">
        <v>318</v>
      </c>
      <c r="D136" s="82" t="str">
        <f>Calc_TU_values!$D$5</f>
        <v>VDO 2022-23 - Draft</v>
      </c>
      <c r="E136" s="23" t="s">
        <v>586</v>
      </c>
      <c r="F136" s="82" t="str">
        <f>INDEX(Inputs!$H$10:$U$10,1,MATCH($D136,Inputs!$H$8:$U$8,0))</f>
        <v>D-NextVDO_Input</v>
      </c>
      <c r="G136" s="125"/>
      <c r="H136" s="23" t="s">
        <v>130</v>
      </c>
      <c r="I136" s="23" t="s">
        <v>109</v>
      </c>
      <c r="J136" s="59" t="s">
        <v>92</v>
      </c>
      <c r="K136" s="67" cm="1">
        <f t="array" ref="K136">TUProp_Days_1*SUM(
IFERROR(K135/100*INDEX(Input_Usage[#All],MATCH(Calc_TUV_Net_1[[#This Row],[Customer type]:[Customer type]]&amp;" - medium - controlled load",Input_Usage[[#All],[Ref]],0),MATCH($F136,Input_Usage[#Headers],0)),0))</f>
        <v>0</v>
      </c>
      <c r="L136" s="67" cm="1">
        <f t="array" ref="L136">TUProp_Days_1*SUM(
IFERROR(L135/100*INDEX(Input_Usage[#All],MATCH(Calc_TUV_Net_1[[#This Row],[Customer type]:[Customer type]]&amp;" - medium - controlled load",Input_Usage[[#All],[Ref]],0),MATCH($F136,Input_Usage[#Headers],0)),0))</f>
        <v>0</v>
      </c>
      <c r="M136" s="67" cm="1">
        <f t="array" ref="M136">TUProp_Days_1*SUM(
IFERROR(M135/100*INDEX(Input_Usage[#All],MATCH(Calc_TUV_Net_1[[#This Row],[Customer type]:[Customer type]]&amp;" - medium - controlled load",Input_Usage[[#All],[Ref]],0),MATCH($F136,Input_Usage[#Headers],0)),0))</f>
        <v>0</v>
      </c>
      <c r="N136" s="67" cm="1">
        <f t="array" ref="N136">TUProp_Days_1*SUM(
IFERROR(N135/100*INDEX(Input_Usage[#All],MATCH(Calc_TUV_Net_1[[#This Row],[Customer type]:[Customer type]]&amp;" - medium - controlled load",Input_Usage[[#All],[Ref]],0),MATCH($F136,Input_Usage[#Headers],0)),0))</f>
        <v>0</v>
      </c>
      <c r="O136" s="67" cm="1">
        <f t="array" ref="O136">TUProp_Days_1*SUM(
IFERROR(O135/100*INDEX(Input_Usage[#All],MATCH(Calc_TUV_Net_1[[#This Row],[Customer type]:[Customer type]]&amp;" - medium - controlled load",Input_Usage[[#All],[Ref]],0),MATCH($F136,Input_Usage[#Headers],0)),0))</f>
        <v>0</v>
      </c>
    </row>
    <row r="137" spans="3:15" hidden="1" outlineLevel="1" x14ac:dyDescent="0.25">
      <c r="C137" s="59" t="s">
        <v>617</v>
      </c>
      <c r="D137" s="82" t="str">
        <f>INDEX(Input_DecisionActual[[Decision]:[Decision]],MATCH(Calc_TU_values!$D$5,Input_DecisionActual[[VDO period]:[VDO period]],0),1)</f>
        <v>VDO 2022 - Final</v>
      </c>
      <c r="E137" s="23" t="s">
        <v>587</v>
      </c>
      <c r="F137" s="82" t="str">
        <f>IF($D137="-","-",INDEX(Inputs!$H$10:$U$10,1,MATCH($D137,Inputs!$H$8:$U$8,0)))</f>
        <v>F-CurrentVDO_Input</v>
      </c>
      <c r="G137" s="125"/>
      <c r="H137" s="23" t="s">
        <v>130</v>
      </c>
      <c r="I137" s="23" t="s">
        <v>165</v>
      </c>
      <c r="J137" s="59" t="s">
        <v>92</v>
      </c>
      <c r="K137" s="66">
        <f>IFERROR(INDEX(Input_ForRateCalc[],MATCH($C137&amp;" - "&amp;K$103,Input_ForRateCalc[[Cost item]:[Cost item]],0),MATCH($F137,Input_ForRateCalc[#Headers],0)),"-")</f>
        <v>4.2622999999999998</v>
      </c>
      <c r="L137" s="66">
        <f>IFERROR(INDEX(Input_ForRateCalc[],MATCH($C137&amp;" - "&amp;L$103,Input_ForRateCalc[[Cost item]:[Cost item]],0),MATCH($F137,Input_ForRateCalc[#Headers],0)),"-")</f>
        <v>2.4700000000000002</v>
      </c>
      <c r="M137" s="66">
        <f>IFERROR(INDEX(Input_ForRateCalc[],MATCH($C137&amp;" - "&amp;M$103,Input_ForRateCalc[[Cost item]:[Cost item]],0),MATCH($F137,Input_ForRateCalc[#Headers],0)),"-")</f>
        <v>3.5990000000000002</v>
      </c>
      <c r="N137" s="66">
        <f>IFERROR(INDEX(Input_ForRateCalc[],MATCH($C137&amp;" - "&amp;N$103,Input_ForRateCalc[[Cost item]:[Cost item]],0),MATCH($F137,Input_ForRateCalc[#Headers],0)),"-")</f>
        <v>2.39</v>
      </c>
      <c r="O137" s="66">
        <f>IFERROR(INDEX(Input_ForRateCalc[],MATCH($C137&amp;" - "&amp;O$103,Input_ForRateCalc[[Cost item]:[Cost item]],0),MATCH($F137,Input_ForRateCalc[#Headers],0)),"-")</f>
        <v>2.17</v>
      </c>
    </row>
    <row r="138" spans="3:15" hidden="1" outlineLevel="1" x14ac:dyDescent="0.25">
      <c r="C138" s="59" t="s">
        <v>318</v>
      </c>
      <c r="D138" s="82" t="str">
        <f>INDEX(Input_DecisionActual[[Decision]:[Decision]],MATCH(Calc_TU_values!$D$5,Input_DecisionActual[[VDO period]:[VDO period]],0),1)</f>
        <v>VDO 2022 - Final</v>
      </c>
      <c r="E138" s="23" t="s">
        <v>587</v>
      </c>
      <c r="F138" s="82" t="str">
        <f>IF($D138="-","-",INDEX(Inputs!$H$10:$U$10,1,MATCH($D138,Inputs!$H$8:$U$8,0)))</f>
        <v>F-CurrentVDO_Input</v>
      </c>
      <c r="G138" s="125"/>
      <c r="H138" s="23" t="s">
        <v>130</v>
      </c>
      <c r="I138" s="23" t="s">
        <v>109</v>
      </c>
      <c r="J138" s="59" t="s">
        <v>92</v>
      </c>
      <c r="K138" s="67" cm="1">
        <f t="array" ref="K138">TUProp_Days_1*SUM(
IFERROR(K137/100*INDEX(Input_Usage[#All],MATCH(Calc_TUV_Net_1[[#This Row],[Customer type]:[Customer type]]&amp;" - medium - controlled load",Input_Usage[[#All],[Ref]],0),MATCH($F138,Input_Usage[#Headers],0)),0))</f>
        <v>0</v>
      </c>
      <c r="L138" s="67" cm="1">
        <f t="array" ref="L138">TUProp_Days_1*SUM(
IFERROR(L137/100*INDEX(Input_Usage[#All],MATCH(Calc_TUV_Net_1[[#This Row],[Customer type]:[Customer type]]&amp;" - medium - controlled load",Input_Usage[[#All],[Ref]],0),MATCH($F138,Input_Usage[#Headers],0)),0))</f>
        <v>0</v>
      </c>
      <c r="M138" s="67" cm="1">
        <f t="array" ref="M138">TUProp_Days_1*SUM(
IFERROR(M137/100*INDEX(Input_Usage[#All],MATCH(Calc_TUV_Net_1[[#This Row],[Customer type]:[Customer type]]&amp;" - medium - controlled load",Input_Usage[[#All],[Ref]],0),MATCH($F138,Input_Usage[#Headers],0)),0))</f>
        <v>0</v>
      </c>
      <c r="N138" s="67" cm="1">
        <f t="array" ref="N138">TUProp_Days_1*SUM(
IFERROR(N137/100*INDEX(Input_Usage[#All],MATCH(Calc_TUV_Net_1[[#This Row],[Customer type]:[Customer type]]&amp;" - medium - controlled load",Input_Usage[[#All],[Ref]],0),MATCH($F138,Input_Usage[#Headers],0)),0))</f>
        <v>0</v>
      </c>
      <c r="O138" s="67" cm="1">
        <f t="array" ref="O138">TUProp_Days_1*SUM(
IFERROR(O137/100*INDEX(Input_Usage[#All],MATCH(Calc_TUV_Net_1[[#This Row],[Customer type]:[Customer type]]&amp;" - medium - controlled load",Input_Usage[[#All],[Ref]],0),MATCH($F138,Input_Usage[#Headers],0)),0))</f>
        <v>0</v>
      </c>
    </row>
    <row r="139" spans="3:15" hidden="1" outlineLevel="1" x14ac:dyDescent="0.25">
      <c r="C139" s="59" t="s">
        <v>319</v>
      </c>
      <c r="D139" s="23"/>
      <c r="E139" s="23"/>
      <c r="F139" s="23"/>
      <c r="G139" s="23"/>
      <c r="H139" s="23" t="s">
        <v>130</v>
      </c>
      <c r="I139" s="23" t="s">
        <v>109</v>
      </c>
      <c r="J139" s="59" t="s">
        <v>92</v>
      </c>
      <c r="K139" s="65" t="str">
        <f>IF(K138=0,"-",K136-K138)</f>
        <v>-</v>
      </c>
      <c r="L139" s="65" t="str">
        <f t="shared" ref="L139:O139" si="47">IF(L138=0,"-",L136-L138)</f>
        <v>-</v>
      </c>
      <c r="M139" s="65" t="str">
        <f t="shared" si="47"/>
        <v>-</v>
      </c>
      <c r="N139" s="65" t="str">
        <f t="shared" si="47"/>
        <v>-</v>
      </c>
      <c r="O139" s="65" t="str">
        <f t="shared" si="47"/>
        <v>-</v>
      </c>
    </row>
    <row r="140" spans="3:15" hidden="1" outlineLevel="1" x14ac:dyDescent="0.25">
      <c r="C140" s="59" t="s">
        <v>442</v>
      </c>
      <c r="D140" s="23"/>
      <c r="E140" s="23"/>
      <c r="F140" s="23"/>
      <c r="G140" s="23"/>
      <c r="H140" s="23" t="s">
        <v>130</v>
      </c>
      <c r="I140" s="23" t="s">
        <v>109</v>
      </c>
      <c r="J140" s="59" t="s">
        <v>92</v>
      </c>
      <c r="K140" s="66" t="str">
        <f>IFERROR(IF($D$11="Yes",K139*(1+WACC_adj_1),""),"-")</f>
        <v/>
      </c>
      <c r="L140" s="66" t="str">
        <f>IFERROR(IF($D$11="Yes",L139*(1+WACC_adj_1),""),"-")</f>
        <v/>
      </c>
      <c r="M140" s="66" t="str">
        <f>IFERROR(IF($D$11="Yes",M139*(1+WACC_adj_1),""),"-")</f>
        <v/>
      </c>
      <c r="N140" s="66" t="str">
        <f>IFERROR(IF($D$11="Yes",N139*(1+WACC_adj_1),""),"-")</f>
        <v/>
      </c>
      <c r="O140" s="66" t="str">
        <f>IFERROR(IF($D$11="Yes",O139*(1+WACC_adj_1),""),"-")</f>
        <v/>
      </c>
    </row>
    <row r="141" spans="3:15" hidden="1" outlineLevel="1" x14ac:dyDescent="0.25">
      <c r="C141" s="59" t="s">
        <v>321</v>
      </c>
      <c r="D141" s="82" t="str">
        <f>INDEX(Input_DecisionActual[[Decision]:[Decision]],MATCH(Calc_TU_values!$D$5,Input_DecisionActual[[VDO period]:[VDO period]],0),1)</f>
        <v>VDO 2022 - Final</v>
      </c>
      <c r="E141" s="23" t="s">
        <v>587</v>
      </c>
      <c r="F141" s="82" t="str">
        <f>IF($D141="-","-",INDEX(Inputs!$H$10:$U$10,1,MATCH($D141,Inputs!$H$8:$U$8,0)))</f>
        <v>F-CurrentVDO_Input</v>
      </c>
      <c r="G141" s="23"/>
      <c r="H141" s="23" t="s">
        <v>130</v>
      </c>
      <c r="I141" s="23" t="s">
        <v>109</v>
      </c>
      <c r="J141" s="59" t="s">
        <v>92</v>
      </c>
      <c r="K141" s="66" cm="1">
        <f t="array" ref="K141">IFERROR(SUM(K139:K140)*(INDEX(Inputs!$H$11:$U$128,MATCH("Retail operating margin",Input_ForRateCalc[[Cost item]:[Cost item]],0),MATCH(Calc_TUV_Net_1[[#This Row],[Decision ref]:[Decision ref]],Inputs!$H$10:$U$10,0))),"-")</f>
        <v>0</v>
      </c>
      <c r="L141" s="66" cm="1">
        <f t="array" ref="L141">IFERROR(SUM(L139:L140)*(INDEX(Inputs!$H$11:$U$128,MATCH("Retail operating margin",Input_ForRateCalc[[Cost item]:[Cost item]],0),MATCH(Calc_TUV_Net_1[[#This Row],[Decision ref]:[Decision ref]],Inputs!$H$10:$U$10,0))),"-")</f>
        <v>0</v>
      </c>
      <c r="M141" s="66" cm="1">
        <f t="array" ref="M141">IFERROR(SUM(M139:M140)*(INDEX(Inputs!$H$11:$U$128,MATCH("Retail operating margin",Input_ForRateCalc[[Cost item]:[Cost item]],0),MATCH(Calc_TUV_Net_1[[#This Row],[Decision ref]:[Decision ref]],Inputs!$H$10:$U$10,0))),"-")</f>
        <v>0</v>
      </c>
      <c r="N141" s="66" cm="1">
        <f t="array" ref="N141">IFERROR(SUM(N139:N140)*(INDEX(Inputs!$H$11:$U$128,MATCH("Retail operating margin",Input_ForRateCalc[[Cost item]:[Cost item]],0),MATCH(Calc_TUV_Net_1[[#This Row],[Decision ref]:[Decision ref]],Inputs!$H$10:$U$10,0))),"-")</f>
        <v>0</v>
      </c>
      <c r="O141" s="66" cm="1">
        <f t="array" ref="O141">IFERROR(SUM(O139:O140)*(INDEX(Inputs!$H$11:$U$128,MATCH("Retail operating margin",Input_ForRateCalc[[Cost item]:[Cost item]],0),MATCH(Calc_TUV_Net_1[[#This Row],[Decision ref]:[Decision ref]],Inputs!$H$10:$U$10,0))),"-")</f>
        <v>0</v>
      </c>
    </row>
    <row r="142" spans="3:15" hidden="1" outlineLevel="1" x14ac:dyDescent="0.25">
      <c r="C142" s="59" t="s">
        <v>443</v>
      </c>
      <c r="D142" s="23"/>
      <c r="E142" s="23"/>
      <c r="F142" s="23"/>
      <c r="G142" s="23"/>
      <c r="H142" s="23" t="s">
        <v>130</v>
      </c>
      <c r="I142" s="23" t="s">
        <v>109</v>
      </c>
      <c r="J142" s="59" t="s">
        <v>92</v>
      </c>
      <c r="K142" s="66" t="str">
        <f>IF(K138=0,"-",SUM(K139:K141)*GST)</f>
        <v>-</v>
      </c>
      <c r="L142" s="66" t="str">
        <f>IF(L138=0,"-",SUM(L139:L141)*GST)</f>
        <v>-</v>
      </c>
      <c r="M142" s="66" t="str">
        <f>IF(M138=0,"-",SUM(M139:M141)*GST)</f>
        <v>-</v>
      </c>
      <c r="N142" s="66" t="str">
        <f>IF(N138=0,"-",SUM(N139:N141)*GST)</f>
        <v>-</v>
      </c>
      <c r="O142" s="66" t="str">
        <f>IF(O138=0,"-",SUM(O139:O141)*GST)</f>
        <v>-</v>
      </c>
    </row>
    <row r="143" spans="3:15" hidden="1" outlineLevel="1" x14ac:dyDescent="0.25">
      <c r="C143" s="59" t="s">
        <v>640</v>
      </c>
      <c r="D143" s="116"/>
      <c r="E143" s="116"/>
      <c r="F143" s="116"/>
      <c r="H143" s="23" t="s">
        <v>130</v>
      </c>
      <c r="I143" s="23" t="s">
        <v>109</v>
      </c>
      <c r="J143" s="59" t="s">
        <v>92</v>
      </c>
      <c r="K143" s="66" t="str">
        <f>IF(K138=0,"-",SUM(K139:K142))</f>
        <v>-</v>
      </c>
      <c r="L143" s="66" t="str">
        <f>IF(L138=0,"-",SUM(L139:L142))</f>
        <v>-</v>
      </c>
      <c r="M143" s="66" t="str">
        <f>IF(M138=0,"-",SUM(M139:M142))</f>
        <v>-</v>
      </c>
      <c r="N143" s="66" t="str">
        <f>IF(N138=0,"-",SUM(N139:N142))</f>
        <v>-</v>
      </c>
      <c r="O143" s="66" t="str">
        <f>IF(O138=0,"-",SUM(O139:O142))</f>
        <v>-</v>
      </c>
    </row>
    <row r="144" spans="3:15" hidden="1" outlineLevel="1" x14ac:dyDescent="0.25">
      <c r="C144" s="59"/>
      <c r="D144" s="125"/>
      <c r="E144" s="125"/>
      <c r="F144" s="125"/>
      <c r="G144" s="125"/>
      <c r="H144" s="125"/>
      <c r="I144" s="125"/>
      <c r="J144" s="125"/>
      <c r="K144" s="159"/>
      <c r="L144" s="159"/>
      <c r="M144" s="159"/>
      <c r="N144" s="159"/>
      <c r="O144" s="159"/>
    </row>
    <row r="145" spans="3:15" ht="15.75" hidden="1" outlineLevel="1" x14ac:dyDescent="0.25">
      <c r="C145" s="185" t="s">
        <v>526</v>
      </c>
      <c r="D145" s="23"/>
      <c r="E145" s="23"/>
      <c r="F145" s="23"/>
      <c r="G145" s="68" t="s">
        <v>317</v>
      </c>
      <c r="H145" s="23"/>
      <c r="I145" s="23"/>
      <c r="J145" s="23"/>
      <c r="K145" s="65"/>
      <c r="L145" s="23"/>
      <c r="M145" s="23"/>
      <c r="N145" s="23"/>
      <c r="O145" s="23"/>
    </row>
    <row r="146" spans="3:15" hidden="1" outlineLevel="1" x14ac:dyDescent="0.25">
      <c r="C146" s="57" t="s">
        <v>541</v>
      </c>
      <c r="D146" s="57"/>
      <c r="E146" s="57"/>
      <c r="F146" s="57"/>
      <c r="G146" s="68"/>
      <c r="H146" s="68"/>
      <c r="I146" s="23"/>
      <c r="J146" s="23"/>
      <c r="K146" s="65"/>
      <c r="L146" s="23"/>
      <c r="M146" s="23"/>
      <c r="N146" s="23"/>
      <c r="O146" s="23"/>
    </row>
    <row r="147" spans="3:15" hidden="1" outlineLevel="1" x14ac:dyDescent="0.25">
      <c r="C147" s="59" t="s">
        <v>521</v>
      </c>
      <c r="D147" s="82" t="str">
        <f>Calc_TU_values!$D$5</f>
        <v>VDO 2022-23 - Draft</v>
      </c>
      <c r="E147" s="23" t="s">
        <v>586</v>
      </c>
      <c r="F147" s="82" t="str">
        <f>INDEX(Inputs!$H$10:$U$10,1,MATCH($D147,Inputs!$H$8:$U$8,0))</f>
        <v>D-NextVDO_Input</v>
      </c>
      <c r="G147" s="58"/>
      <c r="H147" s="23" t="s">
        <v>108</v>
      </c>
      <c r="I147" s="23" t="s">
        <v>109</v>
      </c>
      <c r="J147" s="59" t="s">
        <v>93</v>
      </c>
      <c r="K147" s="66" cm="1">
        <f t="array" ref="K147">IFERROR(INDEX(Input_ForRateCalc[],MATCH($C147&amp;" - "&amp;K$103,Input_ForRateCalc[[Cost item]:[Cost item]],0),MATCH(Calc_TUV_Net_1[[#This Row],[Decision ref]:[Decision ref]],Input_ForRateCalc[#Headers],0)),"-")*TUProp_Days_1</f>
        <v>0</v>
      </c>
      <c r="L147" s="66" cm="1">
        <f t="array" ref="L147">IFERROR(INDEX(Input_ForRateCalc[],MATCH($C147&amp;" - "&amp;L$103,Input_ForRateCalc[[Cost item]:[Cost item]],0),MATCH(Calc_TUV_Net_1[[#This Row],[Decision ref]:[Decision ref]],Input_ForRateCalc[#Headers],0)),"-")*TUProp_Days_1</f>
        <v>0</v>
      </c>
      <c r="M147" s="66" cm="1">
        <f t="array" ref="M147">IFERROR(INDEX(Input_ForRateCalc[],MATCH($C147&amp;" - "&amp;M$103,Input_ForRateCalc[[Cost item]:[Cost item]],0),MATCH(Calc_TUV_Net_1[[#This Row],[Decision ref]:[Decision ref]],Input_ForRateCalc[#Headers],0)),"-")*TUProp_Days_1</f>
        <v>0</v>
      </c>
      <c r="N147" s="66" cm="1">
        <f t="array" ref="N147">IFERROR(INDEX(Input_ForRateCalc[],MATCH($C147&amp;" - "&amp;N$103,Input_ForRateCalc[[Cost item]:[Cost item]],0),MATCH(Calc_TUV_Net_1[[#This Row],[Decision ref]:[Decision ref]],Input_ForRateCalc[#Headers],0)),"-")*TUProp_Days_1</f>
        <v>0</v>
      </c>
      <c r="O147" s="66" cm="1">
        <f t="array" ref="O147">IFERROR(INDEX(Input_ForRateCalc[],MATCH($C147&amp;" - "&amp;O$103,Input_ForRateCalc[[Cost item]:[Cost item]],0),MATCH(Calc_TUV_Net_1[[#This Row],[Decision ref]:[Decision ref]],Input_ForRateCalc[#Headers],0)),"-")*TUProp_Days_1</f>
        <v>0</v>
      </c>
    </row>
    <row r="148" spans="3:15" hidden="1" outlineLevel="1" x14ac:dyDescent="0.25">
      <c r="C148" s="59" t="s">
        <v>275</v>
      </c>
      <c r="D148" s="82" t="str">
        <f>Calc_TU_values!$D$5</f>
        <v>VDO 2022-23 - Draft</v>
      </c>
      <c r="E148" s="23" t="s">
        <v>586</v>
      </c>
      <c r="F148" s="82" t="str">
        <f>INDEX(Inputs!$H$10:$U$10,1,MATCH($D148,Inputs!$H$8:$U$8,0))</f>
        <v>D-NextVDO_Input</v>
      </c>
      <c r="G148" s="58"/>
      <c r="H148" s="23" t="s">
        <v>108</v>
      </c>
      <c r="I148" s="23" t="s">
        <v>109</v>
      </c>
      <c r="J148" s="59" t="s">
        <v>93</v>
      </c>
      <c r="K148" s="66" cm="1">
        <f t="array" ref="K148">IFERROR(INDEX(Input_ForRateCalc[],MATCH($C148&amp;" - "&amp;K$103,Input_ForRateCalc[[Cost item]:[Cost item]],0),MATCH(Calc_TUV_Net_1[[#This Row],[Decision ref]:[Decision ref]],Input_ForRateCalc[#Headers],0)),"-")*TUProp_Days_1</f>
        <v>0</v>
      </c>
      <c r="L148" s="66" cm="1">
        <f t="array" ref="L148">IFERROR(INDEX(Input_ForRateCalc[],MATCH($C148&amp;" - "&amp;L$103,Input_ForRateCalc[[Cost item]:[Cost item]],0),MATCH(Calc_TUV_Net_1[[#This Row],[Decision ref]:[Decision ref]],Input_ForRateCalc[#Headers],0)),"-")*TUProp_Days_1</f>
        <v>0</v>
      </c>
      <c r="M148" s="66" cm="1">
        <f t="array" ref="M148">IFERROR(INDEX(Input_ForRateCalc[],MATCH($C148&amp;" - "&amp;M$103,Input_ForRateCalc[[Cost item]:[Cost item]],0),MATCH(Calc_TUV_Net_1[[#This Row],[Decision ref]:[Decision ref]],Input_ForRateCalc[#Headers],0)),"-")*TUProp_Days_1</f>
        <v>0</v>
      </c>
      <c r="N148" s="66" cm="1">
        <f t="array" ref="N148">IFERROR(INDEX(Input_ForRateCalc[],MATCH($C148&amp;" - "&amp;N$103,Input_ForRateCalc[[Cost item]:[Cost item]],0),MATCH(Calc_TUV_Net_1[[#This Row],[Decision ref]:[Decision ref]],Input_ForRateCalc[#Headers],0)),"-")*TUProp_Days_1</f>
        <v>0</v>
      </c>
      <c r="O148" s="66" cm="1">
        <f t="array" ref="O148">IFERROR(INDEX(Input_ForRateCalc[],MATCH($C148&amp;" - "&amp;O$103,Input_ForRateCalc[[Cost item]:[Cost item]],0),MATCH(Calc_TUV_Net_1[[#This Row],[Decision ref]:[Decision ref]],Input_ForRateCalc[#Headers],0)),"-")*TUProp_Days_1</f>
        <v>0</v>
      </c>
    </row>
    <row r="149" spans="3:15" hidden="1" outlineLevel="1" x14ac:dyDescent="0.25">
      <c r="C149" s="59" t="s">
        <v>318</v>
      </c>
      <c r="D149" s="82" t="str">
        <f>Calc_TU_values!$D$5</f>
        <v>VDO 2022-23 - Draft</v>
      </c>
      <c r="E149" s="23" t="s">
        <v>586</v>
      </c>
      <c r="F149" s="82" t="str">
        <f>INDEX(Inputs!$H$10:$U$10,1,MATCH($D149,Inputs!$H$8:$U$8,0))</f>
        <v>D-NextVDO_Input</v>
      </c>
      <c r="G149" s="58"/>
      <c r="H149" s="23" t="s">
        <v>108</v>
      </c>
      <c r="I149" s="23" t="s">
        <v>109</v>
      </c>
      <c r="J149" s="59" t="s">
        <v>93</v>
      </c>
      <c r="K149" s="64">
        <f>IFERROR(SUM(K147:K148),"-")</f>
        <v>0</v>
      </c>
      <c r="L149" s="64">
        <f>IFERROR(SUM(L147:L148),"-")</f>
        <v>0</v>
      </c>
      <c r="M149" s="64">
        <f>IFERROR(SUM(M147:M148),"-")</f>
        <v>0</v>
      </c>
      <c r="N149" s="64">
        <f>IFERROR(SUM(N147:N148),"-")</f>
        <v>0</v>
      </c>
      <c r="O149" s="64">
        <f>IFERROR(SUM(O147:O148),"-")</f>
        <v>0</v>
      </c>
    </row>
    <row r="150" spans="3:15" hidden="1" outlineLevel="1" x14ac:dyDescent="0.25">
      <c r="C150" s="59" t="s">
        <v>521</v>
      </c>
      <c r="D150" s="82" t="str">
        <f>INDEX(Input_DecisionActual[[Decision]:[Decision]],MATCH(Calc_TU_values!$D$5,Input_DecisionActual[[VDO period]:[VDO period]],0),1)</f>
        <v>VDO 2022 - Final</v>
      </c>
      <c r="E150" s="23" t="s">
        <v>587</v>
      </c>
      <c r="F150" s="82" t="str">
        <f>IF($D150="-","-",INDEX(Inputs!$H$10:$U$10,1,MATCH($D150,Inputs!$H$8:$U$8,0)))</f>
        <v>F-CurrentVDO_Input</v>
      </c>
      <c r="G150" s="58"/>
      <c r="H150" s="23" t="s">
        <v>108</v>
      </c>
      <c r="I150" s="23" t="s">
        <v>109</v>
      </c>
      <c r="J150" s="59" t="s">
        <v>93</v>
      </c>
      <c r="K150" s="66" cm="1">
        <f t="array" ref="K150">IFERROR(INDEX(Input_ForRateCalc[],MATCH($C150&amp;" - "&amp;K$103,Input_ForRateCalc[[Cost item]:[Cost item]],0),MATCH(Calc_TUV_Net_1[[#This Row],[Decision ref]:[Decision ref]],Input_ForRateCalc[#Headers],0)),"-")*TUProp_Days_1</f>
        <v>0</v>
      </c>
      <c r="L150" s="66" cm="1">
        <f t="array" ref="L150">IFERROR(INDEX(Input_ForRateCalc[],MATCH($C150&amp;" - "&amp;L$103,Input_ForRateCalc[[Cost item]:[Cost item]],0),MATCH(Calc_TUV_Net_1[[#This Row],[Decision ref]:[Decision ref]],Input_ForRateCalc[#Headers],0)),"-")*TUProp_Days_1</f>
        <v>0</v>
      </c>
      <c r="M150" s="66" cm="1">
        <f t="array" ref="M150">IFERROR(INDEX(Input_ForRateCalc[],MATCH($C150&amp;" - "&amp;M$103,Input_ForRateCalc[[Cost item]:[Cost item]],0),MATCH(Calc_TUV_Net_1[[#This Row],[Decision ref]:[Decision ref]],Input_ForRateCalc[#Headers],0)),"-")*TUProp_Days_1</f>
        <v>0</v>
      </c>
      <c r="N150" s="66" cm="1">
        <f t="array" ref="N150">IFERROR(INDEX(Input_ForRateCalc[],MATCH($C150&amp;" - "&amp;N$103,Input_ForRateCalc[[Cost item]:[Cost item]],0),MATCH(Calc_TUV_Net_1[[#This Row],[Decision ref]:[Decision ref]],Input_ForRateCalc[#Headers],0)),"-")*TUProp_Days_1</f>
        <v>0</v>
      </c>
      <c r="O150" s="66" cm="1">
        <f t="array" ref="O150">IFERROR(INDEX(Input_ForRateCalc[],MATCH($C150&amp;" - "&amp;O$103,Input_ForRateCalc[[Cost item]:[Cost item]],0),MATCH(Calc_TUV_Net_1[[#This Row],[Decision ref]:[Decision ref]],Input_ForRateCalc[#Headers],0)),"-")*TUProp_Days_1</f>
        <v>0</v>
      </c>
    </row>
    <row r="151" spans="3:15" hidden="1" outlineLevel="1" x14ac:dyDescent="0.25">
      <c r="C151" s="59" t="s">
        <v>275</v>
      </c>
      <c r="D151" s="82" t="str">
        <f>INDEX(Input_DecisionActual[[Decision]:[Decision]],MATCH(Calc_TU_values!$D$5,Input_DecisionActual[[VDO period]:[VDO period]],0),1)</f>
        <v>VDO 2022 - Final</v>
      </c>
      <c r="E151" s="23" t="s">
        <v>587</v>
      </c>
      <c r="F151" s="82" t="str">
        <f>IF($D151="-","-",INDEX(Inputs!$H$10:$U$10,1,MATCH($D151,Inputs!$H$8:$U$8,0)))</f>
        <v>F-CurrentVDO_Input</v>
      </c>
      <c r="G151" s="58"/>
      <c r="H151" s="23" t="s">
        <v>108</v>
      </c>
      <c r="I151" s="23" t="s">
        <v>109</v>
      </c>
      <c r="J151" s="59" t="s">
        <v>93</v>
      </c>
      <c r="K151" s="66" cm="1">
        <f t="array" ref="K151">IFERROR(INDEX(Input_ForRateCalc[],MATCH($C151&amp;" - "&amp;K$103,Input_ForRateCalc[[Cost item]:[Cost item]],0),MATCH(Calc_TUV_Net_1[[#This Row],[Decision ref]:[Decision ref]],Input_ForRateCalc[#Headers],0)),"-")*TUProp_Days_1</f>
        <v>0</v>
      </c>
      <c r="L151" s="66" cm="1">
        <f t="array" ref="L151">IFERROR(INDEX(Input_ForRateCalc[],MATCH($C151&amp;" - "&amp;L$103,Input_ForRateCalc[[Cost item]:[Cost item]],0),MATCH(Calc_TUV_Net_1[[#This Row],[Decision ref]:[Decision ref]],Input_ForRateCalc[#Headers],0)),"-")*TUProp_Days_1</f>
        <v>0</v>
      </c>
      <c r="M151" s="66" cm="1">
        <f t="array" ref="M151">IFERROR(INDEX(Input_ForRateCalc[],MATCH($C151&amp;" - "&amp;M$103,Input_ForRateCalc[[Cost item]:[Cost item]],0),MATCH(Calc_TUV_Net_1[[#This Row],[Decision ref]:[Decision ref]],Input_ForRateCalc[#Headers],0)),"-")*TUProp_Days_1</f>
        <v>0</v>
      </c>
      <c r="N151" s="66" cm="1">
        <f t="array" ref="N151">IFERROR(INDEX(Input_ForRateCalc[],MATCH($C151&amp;" - "&amp;N$103,Input_ForRateCalc[[Cost item]:[Cost item]],0),MATCH(Calc_TUV_Net_1[[#This Row],[Decision ref]:[Decision ref]],Input_ForRateCalc[#Headers],0)),"-")*TUProp_Days_1</f>
        <v>0</v>
      </c>
      <c r="O151" s="66" cm="1">
        <f t="array" ref="O151">IFERROR(INDEX(Input_ForRateCalc[],MATCH($C151&amp;" - "&amp;O$103,Input_ForRateCalc[[Cost item]:[Cost item]],0),MATCH(Calc_TUV_Net_1[[#This Row],[Decision ref]:[Decision ref]],Input_ForRateCalc[#Headers],0)),"-")*TUProp_Days_1</f>
        <v>0</v>
      </c>
    </row>
    <row r="152" spans="3:15" hidden="1" outlineLevel="1" x14ac:dyDescent="0.25">
      <c r="C152" s="59" t="s">
        <v>318</v>
      </c>
      <c r="D152" s="82" t="str">
        <f>INDEX(Input_DecisionActual[[Decision]:[Decision]],MATCH(Calc_TU_values!$D$5,Input_DecisionActual[[VDO period]:[VDO period]],0),1)</f>
        <v>VDO 2022 - Final</v>
      </c>
      <c r="E152" s="23" t="s">
        <v>587</v>
      </c>
      <c r="F152" s="82" t="str">
        <f>IF($D152="-","-",INDEX(Inputs!$H$10:$U$10,1,MATCH($D152,Inputs!$H$8:$U$8,0)))</f>
        <v>F-CurrentVDO_Input</v>
      </c>
      <c r="G152" s="58"/>
      <c r="H152" s="23" t="s">
        <v>108</v>
      </c>
      <c r="I152" s="23" t="s">
        <v>109</v>
      </c>
      <c r="J152" s="59" t="s">
        <v>93</v>
      </c>
      <c r="K152" s="65">
        <f>SUM(K150:K151)</f>
        <v>0</v>
      </c>
      <c r="L152" s="65">
        <f>SUM(L150:L151)</f>
        <v>0</v>
      </c>
      <c r="M152" s="65">
        <f>SUM(M150:M151)</f>
        <v>0</v>
      </c>
      <c r="N152" s="65">
        <f>SUM(N150:N151)</f>
        <v>0</v>
      </c>
      <c r="O152" s="65">
        <f>SUM(O150:O151)</f>
        <v>0</v>
      </c>
    </row>
    <row r="153" spans="3:15" hidden="1" outlineLevel="1" x14ac:dyDescent="0.25">
      <c r="C153" s="59" t="s">
        <v>319</v>
      </c>
      <c r="D153" s="23"/>
      <c r="E153" s="23"/>
      <c r="F153" s="23"/>
      <c r="G153" s="59"/>
      <c r="H153" s="23" t="s">
        <v>108</v>
      </c>
      <c r="I153" s="23" t="s">
        <v>109</v>
      </c>
      <c r="J153" s="59" t="s">
        <v>93</v>
      </c>
      <c r="K153" s="65" t="str">
        <f>IF(K152=0,"-",K149-K152)</f>
        <v>-</v>
      </c>
      <c r="L153" s="65" t="str">
        <f t="shared" ref="L153:O153" si="48">IF(L152=0,"-",L149-L152)</f>
        <v>-</v>
      </c>
      <c r="M153" s="65" t="str">
        <f t="shared" si="48"/>
        <v>-</v>
      </c>
      <c r="N153" s="65" t="str">
        <f t="shared" si="48"/>
        <v>-</v>
      </c>
      <c r="O153" s="65" t="str">
        <f t="shared" si="48"/>
        <v>-</v>
      </c>
    </row>
    <row r="154" spans="3:15" hidden="1" outlineLevel="1" x14ac:dyDescent="0.25">
      <c r="C154" s="59" t="s">
        <v>442</v>
      </c>
      <c r="D154" s="23"/>
      <c r="E154" s="23"/>
      <c r="F154" s="23"/>
      <c r="G154" s="59"/>
      <c r="H154" s="23" t="s">
        <v>108</v>
      </c>
      <c r="I154" s="23" t="s">
        <v>109</v>
      </c>
      <c r="J154" s="59" t="s">
        <v>93</v>
      </c>
      <c r="K154" s="66" t="str">
        <f>IFERROR(IF($D$11="Yes",K153*(1+WACC_adj_1),""),"-")</f>
        <v/>
      </c>
      <c r="L154" s="66" t="str">
        <f>IFERROR(IF($D$11="Yes",L153*(1+WACC_adj_1),""),"-")</f>
        <v/>
      </c>
      <c r="M154" s="66" t="str">
        <f>IFERROR(IF($D$11="Yes",M153*(1+WACC_adj_1),""),"-")</f>
        <v/>
      </c>
      <c r="N154" s="66" t="str">
        <f>IFERROR(IF($D$11="Yes",N153*(1+WACC_adj_1),""),"-")</f>
        <v/>
      </c>
      <c r="O154" s="66" t="str">
        <f>IFERROR(IF($D$11="Yes",O153*(1+WACC_adj_1),""),"-")</f>
        <v/>
      </c>
    </row>
    <row r="155" spans="3:15" hidden="1" outlineLevel="1" x14ac:dyDescent="0.25">
      <c r="C155" s="59" t="s">
        <v>321</v>
      </c>
      <c r="D155" s="82" t="str">
        <f>INDEX(Input_DecisionActual[[Decision]:[Decision]],MATCH(Calc_TU_values!$D$5,Input_DecisionActual[[VDO period]:[VDO period]],0),1)</f>
        <v>VDO 2022 - Final</v>
      </c>
      <c r="E155" s="23" t="s">
        <v>587</v>
      </c>
      <c r="F155" s="82" t="str">
        <f>IF($D155="-","-",INDEX(Inputs!$H$10:$U$10,1,MATCH($D155,Inputs!$H$8:$U$8,0)))</f>
        <v>F-CurrentVDO_Input</v>
      </c>
      <c r="G155" s="59"/>
      <c r="H155" s="23" t="s">
        <v>108</v>
      </c>
      <c r="I155" s="23" t="s">
        <v>109</v>
      </c>
      <c r="J155" s="59" t="s">
        <v>93</v>
      </c>
      <c r="K155" s="66" cm="1">
        <f t="array" ref="K155">IFERROR(SUM(K153:K154)*(INDEX(Inputs!$H$11:$U$128,MATCH("Retail operating margin",Input_ForRateCalc[[Cost item]:[Cost item]],0),MATCH(Calc_TUV_Net_1[[#This Row],[Decision ref]:[Decision ref]],Inputs!$H$10:$U$10,0))),"-")</f>
        <v>0</v>
      </c>
      <c r="L155" s="66" cm="1">
        <f t="array" ref="L155">IFERROR(SUM(L153:L154)*(INDEX(Inputs!$H$11:$U$128,MATCH("Retail operating margin",Input_ForRateCalc[[Cost item]:[Cost item]],0),MATCH(Calc_TUV_Net_1[[#This Row],[Decision ref]:[Decision ref]],Inputs!$H$10:$U$10,0))),"-")</f>
        <v>0</v>
      </c>
      <c r="M155" s="66" cm="1">
        <f t="array" ref="M155">IFERROR(SUM(M153:M154)*(INDEX(Inputs!$H$11:$U$128,MATCH("Retail operating margin",Input_ForRateCalc[[Cost item]:[Cost item]],0),MATCH(Calc_TUV_Net_1[[#This Row],[Decision ref]:[Decision ref]],Inputs!$H$10:$U$10,0))),"-")</f>
        <v>0</v>
      </c>
      <c r="N155" s="66" cm="1">
        <f t="array" ref="N155">IFERROR(SUM(N153:N154)*(INDEX(Inputs!$H$11:$U$128,MATCH("Retail operating margin",Input_ForRateCalc[[Cost item]:[Cost item]],0),MATCH(Calc_TUV_Net_1[[#This Row],[Decision ref]:[Decision ref]],Inputs!$H$10:$U$10,0))),"-")</f>
        <v>0</v>
      </c>
      <c r="O155" s="66" cm="1">
        <f t="array" ref="O155">IFERROR(SUM(O153:O154)*(INDEX(Inputs!$H$11:$U$128,MATCH("Retail operating margin",Input_ForRateCalc[[Cost item]:[Cost item]],0),MATCH(Calc_TUV_Net_1[[#This Row],[Decision ref]:[Decision ref]],Inputs!$H$10:$U$10,0))),"-")</f>
        <v>0</v>
      </c>
    </row>
    <row r="156" spans="3:15" hidden="1" outlineLevel="1" x14ac:dyDescent="0.25">
      <c r="C156" s="59" t="s">
        <v>443</v>
      </c>
      <c r="D156" s="23"/>
      <c r="E156" s="23"/>
      <c r="F156" s="23"/>
      <c r="G156" s="59"/>
      <c r="H156" s="23" t="s">
        <v>108</v>
      </c>
      <c r="I156" s="23" t="s">
        <v>109</v>
      </c>
      <c r="J156" s="59" t="s">
        <v>93</v>
      </c>
      <c r="K156" s="66" t="str">
        <f>IF(K152=0,"-",SUM(K153:K155)*GST)</f>
        <v>-</v>
      </c>
      <c r="L156" s="66" t="str">
        <f>IF(L152=0,"-",SUM(L153:L155)*GST)</f>
        <v>-</v>
      </c>
      <c r="M156" s="66" t="str">
        <f>IF(M152=0,"-",SUM(M153:M155)*GST)</f>
        <v>-</v>
      </c>
      <c r="N156" s="66" t="str">
        <f>IF(N152=0,"-",SUM(N153:N155)*GST)</f>
        <v>-</v>
      </c>
      <c r="O156" s="66" t="str">
        <f>IF(O152=0,"-",SUM(O153:O155)*GST)</f>
        <v>-</v>
      </c>
    </row>
    <row r="157" spans="3:15" hidden="1" outlineLevel="1" x14ac:dyDescent="0.25">
      <c r="C157" s="23" t="s">
        <v>535</v>
      </c>
      <c r="D157" s="23"/>
      <c r="E157" s="23"/>
      <c r="F157" s="23"/>
      <c r="G157" s="59"/>
      <c r="H157" s="23" t="s">
        <v>108</v>
      </c>
      <c r="I157" s="23" t="s">
        <v>109</v>
      </c>
      <c r="J157" s="59" t="s">
        <v>93</v>
      </c>
      <c r="K157" s="66" t="str">
        <f>IF(K152=0,"-",SUM(K153:K156))</f>
        <v>-</v>
      </c>
      <c r="L157" s="66" t="str">
        <f>IF(L152=0,"-",SUM(L153:L156))</f>
        <v>-</v>
      </c>
      <c r="M157" s="66" t="str">
        <f>IF(M152=0,"-",SUM(M153:M156))</f>
        <v>-</v>
      </c>
      <c r="N157" s="66" t="str">
        <f>IF(N152=0,"-",SUM(N153:N156))</f>
        <v>-</v>
      </c>
      <c r="O157" s="66" t="str">
        <f>IF(O152=0,"-",SUM(O153:O156))</f>
        <v>-</v>
      </c>
    </row>
    <row r="158" spans="3:15" hidden="1" outlineLevel="1" x14ac:dyDescent="0.25">
      <c r="C158" s="59"/>
      <c r="D158" s="59"/>
      <c r="E158" s="59"/>
      <c r="F158" s="59"/>
      <c r="H158" s="59"/>
      <c r="I158" s="23"/>
      <c r="J158" s="23"/>
      <c r="K158" s="129"/>
      <c r="L158" s="129"/>
      <c r="M158" s="129"/>
      <c r="N158" s="129"/>
      <c r="O158" s="129"/>
    </row>
    <row r="159" spans="3:15" hidden="1" outlineLevel="1" x14ac:dyDescent="0.25">
      <c r="C159" s="57" t="s">
        <v>542</v>
      </c>
      <c r="D159" s="59"/>
      <c r="E159" s="59"/>
      <c r="F159" s="59"/>
      <c r="G159" s="68"/>
      <c r="H159" s="59"/>
      <c r="I159" s="23"/>
      <c r="J159" s="59"/>
      <c r="K159" s="129"/>
      <c r="L159" s="129"/>
      <c r="M159" s="129"/>
      <c r="N159" s="129"/>
      <c r="O159" s="129"/>
    </row>
    <row r="160" spans="3:15" hidden="1" outlineLevel="1" x14ac:dyDescent="0.25">
      <c r="C160" s="59" t="s">
        <v>522</v>
      </c>
      <c r="D160" s="82" t="str">
        <f>Calc_TU_values!$D$5</f>
        <v>VDO 2022-23 - Draft</v>
      </c>
      <c r="E160" s="23" t="s">
        <v>586</v>
      </c>
      <c r="F160" s="82" t="str">
        <f>INDEX(Inputs!$H$10:$U$10,1,MATCH($D160,Inputs!$H$8:$U$8,0))</f>
        <v>D-NextVDO_Input</v>
      </c>
      <c r="G160" s="59"/>
      <c r="H160" s="23" t="s">
        <v>130</v>
      </c>
      <c r="I160" s="23" t="s">
        <v>165</v>
      </c>
      <c r="J160" s="59" t="s">
        <v>93</v>
      </c>
      <c r="K160" s="66" cm="1">
        <f t="array" ref="K160">IFERROR(INDEX(Input_ForRateCalc[],MATCH($C160&amp;" - "&amp;K$103,Input_ForRateCalc[[Cost item]:[Cost item]],0),MATCH(Calc_TUV_Net_1[[#This Row],[Decision ref]:[Decision ref]],Input_ForRateCalc[#Headers],0)),"-")</f>
        <v>15.538600000000001</v>
      </c>
      <c r="L160" s="66" t="str" cm="1">
        <f t="array" ref="L160">IFERROR(INDEX(Input_ForRateCalc[],MATCH($C160&amp;" - "&amp;L$103,Input_ForRateCalc[[Cost item]:[Cost item]],0),MATCH(Calc_TUV_Net_1[[#This Row],[Decision ref]:[Decision ref]],Input_ForRateCalc[#Headers],0)),"-")</f>
        <v>-</v>
      </c>
      <c r="M160" s="66" t="str" cm="1">
        <f t="array" ref="M160">IFERROR(INDEX(Input_ForRateCalc[],MATCH($C160&amp;" - "&amp;M$103,Input_ForRateCalc[[Cost item]:[Cost item]],0),MATCH(Calc_TUV_Net_1[[#This Row],[Decision ref]:[Decision ref]],Input_ForRateCalc[#Headers],0)),"-")</f>
        <v>-</v>
      </c>
      <c r="N160" s="66" t="str" cm="1">
        <f t="array" ref="N160">IFERROR(INDEX(Input_ForRateCalc[],MATCH($C160&amp;" - "&amp;N$103,Input_ForRateCalc[[Cost item]:[Cost item]],0),MATCH(Calc_TUV_Net_1[[#This Row],[Decision ref]:[Decision ref]],Input_ForRateCalc[#Headers],0)),"-")</f>
        <v>-</v>
      </c>
      <c r="O160" s="66" t="str" cm="1">
        <f t="array" ref="O160">IFERROR(INDEX(Input_ForRateCalc[],MATCH($C160&amp;" - "&amp;O$103,Input_ForRateCalc[[Cost item]:[Cost item]],0),MATCH(Calc_TUV_Net_1[[#This Row],[Decision ref]:[Decision ref]],Input_ForRateCalc[#Headers],0)),"-")</f>
        <v>-</v>
      </c>
    </row>
    <row r="161" spans="3:15" hidden="1" outlineLevel="1" x14ac:dyDescent="0.25">
      <c r="C161" s="59" t="s">
        <v>523</v>
      </c>
      <c r="D161" s="82" t="str">
        <f>Calc_TU_values!$D$5</f>
        <v>VDO 2022-23 - Draft</v>
      </c>
      <c r="E161" s="23" t="s">
        <v>586</v>
      </c>
      <c r="F161" s="82" t="str">
        <f>INDEX(Inputs!$H$10:$U$10,1,MATCH($D161,Inputs!$H$8:$U$8,0))</f>
        <v>D-NextVDO_Input</v>
      </c>
      <c r="G161" s="68"/>
      <c r="H161" s="23" t="s">
        <v>130</v>
      </c>
      <c r="I161" s="23" t="s">
        <v>165</v>
      </c>
      <c r="J161" s="59" t="s">
        <v>93</v>
      </c>
      <c r="K161" s="66" cm="1">
        <f t="array" ref="K161">IFERROR(INDEX(Input_ForRateCalc[],MATCH($C161&amp;" - "&amp;K$103,Input_ForRateCalc[[Cost item]:[Cost item]],0),MATCH(Calc_TUV_Net_1[[#This Row],[Decision ref]:[Decision ref]],Input_ForRateCalc[#Headers],0)),"-")</f>
        <v>18.2667</v>
      </c>
      <c r="L161" s="66" t="str" cm="1">
        <f t="array" ref="L161">IFERROR(INDEX(Input_ForRateCalc[],MATCH($C161&amp;" - "&amp;L$103,Input_ForRateCalc[[Cost item]:[Cost item]],0),MATCH(Calc_TUV_Net_1[[#This Row],[Decision ref]:[Decision ref]],Input_ForRateCalc[#Headers],0)),"-")</f>
        <v>-</v>
      </c>
      <c r="M161" s="66" t="str" cm="1">
        <f t="array" ref="M161">IFERROR(INDEX(Input_ForRateCalc[],MATCH($C161&amp;" - "&amp;M$103,Input_ForRateCalc[[Cost item]:[Cost item]],0),MATCH(Calc_TUV_Net_1[[#This Row],[Decision ref]:[Decision ref]],Input_ForRateCalc[#Headers],0)),"-")</f>
        <v>-</v>
      </c>
      <c r="N161" s="66" t="str" cm="1">
        <f t="array" ref="N161">IFERROR(INDEX(Input_ForRateCalc[],MATCH($C161&amp;" - "&amp;N$103,Input_ForRateCalc[[Cost item]:[Cost item]],0),MATCH(Calc_TUV_Net_1[[#This Row],[Decision ref]:[Decision ref]],Input_ForRateCalc[#Headers],0)),"-")</f>
        <v>-</v>
      </c>
      <c r="O161" s="66" t="str" cm="1">
        <f t="array" ref="O161">IFERROR(INDEX(Input_ForRateCalc[],MATCH($C161&amp;" - "&amp;O$103,Input_ForRateCalc[[Cost item]:[Cost item]],0),MATCH(Calc_TUV_Net_1[[#This Row],[Decision ref]:[Decision ref]],Input_ForRateCalc[#Headers],0)),"-")</f>
        <v>-</v>
      </c>
    </row>
    <row r="162" spans="3:15" hidden="1" outlineLevel="1" x14ac:dyDescent="0.25">
      <c r="C162" s="59" t="s">
        <v>524</v>
      </c>
      <c r="D162" s="82" t="str">
        <f>Calc_TU_values!$D$5</f>
        <v>VDO 2022-23 - Draft</v>
      </c>
      <c r="E162" s="23" t="s">
        <v>586</v>
      </c>
      <c r="F162" s="82" t="str">
        <f>INDEX(Inputs!$H$10:$U$10,1,MATCH($D162,Inputs!$H$8:$U$8,0))</f>
        <v>D-NextVDO_Input</v>
      </c>
      <c r="G162" s="58"/>
      <c r="H162" s="23" t="s">
        <v>130</v>
      </c>
      <c r="I162" s="23" t="s">
        <v>165</v>
      </c>
      <c r="J162" s="59" t="s">
        <v>93</v>
      </c>
      <c r="K162" s="66" t="str" cm="1">
        <f t="array" ref="K162">IFERROR(INDEX(Input_ForRateCalc[],MATCH($C162&amp;" - "&amp;K$103,Input_ForRateCalc[[Cost item]:[Cost item]],0),MATCH(Calc_TUV_Net_1[[#This Row],[Decision ref]:[Decision ref]],Input_ForRateCalc[#Headers],0)),"-")</f>
        <v>-</v>
      </c>
      <c r="L162" s="66" cm="1">
        <f t="array" ref="L162">IFERROR(INDEX(Input_ForRateCalc[],MATCH($C162&amp;" - "&amp;L$103,Input_ForRateCalc[[Cost item]:[Cost item]],0),MATCH(Calc_TUV_Net_1[[#This Row],[Decision ref]:[Decision ref]],Input_ForRateCalc[#Headers],0)),"-")</f>
        <v>8.2100000000000009</v>
      </c>
      <c r="M162" s="66" cm="1">
        <f t="array" ref="M162">IFERROR(INDEX(Input_ForRateCalc[],MATCH($C162&amp;" - "&amp;M$103,Input_ForRateCalc[[Cost item]:[Cost item]],0),MATCH(Calc_TUV_Net_1[[#This Row],[Decision ref]:[Decision ref]],Input_ForRateCalc[#Headers],0)),"-")</f>
        <v>10.973000000000001</v>
      </c>
      <c r="N162" s="66" cm="1">
        <f t="array" ref="N162">IFERROR(INDEX(Input_ForRateCalc[],MATCH($C162&amp;" - "&amp;N$103,Input_ForRateCalc[[Cost item]:[Cost item]],0),MATCH(Calc_TUV_Net_1[[#This Row],[Decision ref]:[Decision ref]],Input_ForRateCalc[#Headers],0)),"-")</f>
        <v>9.2899999999999991</v>
      </c>
      <c r="O162" s="66" cm="1">
        <f t="array" ref="O162">IFERROR(INDEX(Input_ForRateCalc[],MATCH($C162&amp;" - "&amp;O$103,Input_ForRateCalc[[Cost item]:[Cost item]],0),MATCH(Calc_TUV_Net_1[[#This Row],[Decision ref]:[Decision ref]],Input_ForRateCalc[#Headers],0)),"-")</f>
        <v>8.7899999999999991</v>
      </c>
    </row>
    <row r="163" spans="3:15" hidden="1" outlineLevel="1" x14ac:dyDescent="0.25">
      <c r="C163" s="59" t="s">
        <v>318</v>
      </c>
      <c r="D163" s="82" t="str">
        <f>Calc_TU_values!$D$5</f>
        <v>VDO 2022-23 - Draft</v>
      </c>
      <c r="E163" s="23" t="s">
        <v>586</v>
      </c>
      <c r="F163" s="82" t="str">
        <f>INDEX(Inputs!$H$10:$U$10,1,MATCH($D163,Inputs!$H$8:$U$8,0))</f>
        <v>D-NextVDO_Input</v>
      </c>
      <c r="G163" s="58"/>
      <c r="H163" s="23" t="s">
        <v>130</v>
      </c>
      <c r="I163" s="23" t="s">
        <v>109</v>
      </c>
      <c r="J163" s="59" t="s">
        <v>93</v>
      </c>
      <c r="K163" s="67">
        <f>SUM(
IFERROR(K160/100*SUMIFS(INDEX(TUNet_Usage_PerRate_1[],0,MATCH(K$103,TUNet_Usage_PerRate_1[#Headers],0)),TUNet_Usage_PerRate_1[Customer type],Calc_TUV_Net_1[[#This Row],[Customer type]],TUNet_Usage_PerRate_1[Description],"Usage per customer - Block 1"),0),
IFERROR(K161/100*SUMIFS(INDEX(TUNet_Usage_PerRate_1[],0,MATCH(K$103,TUNet_Usage_PerRate_1[#Headers],0)),TUNet_Usage_PerRate_1[Customer type],Calc_TUV_Net_1[[#This Row],[Customer type]],TUNet_Usage_PerRate_1[Description],"Usage per customer - Balance"),0),
IFERROR(K162/100*SUMIFS(INDEX(TUNet_Usage_PerRate_1[],0,MATCH(K$103,TUNet_Usage_PerRate_1[#Headers],0)),TUNet_Usage_PerRate_1[Customer type],Calc_TUV_Net_1[[#This Row],[Customer type]],TUNet_Usage_PerRate_1[Description],"Usage per customer - Single rate"),0))</f>
        <v>0</v>
      </c>
      <c r="L163" s="67">
        <f>SUM(
IFERROR(L160/100*SUMIFS(INDEX(TUNet_Usage_PerRate_1[],0,MATCH(L$103,TUNet_Usage_PerRate_1[#Headers],0)),TUNet_Usage_PerRate_1[Customer type],Calc_TUV_Net_1[[#This Row],[Customer type]],TUNet_Usage_PerRate_1[Description],"Usage per customer - Block 1"),0),
IFERROR(L161/100*SUMIFS(INDEX(TUNet_Usage_PerRate_1[],0,MATCH(L$103,TUNet_Usage_PerRate_1[#Headers],0)),TUNet_Usage_PerRate_1[Customer type],Calc_TUV_Net_1[[#This Row],[Customer type]],TUNet_Usage_PerRate_1[Description],"Usage per customer - Balance"),0),
IFERROR(L162/100*SUMIFS(INDEX(TUNet_Usage_PerRate_1[],0,MATCH(L$103,TUNet_Usage_PerRate_1[#Headers],0)),TUNet_Usage_PerRate_1[Customer type],Calc_TUV_Net_1[[#This Row],[Customer type]],TUNet_Usage_PerRate_1[Description],"Usage per customer - Single rate"),0))</f>
        <v>0</v>
      </c>
      <c r="M163" s="67">
        <f>SUM(
IFERROR(M160/100*SUMIFS(INDEX(TUNet_Usage_PerRate_1[],0,MATCH(M$103,TUNet_Usage_PerRate_1[#Headers],0)),TUNet_Usage_PerRate_1[Customer type],Calc_TUV_Net_1[[#This Row],[Customer type]],TUNet_Usage_PerRate_1[Description],"Usage per customer - Block 1"),0),
IFERROR(M161/100*SUMIFS(INDEX(TUNet_Usage_PerRate_1[],0,MATCH(M$103,TUNet_Usage_PerRate_1[#Headers],0)),TUNet_Usage_PerRate_1[Customer type],Calc_TUV_Net_1[[#This Row],[Customer type]],TUNet_Usage_PerRate_1[Description],"Usage per customer - Balance"),0),
IFERROR(M162/100*SUMIFS(INDEX(TUNet_Usage_PerRate_1[],0,MATCH(M$103,TUNet_Usage_PerRate_1[#Headers],0)),TUNet_Usage_PerRate_1[Customer type],Calc_TUV_Net_1[[#This Row],[Customer type]],TUNet_Usage_PerRate_1[Description],"Usage per customer - Single rate"),0))</f>
        <v>0</v>
      </c>
      <c r="N163" s="67">
        <f>SUM(
IFERROR(N160/100*SUMIFS(INDEX(TUNet_Usage_PerRate_1[],0,MATCH(N$103,TUNet_Usage_PerRate_1[#Headers],0)),TUNet_Usage_PerRate_1[Customer type],Calc_TUV_Net_1[[#This Row],[Customer type]],TUNet_Usage_PerRate_1[Description],"Usage per customer - Block 1"),0),
IFERROR(N161/100*SUMIFS(INDEX(TUNet_Usage_PerRate_1[],0,MATCH(N$103,TUNet_Usage_PerRate_1[#Headers],0)),TUNet_Usage_PerRate_1[Customer type],Calc_TUV_Net_1[[#This Row],[Customer type]],TUNet_Usage_PerRate_1[Description],"Usage per customer - Balance"),0),
IFERROR(N162/100*SUMIFS(INDEX(TUNet_Usage_PerRate_1[],0,MATCH(N$103,TUNet_Usage_PerRate_1[#Headers],0)),TUNet_Usage_PerRate_1[Customer type],Calc_TUV_Net_1[[#This Row],[Customer type]],TUNet_Usage_PerRate_1[Description],"Usage per customer - Single rate"),0))</f>
        <v>0</v>
      </c>
      <c r="O163" s="67">
        <f>SUM(
IFERROR(O160/100*SUMIFS(INDEX(TUNet_Usage_PerRate_1[],0,MATCH(O$103,TUNet_Usage_PerRate_1[#Headers],0)),TUNet_Usage_PerRate_1[Customer type],Calc_TUV_Net_1[[#This Row],[Customer type]],TUNet_Usage_PerRate_1[Description],"Usage per customer - Block 1"),0),
IFERROR(O161/100*SUMIFS(INDEX(TUNet_Usage_PerRate_1[],0,MATCH(O$103,TUNet_Usage_PerRate_1[#Headers],0)),TUNet_Usage_PerRate_1[Customer type],Calc_TUV_Net_1[[#This Row],[Customer type]],TUNet_Usage_PerRate_1[Description],"Usage per customer - Balance"),0),
IFERROR(O162/100*SUMIFS(INDEX(TUNet_Usage_PerRate_1[],0,MATCH(O$103,TUNet_Usage_PerRate_1[#Headers],0)),TUNet_Usage_PerRate_1[Customer type],Calc_TUV_Net_1[[#This Row],[Customer type]],TUNet_Usage_PerRate_1[Description],"Usage per customer - Single rate"),0))</f>
        <v>0</v>
      </c>
    </row>
    <row r="164" spans="3:15" hidden="1" outlineLevel="1" x14ac:dyDescent="0.25">
      <c r="C164" s="59" t="s">
        <v>522</v>
      </c>
      <c r="D164" s="82" t="str">
        <f>INDEX(Input_DecisionActual[[Decision]:[Decision]],MATCH(Calc_TU_values!$D$5,Input_DecisionActual[[VDO period]:[VDO period]],0),1)</f>
        <v>VDO 2022 - Final</v>
      </c>
      <c r="E164" s="23" t="s">
        <v>587</v>
      </c>
      <c r="F164" s="82" t="str">
        <f>IF($D164="-","-",INDEX(Inputs!$H$10:$U$10,1,MATCH($D164,Inputs!$H$8:$U$8,0)))</f>
        <v>F-CurrentVDO_Input</v>
      </c>
      <c r="G164" s="58"/>
      <c r="H164" s="23" t="s">
        <v>130</v>
      </c>
      <c r="I164" s="23" t="s">
        <v>165</v>
      </c>
      <c r="J164" s="59" t="s">
        <v>93</v>
      </c>
      <c r="K164" s="66" cm="1">
        <f t="array" ref="K164">IFERROR(INDEX(Input_ForRateCalc[],MATCH($C164&amp;" - "&amp;K$103,Input_ForRateCalc[[Cost item]:[Cost item]],0),MATCH(Calc_TUV_Net_1[[#This Row],[Decision ref]:[Decision ref]],Input_ForRateCalc[#Headers],0)),"-")</f>
        <v>15.538600000000001</v>
      </c>
      <c r="L164" s="66" t="str" cm="1">
        <f t="array" ref="L164">IFERROR(INDEX(Input_ForRateCalc[],MATCH($C164&amp;" - "&amp;L$103,Input_ForRateCalc[[Cost item]:[Cost item]],0),MATCH(Calc_TUV_Net_1[[#This Row],[Decision ref]:[Decision ref]],Input_ForRateCalc[#Headers],0)),"-")</f>
        <v>-</v>
      </c>
      <c r="M164" s="66" t="str" cm="1">
        <f t="array" ref="M164">IFERROR(INDEX(Input_ForRateCalc[],MATCH($C164&amp;" - "&amp;M$103,Input_ForRateCalc[[Cost item]:[Cost item]],0),MATCH(Calc_TUV_Net_1[[#This Row],[Decision ref]:[Decision ref]],Input_ForRateCalc[#Headers],0)),"-")</f>
        <v>-</v>
      </c>
      <c r="N164" s="66" t="str" cm="1">
        <f t="array" ref="N164">IFERROR(INDEX(Input_ForRateCalc[],MATCH($C164&amp;" - "&amp;N$103,Input_ForRateCalc[[Cost item]:[Cost item]],0),MATCH(Calc_TUV_Net_1[[#This Row],[Decision ref]:[Decision ref]],Input_ForRateCalc[#Headers],0)),"-")</f>
        <v>-</v>
      </c>
      <c r="O164" s="66" t="str" cm="1">
        <f t="array" ref="O164">IFERROR(INDEX(Input_ForRateCalc[],MATCH($C164&amp;" - "&amp;O$103,Input_ForRateCalc[[Cost item]:[Cost item]],0),MATCH(Calc_TUV_Net_1[[#This Row],[Decision ref]:[Decision ref]],Input_ForRateCalc[#Headers],0)),"-")</f>
        <v>-</v>
      </c>
    </row>
    <row r="165" spans="3:15" hidden="1" outlineLevel="1" x14ac:dyDescent="0.25">
      <c r="C165" s="59" t="s">
        <v>523</v>
      </c>
      <c r="D165" s="82" t="str">
        <f>INDEX(Input_DecisionActual[[Decision]:[Decision]],MATCH(Calc_TU_values!$D$5,Input_DecisionActual[[VDO period]:[VDO period]],0),1)</f>
        <v>VDO 2022 - Final</v>
      </c>
      <c r="E165" s="23" t="s">
        <v>587</v>
      </c>
      <c r="F165" s="82" t="str">
        <f>IF($D165="-","-",INDEX(Inputs!$H$10:$U$10,1,MATCH($D165,Inputs!$H$8:$U$8,0)))</f>
        <v>F-CurrentVDO_Input</v>
      </c>
      <c r="G165" s="58"/>
      <c r="H165" s="23" t="s">
        <v>130</v>
      </c>
      <c r="I165" s="23" t="s">
        <v>165</v>
      </c>
      <c r="J165" s="59" t="s">
        <v>93</v>
      </c>
      <c r="K165" s="66" cm="1">
        <f t="array" ref="K165">IFERROR(INDEX(Input_ForRateCalc[],MATCH($C165&amp;" - "&amp;K$103,Input_ForRateCalc[[Cost item]:[Cost item]],0),MATCH(Calc_TUV_Net_1[[#This Row],[Decision ref]:[Decision ref]],Input_ForRateCalc[#Headers],0)),"-")</f>
        <v>18.2667</v>
      </c>
      <c r="L165" s="66" t="str" cm="1">
        <f t="array" ref="L165">IFERROR(INDEX(Input_ForRateCalc[],MATCH($C165&amp;" - "&amp;L$103,Input_ForRateCalc[[Cost item]:[Cost item]],0),MATCH(Calc_TUV_Net_1[[#This Row],[Decision ref]:[Decision ref]],Input_ForRateCalc[#Headers],0)),"-")</f>
        <v>-</v>
      </c>
      <c r="M165" s="66" t="str" cm="1">
        <f t="array" ref="M165">IFERROR(INDEX(Input_ForRateCalc[],MATCH($C165&amp;" - "&amp;M$103,Input_ForRateCalc[[Cost item]:[Cost item]],0),MATCH(Calc_TUV_Net_1[[#This Row],[Decision ref]:[Decision ref]],Input_ForRateCalc[#Headers],0)),"-")</f>
        <v>-</v>
      </c>
      <c r="N165" s="66" t="str" cm="1">
        <f t="array" ref="N165">IFERROR(INDEX(Input_ForRateCalc[],MATCH($C165&amp;" - "&amp;N$103,Input_ForRateCalc[[Cost item]:[Cost item]],0),MATCH(Calc_TUV_Net_1[[#This Row],[Decision ref]:[Decision ref]],Input_ForRateCalc[#Headers],0)),"-")</f>
        <v>-</v>
      </c>
      <c r="O165" s="66" t="str" cm="1">
        <f t="array" ref="O165">IFERROR(INDEX(Input_ForRateCalc[],MATCH($C165&amp;" - "&amp;O$103,Input_ForRateCalc[[Cost item]:[Cost item]],0),MATCH(Calc_TUV_Net_1[[#This Row],[Decision ref]:[Decision ref]],Input_ForRateCalc[#Headers],0)),"-")</f>
        <v>-</v>
      </c>
    </row>
    <row r="166" spans="3:15" hidden="1" outlineLevel="1" x14ac:dyDescent="0.25">
      <c r="C166" s="59" t="s">
        <v>524</v>
      </c>
      <c r="D166" s="82" t="str">
        <f>INDEX(Input_DecisionActual[[Decision]:[Decision]],MATCH(Calc_TU_values!$D$5,Input_DecisionActual[[VDO period]:[VDO period]],0),1)</f>
        <v>VDO 2022 - Final</v>
      </c>
      <c r="E166" s="23" t="s">
        <v>587</v>
      </c>
      <c r="F166" s="82" t="str">
        <f>IF($D166="-","-",INDEX(Inputs!$H$10:$U$10,1,MATCH($D166,Inputs!$H$8:$U$8,0)))</f>
        <v>F-CurrentVDO_Input</v>
      </c>
      <c r="G166" s="58"/>
      <c r="H166" s="23" t="s">
        <v>130</v>
      </c>
      <c r="I166" s="23" t="s">
        <v>165</v>
      </c>
      <c r="J166" s="59" t="s">
        <v>93</v>
      </c>
      <c r="K166" s="66" t="str" cm="1">
        <f t="array" ref="K166">IFERROR(INDEX(Input_ForRateCalc[],MATCH($C166&amp;" - "&amp;K$103,Input_ForRateCalc[[Cost item]:[Cost item]],0),MATCH(Calc_TUV_Net_1[[#This Row],[Decision ref]:[Decision ref]],Input_ForRateCalc[#Headers],0)),"-")</f>
        <v>-</v>
      </c>
      <c r="L166" s="66" cm="1">
        <f t="array" ref="L166">IFERROR(INDEX(Input_ForRateCalc[],MATCH($C166&amp;" - "&amp;L$103,Input_ForRateCalc[[Cost item]:[Cost item]],0),MATCH(Calc_TUV_Net_1[[#This Row],[Decision ref]:[Decision ref]],Input_ForRateCalc[#Headers],0)),"-")</f>
        <v>8.2100000000000009</v>
      </c>
      <c r="M166" s="66" cm="1">
        <f t="array" ref="M166">IFERROR(INDEX(Input_ForRateCalc[],MATCH($C166&amp;" - "&amp;M$103,Input_ForRateCalc[[Cost item]:[Cost item]],0),MATCH(Calc_TUV_Net_1[[#This Row],[Decision ref]:[Decision ref]],Input_ForRateCalc[#Headers],0)),"-")</f>
        <v>10.973000000000001</v>
      </c>
      <c r="N166" s="66" cm="1">
        <f t="array" ref="N166">IFERROR(INDEX(Input_ForRateCalc[],MATCH($C166&amp;" - "&amp;N$103,Input_ForRateCalc[[Cost item]:[Cost item]],0),MATCH(Calc_TUV_Net_1[[#This Row],[Decision ref]:[Decision ref]],Input_ForRateCalc[#Headers],0)),"-")</f>
        <v>9.2899999999999991</v>
      </c>
      <c r="O166" s="66" cm="1">
        <f t="array" ref="O166">IFERROR(INDEX(Input_ForRateCalc[],MATCH($C166&amp;" - "&amp;O$103,Input_ForRateCalc[[Cost item]:[Cost item]],0),MATCH(Calc_TUV_Net_1[[#This Row],[Decision ref]:[Decision ref]],Input_ForRateCalc[#Headers],0)),"-")</f>
        <v>8.7899999999999991</v>
      </c>
    </row>
    <row r="167" spans="3:15" hidden="1" outlineLevel="1" x14ac:dyDescent="0.25">
      <c r="C167" s="59" t="s">
        <v>318</v>
      </c>
      <c r="D167" s="82" t="str">
        <f>INDEX(Input_DecisionActual[[Decision]:[Decision]],MATCH(Calc_TU_values!$D$5,Input_DecisionActual[[VDO period]:[VDO period]],0),1)</f>
        <v>VDO 2022 - Final</v>
      </c>
      <c r="E167" s="23" t="s">
        <v>587</v>
      </c>
      <c r="F167" s="82" t="str">
        <f>IF($D167="-","-",INDEX(Inputs!$H$10:$U$10,1,MATCH($D167,Inputs!$H$8:$U$8,0)))</f>
        <v>F-CurrentVDO_Input</v>
      </c>
      <c r="G167" s="58"/>
      <c r="H167" s="23" t="s">
        <v>130</v>
      </c>
      <c r="I167" s="23" t="s">
        <v>109</v>
      </c>
      <c r="J167" s="59" t="s">
        <v>93</v>
      </c>
      <c r="K167" s="67">
        <f>SUM(
IFERROR(K164/100*SUMIFS(INDEX(TUNet_Usage_PerRate_1[],0,MATCH(K$103,TUNet_Usage_PerRate_1[#Headers],0)),TUNet_Usage_PerRate_1[Customer type],Calc_TUV_Net_1[[#This Row],[Customer type]],TUNet_Usage_PerRate_1[Description],"Usage per customer - Block 1"),0),
IFERROR(K165/100*SUMIFS(INDEX(TUNet_Usage_PerRate_1[],0,MATCH(K$103,TUNet_Usage_PerRate_1[#Headers],0)),TUNet_Usage_PerRate_1[Customer type],Calc_TUV_Net_1[[#This Row],[Customer type]],TUNet_Usage_PerRate_1[Description],"Usage per customer - Balance"),0),
IFERROR(K166/100*SUMIFS(INDEX(TUNet_Usage_PerRate_1[],0,MATCH(K$103,TUNet_Usage_PerRate_1[#Headers],0)),TUNet_Usage_PerRate_1[Customer type],Calc_TUV_Net_1[[#This Row],[Customer type]],TUNet_Usage_PerRate_1[Description],"Usage per customer - Single rate"),0))</f>
        <v>0</v>
      </c>
      <c r="L167" s="67">
        <f>SUM(
IFERROR(L164/100*SUMIFS(INDEX(TUNet_Usage_PerRate_1[],0,MATCH(L$103,TUNet_Usage_PerRate_1[#Headers],0)),TUNet_Usage_PerRate_1[Customer type],Calc_TUV_Net_1[[#This Row],[Customer type]],TUNet_Usage_PerRate_1[Description],"Usage per customer - Block 1"),0),
IFERROR(L165/100*SUMIFS(INDEX(TUNet_Usage_PerRate_1[],0,MATCH(L$103,TUNet_Usage_PerRate_1[#Headers],0)),TUNet_Usage_PerRate_1[Customer type],Calc_TUV_Net_1[[#This Row],[Customer type]],TUNet_Usage_PerRate_1[Description],"Usage per customer - Balance"),0),
IFERROR(L166/100*SUMIFS(INDEX(TUNet_Usage_PerRate_1[],0,MATCH(L$103,TUNet_Usage_PerRate_1[#Headers],0)),TUNet_Usage_PerRate_1[Customer type],Calc_TUV_Net_1[[#This Row],[Customer type]],TUNet_Usage_PerRate_1[Description],"Usage per customer - Single rate"),0))</f>
        <v>0</v>
      </c>
      <c r="M167" s="67">
        <f>SUM(
IFERROR(M164/100*SUMIFS(INDEX(TUNet_Usage_PerRate_1[],0,MATCH(M$103,TUNet_Usage_PerRate_1[#Headers],0)),TUNet_Usage_PerRate_1[Customer type],Calc_TUV_Net_1[[#This Row],[Customer type]],TUNet_Usage_PerRate_1[Description],"Usage per customer - Block 1"),0),
IFERROR(M165/100*SUMIFS(INDEX(TUNet_Usage_PerRate_1[],0,MATCH(M$103,TUNet_Usage_PerRate_1[#Headers],0)),TUNet_Usage_PerRate_1[Customer type],Calc_TUV_Net_1[[#This Row],[Customer type]],TUNet_Usage_PerRate_1[Description],"Usage per customer - Balance"),0),
IFERROR(M166/100*SUMIFS(INDEX(TUNet_Usage_PerRate_1[],0,MATCH(M$103,TUNet_Usage_PerRate_1[#Headers],0)),TUNet_Usage_PerRate_1[Customer type],Calc_TUV_Net_1[[#This Row],[Customer type]],TUNet_Usage_PerRate_1[Description],"Usage per customer - Single rate"),0))</f>
        <v>0</v>
      </c>
      <c r="N167" s="67">
        <f>SUM(
IFERROR(N164/100*SUMIFS(INDEX(TUNet_Usage_PerRate_1[],0,MATCH(N$103,TUNet_Usage_PerRate_1[#Headers],0)),TUNet_Usage_PerRate_1[Customer type],Calc_TUV_Net_1[[#This Row],[Customer type]],TUNet_Usage_PerRate_1[Description],"Usage per customer - Block 1"),0),
IFERROR(N165/100*SUMIFS(INDEX(TUNet_Usage_PerRate_1[],0,MATCH(N$103,TUNet_Usage_PerRate_1[#Headers],0)),TUNet_Usage_PerRate_1[Customer type],Calc_TUV_Net_1[[#This Row],[Customer type]],TUNet_Usage_PerRate_1[Description],"Usage per customer - Balance"),0),
IFERROR(N166/100*SUMIFS(INDEX(TUNet_Usage_PerRate_1[],0,MATCH(N$103,TUNet_Usage_PerRate_1[#Headers],0)),TUNet_Usage_PerRate_1[Customer type],Calc_TUV_Net_1[[#This Row],[Customer type]],TUNet_Usage_PerRate_1[Description],"Usage per customer - Single rate"),0))</f>
        <v>0</v>
      </c>
      <c r="O167" s="67">
        <f>SUM(
IFERROR(O164/100*SUMIFS(INDEX(TUNet_Usage_PerRate_1[],0,MATCH(O$103,TUNet_Usage_PerRate_1[#Headers],0)),TUNet_Usage_PerRate_1[Customer type],Calc_TUV_Net_1[[#This Row],[Customer type]],TUNet_Usage_PerRate_1[Description],"Usage per customer - Block 1"),0),
IFERROR(O165/100*SUMIFS(INDEX(TUNet_Usage_PerRate_1[],0,MATCH(O$103,TUNet_Usage_PerRate_1[#Headers],0)),TUNet_Usage_PerRate_1[Customer type],Calc_TUV_Net_1[[#This Row],[Customer type]],TUNet_Usage_PerRate_1[Description],"Usage per customer - Balance"),0),
IFERROR(O166/100*SUMIFS(INDEX(TUNet_Usage_PerRate_1[],0,MATCH(O$103,TUNet_Usage_PerRate_1[#Headers],0)),TUNet_Usage_PerRate_1[Customer type],Calc_TUV_Net_1[[#This Row],[Customer type]],TUNet_Usage_PerRate_1[Description],"Usage per customer - Single rate"),0))</f>
        <v>0</v>
      </c>
    </row>
    <row r="168" spans="3:15" hidden="1" outlineLevel="1" x14ac:dyDescent="0.25">
      <c r="C168" s="59" t="s">
        <v>319</v>
      </c>
      <c r="D168" s="23"/>
      <c r="E168" s="23"/>
      <c r="F168" s="23"/>
      <c r="G168" s="59"/>
      <c r="H168" s="23" t="s">
        <v>130</v>
      </c>
      <c r="I168" s="23" t="s">
        <v>109</v>
      </c>
      <c r="J168" s="59" t="s">
        <v>93</v>
      </c>
      <c r="K168" s="65" t="str">
        <f>IF(K167=0,"-",K163-K167)</f>
        <v>-</v>
      </c>
      <c r="L168" s="65" t="str">
        <f t="shared" ref="L168:O168" si="49">IF(L167=0,"-",L163-L167)</f>
        <v>-</v>
      </c>
      <c r="M168" s="65" t="str">
        <f t="shared" si="49"/>
        <v>-</v>
      </c>
      <c r="N168" s="65" t="str">
        <f t="shared" si="49"/>
        <v>-</v>
      </c>
      <c r="O168" s="65" t="str">
        <f t="shared" si="49"/>
        <v>-</v>
      </c>
    </row>
    <row r="169" spans="3:15" hidden="1" outlineLevel="1" x14ac:dyDescent="0.25">
      <c r="C169" s="59" t="s">
        <v>442</v>
      </c>
      <c r="D169" s="23"/>
      <c r="E169" s="23"/>
      <c r="F169" s="23"/>
      <c r="G169" s="59"/>
      <c r="H169" s="23" t="s">
        <v>130</v>
      </c>
      <c r="I169" s="23" t="s">
        <v>109</v>
      </c>
      <c r="J169" s="59" t="s">
        <v>93</v>
      </c>
      <c r="K169" s="66" t="str">
        <f>IFERROR(IF($D$11="Yes",K168*(1+WACC_adj_1),""),"-")</f>
        <v/>
      </c>
      <c r="L169" s="66" t="str">
        <f>IFERROR(IF($D$11="Yes",L168*(1+WACC_adj_1),""),"-")</f>
        <v/>
      </c>
      <c r="M169" s="66" t="str">
        <f>IFERROR(IF($D$11="Yes",M168*(1+WACC_adj_1),""),"-")</f>
        <v/>
      </c>
      <c r="N169" s="66" t="str">
        <f>IFERROR(IF($D$11="Yes",N168*(1+WACC_adj_1),""),"-")</f>
        <v/>
      </c>
      <c r="O169" s="66" t="str">
        <f>IFERROR(IF($D$11="Yes",O168*(1+WACC_adj_1),""),"-")</f>
        <v/>
      </c>
    </row>
    <row r="170" spans="3:15" hidden="1" outlineLevel="1" x14ac:dyDescent="0.25">
      <c r="C170" s="59" t="s">
        <v>321</v>
      </c>
      <c r="D170" s="82" t="str">
        <f>INDEX(Input_DecisionActual[[Decision]:[Decision]],MATCH(Calc_TU_values!$D$5,Input_DecisionActual[[VDO period]:[VDO period]],0),1)</f>
        <v>VDO 2022 - Final</v>
      </c>
      <c r="E170" s="23" t="s">
        <v>587</v>
      </c>
      <c r="F170" s="82" t="str">
        <f>IF($D170="-","-",INDEX(Inputs!$H$10:$U$10,1,MATCH($D170,Inputs!$H$8:$U$8,0)))</f>
        <v>F-CurrentVDO_Input</v>
      </c>
      <c r="G170" s="59"/>
      <c r="H170" s="23" t="s">
        <v>130</v>
      </c>
      <c r="I170" s="23" t="s">
        <v>109</v>
      </c>
      <c r="J170" s="59" t="s">
        <v>93</v>
      </c>
      <c r="K170" s="66" cm="1">
        <f t="array" ref="K170">IFERROR(SUM(K168:K169)*(INDEX(Inputs!$H$11:$U$128,MATCH("Retail operating margin",Input_ForRateCalc[[Cost item]:[Cost item]],0),MATCH(Calc_TUV_Net_1[[#This Row],[Decision ref]:[Decision ref]],Inputs!$H$10:$U$10,0))),"-")</f>
        <v>0</v>
      </c>
      <c r="L170" s="66" cm="1">
        <f t="array" ref="L170">IFERROR(SUM(L168:L169)*(INDEX(Inputs!$H$11:$U$128,MATCH("Retail operating margin",Input_ForRateCalc[[Cost item]:[Cost item]],0),MATCH(Calc_TUV_Net_1[[#This Row],[Decision ref]:[Decision ref]],Inputs!$H$10:$U$10,0))),"-")</f>
        <v>0</v>
      </c>
      <c r="M170" s="66" cm="1">
        <f t="array" ref="M170">IFERROR(SUM(M168:M169)*(INDEX(Inputs!$H$11:$U$128,MATCH("Retail operating margin",Input_ForRateCalc[[Cost item]:[Cost item]],0),MATCH(Calc_TUV_Net_1[[#This Row],[Decision ref]:[Decision ref]],Inputs!$H$10:$U$10,0))),"-")</f>
        <v>0</v>
      </c>
      <c r="N170" s="66" cm="1">
        <f t="array" ref="N170">IFERROR(SUM(N168:N169)*(INDEX(Inputs!$H$11:$U$128,MATCH("Retail operating margin",Input_ForRateCalc[[Cost item]:[Cost item]],0),MATCH(Calc_TUV_Net_1[[#This Row],[Decision ref]:[Decision ref]],Inputs!$H$10:$U$10,0))),"-")</f>
        <v>0</v>
      </c>
      <c r="O170" s="66" cm="1">
        <f t="array" ref="O170">IFERROR(SUM(O168:O169)*(INDEX(Inputs!$H$11:$U$128,MATCH("Retail operating margin",Input_ForRateCalc[[Cost item]:[Cost item]],0),MATCH(Calc_TUV_Net_1[[#This Row],[Decision ref]:[Decision ref]],Inputs!$H$10:$U$10,0))),"-")</f>
        <v>0</v>
      </c>
    </row>
    <row r="171" spans="3:15" hidden="1" outlineLevel="1" x14ac:dyDescent="0.25">
      <c r="C171" s="59" t="s">
        <v>443</v>
      </c>
      <c r="D171" s="23"/>
      <c r="E171" s="23"/>
      <c r="F171" s="23"/>
      <c r="G171" s="59"/>
      <c r="H171" s="23" t="s">
        <v>130</v>
      </c>
      <c r="I171" s="23" t="s">
        <v>109</v>
      </c>
      <c r="J171" s="59" t="s">
        <v>93</v>
      </c>
      <c r="K171" s="66" t="str">
        <f>IF(K167=0,"-",SUM(K168:K170)*GST)</f>
        <v>-</v>
      </c>
      <c r="L171" s="66" t="str">
        <f>IF(L167=0,"-",SUM(L168:L170)*GST)</f>
        <v>-</v>
      </c>
      <c r="M171" s="66" t="str">
        <f>IF(M167=0,"-",SUM(M168:M170)*GST)</f>
        <v>-</v>
      </c>
      <c r="N171" s="66" t="str">
        <f>IF(N167=0,"-",SUM(N168:N170)*GST)</f>
        <v>-</v>
      </c>
      <c r="O171" s="66" t="str">
        <f>IF(O167=0,"-",SUM(O168:O170)*GST)</f>
        <v>-</v>
      </c>
    </row>
    <row r="172" spans="3:15" hidden="1" outlineLevel="1" x14ac:dyDescent="0.25">
      <c r="C172" s="59" t="s">
        <v>536</v>
      </c>
      <c r="D172" s="116"/>
      <c r="E172" s="116"/>
      <c r="F172" s="116"/>
      <c r="H172" s="23" t="s">
        <v>130</v>
      </c>
      <c r="I172" s="23" t="s">
        <v>109</v>
      </c>
      <c r="J172" s="59" t="s">
        <v>93</v>
      </c>
      <c r="K172" s="66" t="str">
        <f>IF(K167=0,"-",SUM(K168:K171))</f>
        <v>-</v>
      </c>
      <c r="L172" s="66" t="str">
        <f t="shared" ref="L172:O172" si="50">IF(L167=0,"-",SUM(L168:L171))</f>
        <v>-</v>
      </c>
      <c r="M172" s="66" t="str">
        <f t="shared" si="50"/>
        <v>-</v>
      </c>
      <c r="N172" s="66" t="str">
        <f t="shared" si="50"/>
        <v>-</v>
      </c>
      <c r="O172" s="66" t="str">
        <f t="shared" si="50"/>
        <v>-</v>
      </c>
    </row>
    <row r="173" spans="3:15" hidden="1" outlineLevel="1" x14ac:dyDescent="0.25">
      <c r="C173" s="57"/>
      <c r="D173" s="57"/>
      <c r="E173" s="57"/>
      <c r="F173" s="57"/>
      <c r="G173" s="68"/>
      <c r="H173" s="68"/>
      <c r="I173" s="23"/>
      <c r="J173" s="23"/>
      <c r="K173" s="65"/>
      <c r="L173" s="23"/>
      <c r="M173" s="23"/>
      <c r="N173" s="23"/>
      <c r="O173" s="23"/>
    </row>
    <row r="174" spans="3:15" hidden="1" outlineLevel="1" x14ac:dyDescent="0.25">
      <c r="C174" s="57"/>
      <c r="D174" s="57"/>
      <c r="E174" s="57"/>
      <c r="F174" s="57"/>
      <c r="G174" s="68"/>
      <c r="H174" s="68"/>
      <c r="I174" s="23"/>
      <c r="J174" s="23"/>
      <c r="K174" s="65"/>
      <c r="L174" s="23"/>
      <c r="M174" s="23"/>
      <c r="N174" s="23"/>
      <c r="O174" s="23"/>
    </row>
    <row r="175" spans="3:15" ht="15.75" hidden="1" outlineLevel="1" x14ac:dyDescent="0.25">
      <c r="C175" s="1" t="s">
        <v>527</v>
      </c>
      <c r="D175" s="59"/>
      <c r="E175" s="59"/>
      <c r="F175" s="59"/>
      <c r="G175" s="68" t="s">
        <v>317</v>
      </c>
      <c r="H175" s="59"/>
      <c r="I175" s="23"/>
      <c r="J175" s="23"/>
      <c r="K175" s="65"/>
      <c r="L175" s="23"/>
      <c r="M175" s="23"/>
      <c r="N175" s="23"/>
      <c r="O175" s="23"/>
    </row>
    <row r="176" spans="3:15" hidden="1" outlineLevel="1" x14ac:dyDescent="0.25">
      <c r="C176" s="57" t="s">
        <v>543</v>
      </c>
      <c r="D176" s="57"/>
      <c r="E176" s="57"/>
      <c r="F176" s="57"/>
      <c r="G176" s="68"/>
      <c r="H176" s="68"/>
      <c r="I176" s="23"/>
      <c r="J176" s="23"/>
      <c r="K176" s="65"/>
      <c r="L176" s="23"/>
      <c r="M176" s="23"/>
      <c r="N176" s="23"/>
      <c r="O176" s="23"/>
    </row>
    <row r="177" spans="3:15" hidden="1" outlineLevel="1" x14ac:dyDescent="0.25">
      <c r="C177" s="59" t="s">
        <v>529</v>
      </c>
      <c r="D177" s="82" t="str">
        <f>Calc_TU_values!$D$5</f>
        <v>VDO 2022-23 - Draft</v>
      </c>
      <c r="E177" s="23" t="s">
        <v>586</v>
      </c>
      <c r="F177" s="82" t="str">
        <f>INDEX(Inputs!$H$10:$U$10,1,MATCH($D177,Inputs!$H$8:$U$8,0))</f>
        <v>D-NextVDO_Input</v>
      </c>
      <c r="G177" s="58"/>
      <c r="H177" s="23" t="s">
        <v>108</v>
      </c>
      <c r="I177" s="23" t="s">
        <v>109</v>
      </c>
      <c r="J177" s="59" t="s">
        <v>92</v>
      </c>
      <c r="K177" s="66" cm="1">
        <f t="array" ref="K177">IFERROR(INDEX(Input_ForRateCalc[],MATCH($C177&amp;" - "&amp;K$103,Input_ForRateCalc[[Cost item]:[Cost item]],0),MATCH(Calc_TUV_Net_1[[#This Row],[Decision ref]:[Decision ref]],Input_ForRateCalc[#Headers],0)),"-")*TUProp_Days_1</f>
        <v>0</v>
      </c>
      <c r="L177" s="66" cm="1">
        <f t="array" ref="L177">IFERROR(INDEX(Input_ForRateCalc[],MATCH($C177&amp;" - "&amp;L$103,Input_ForRateCalc[[Cost item]:[Cost item]],0),MATCH(Calc_TUV_Net_1[[#This Row],[Decision ref]:[Decision ref]],Input_ForRateCalc[#Headers],0)),"-")*TUProp_Days_1</f>
        <v>0</v>
      </c>
      <c r="M177" s="66" cm="1">
        <f t="array" ref="M177">IFERROR(INDEX(Input_ForRateCalc[],MATCH($C177&amp;" - "&amp;M$103,Input_ForRateCalc[[Cost item]:[Cost item]],0),MATCH(Calc_TUV_Net_1[[#This Row],[Decision ref]:[Decision ref]],Input_ForRateCalc[#Headers],0)),"-")*TUProp_Days_1</f>
        <v>0</v>
      </c>
      <c r="N177" s="66" cm="1">
        <f t="array" ref="N177">IFERROR(INDEX(Input_ForRateCalc[],MATCH($C177&amp;" - "&amp;N$103,Input_ForRateCalc[[Cost item]:[Cost item]],0),MATCH(Calc_TUV_Net_1[[#This Row],[Decision ref]:[Decision ref]],Input_ForRateCalc[#Headers],0)),"-")*TUProp_Days_1</f>
        <v>0</v>
      </c>
      <c r="O177" s="66" cm="1">
        <f t="array" ref="O177">IFERROR(INDEX(Input_ForRateCalc[],MATCH($C177&amp;" - "&amp;O$103,Input_ForRateCalc[[Cost item]:[Cost item]],0),MATCH(Calc_TUV_Net_1[[#This Row],[Decision ref]:[Decision ref]],Input_ForRateCalc[#Headers],0)),"-")*TUProp_Days_1</f>
        <v>0</v>
      </c>
    </row>
    <row r="178" spans="3:15" hidden="1" outlineLevel="1" x14ac:dyDescent="0.25">
      <c r="C178" s="59" t="s">
        <v>275</v>
      </c>
      <c r="D178" s="82" t="str">
        <f>Calc_TU_values!$D$5</f>
        <v>VDO 2022-23 - Draft</v>
      </c>
      <c r="E178" s="23" t="s">
        <v>586</v>
      </c>
      <c r="F178" s="82" t="str">
        <f>INDEX(Inputs!$H$10:$U$10,1,MATCH($D178,Inputs!$H$8:$U$8,0))</f>
        <v>D-NextVDO_Input</v>
      </c>
      <c r="G178" s="58"/>
      <c r="H178" s="23" t="s">
        <v>108</v>
      </c>
      <c r="I178" s="23" t="s">
        <v>109</v>
      </c>
      <c r="J178" s="59" t="s">
        <v>92</v>
      </c>
      <c r="K178" s="66" cm="1">
        <f t="array" ref="K178">IFERROR(INDEX(Input_ForRateCalc[],MATCH($C178&amp;" - "&amp;K$103,Input_ForRateCalc[[Cost item]:[Cost item]],0),MATCH(Calc_TUV_Net_1[[#This Row],[Decision ref]:[Decision ref]],Input_ForRateCalc[#Headers],0)),"-")*TUProp_Days_1</f>
        <v>0</v>
      </c>
      <c r="L178" s="66" cm="1">
        <f t="array" ref="L178">IFERROR(INDEX(Input_ForRateCalc[],MATCH($C178&amp;" - "&amp;L$103,Input_ForRateCalc[[Cost item]:[Cost item]],0),MATCH(Calc_TUV_Net_1[[#This Row],[Decision ref]:[Decision ref]],Input_ForRateCalc[#Headers],0)),"-")*TUProp_Days_1</f>
        <v>0</v>
      </c>
      <c r="M178" s="66" cm="1">
        <f t="array" ref="M178">IFERROR(INDEX(Input_ForRateCalc[],MATCH($C178&amp;" - "&amp;M$103,Input_ForRateCalc[[Cost item]:[Cost item]],0),MATCH(Calc_TUV_Net_1[[#This Row],[Decision ref]:[Decision ref]],Input_ForRateCalc[#Headers],0)),"-")*TUProp_Days_1</f>
        <v>0</v>
      </c>
      <c r="N178" s="66" cm="1">
        <f t="array" ref="N178">IFERROR(INDEX(Input_ForRateCalc[],MATCH($C178&amp;" - "&amp;N$103,Input_ForRateCalc[[Cost item]:[Cost item]],0),MATCH(Calc_TUV_Net_1[[#This Row],[Decision ref]:[Decision ref]],Input_ForRateCalc[#Headers],0)),"-")*TUProp_Days_1</f>
        <v>0</v>
      </c>
      <c r="O178" s="66" cm="1">
        <f t="array" ref="O178">IFERROR(INDEX(Input_ForRateCalc[],MATCH($C178&amp;" - "&amp;O$103,Input_ForRateCalc[[Cost item]:[Cost item]],0),MATCH(Calc_TUV_Net_1[[#This Row],[Decision ref]:[Decision ref]],Input_ForRateCalc[#Headers],0)),"-")*TUProp_Days_1</f>
        <v>0</v>
      </c>
    </row>
    <row r="179" spans="3:15" hidden="1" outlineLevel="1" x14ac:dyDescent="0.25">
      <c r="C179" s="59" t="s">
        <v>318</v>
      </c>
      <c r="D179" s="82" t="str">
        <f>Calc_TU_values!$D$5</f>
        <v>VDO 2022-23 - Draft</v>
      </c>
      <c r="E179" s="23" t="s">
        <v>586</v>
      </c>
      <c r="F179" s="82" t="str">
        <f>INDEX(Inputs!$H$10:$U$10,1,MATCH($D179,Inputs!$H$8:$U$8,0))</f>
        <v>D-NextVDO_Input</v>
      </c>
      <c r="G179" s="58"/>
      <c r="H179" s="23" t="s">
        <v>108</v>
      </c>
      <c r="I179" s="23" t="s">
        <v>109</v>
      </c>
      <c r="J179" s="59" t="s">
        <v>92</v>
      </c>
      <c r="K179" s="64">
        <f>IFERROR(SUM(K177:K178),"-")</f>
        <v>0</v>
      </c>
      <c r="L179" s="64">
        <f>IFERROR(SUM(L177:L178),"-")</f>
        <v>0</v>
      </c>
      <c r="M179" s="64">
        <f>IFERROR(SUM(M177:M178),"-")</f>
        <v>0</v>
      </c>
      <c r="N179" s="64">
        <f>IFERROR(SUM(N177:N178),"-")</f>
        <v>0</v>
      </c>
      <c r="O179" s="64">
        <f>IFERROR(SUM(O177:O178),"-")</f>
        <v>0</v>
      </c>
    </row>
    <row r="180" spans="3:15" hidden="1" outlineLevel="1" x14ac:dyDescent="0.25">
      <c r="C180" s="59" t="s">
        <v>514</v>
      </c>
      <c r="D180" s="82" t="str">
        <f>INDEX(Input_DecisionActual[[Decision]:[Decision]],MATCH(Calc_TU_values!$D$5,Input_DecisionActual[[VDO period]:[VDO period]],0),1)</f>
        <v>VDO 2022 - Final</v>
      </c>
      <c r="E180" s="23" t="s">
        <v>587</v>
      </c>
      <c r="F180" s="82" t="str">
        <f>IF($D180="-","-",INDEX(Inputs!$H$10:$U$10,1,MATCH($D180,Inputs!$H$8:$U$8,0)))</f>
        <v>F-CurrentVDO_Input</v>
      </c>
      <c r="G180" s="58"/>
      <c r="H180" s="23" t="s">
        <v>108</v>
      </c>
      <c r="I180" s="23" t="s">
        <v>109</v>
      </c>
      <c r="J180" s="59" t="s">
        <v>92</v>
      </c>
      <c r="K180" s="66" cm="1">
        <f t="array" ref="K180">IFERROR(INDEX(Input_ForRateCalc[],MATCH($C180&amp;" - "&amp;K$103,Input_ForRateCalc[[Cost item]:[Cost item]],0),MATCH(Calc_TUV_Net_1[[#This Row],[Decision ref]:[Decision ref]],Input_ForRateCalc[#Headers],0)),"-")*TUProp_Days_1</f>
        <v>0</v>
      </c>
      <c r="L180" s="66" cm="1">
        <f t="array" ref="L180">IFERROR(INDEX(Input_ForRateCalc[],MATCH($C180&amp;" - "&amp;L$103,Input_ForRateCalc[[Cost item]:[Cost item]],0),MATCH(Calc_TUV_Net_1[[#This Row],[Decision ref]:[Decision ref]],Input_ForRateCalc[#Headers],0)),"-")*TUProp_Days_1</f>
        <v>0</v>
      </c>
      <c r="M180" s="66" cm="1">
        <f t="array" ref="M180">IFERROR(INDEX(Input_ForRateCalc[],MATCH($C180&amp;" - "&amp;M$103,Input_ForRateCalc[[Cost item]:[Cost item]],0),MATCH(Calc_TUV_Net_1[[#This Row],[Decision ref]:[Decision ref]],Input_ForRateCalc[#Headers],0)),"-")*TUProp_Days_1</f>
        <v>0</v>
      </c>
      <c r="N180" s="66" cm="1">
        <f t="array" ref="N180">IFERROR(INDEX(Input_ForRateCalc[],MATCH($C180&amp;" - "&amp;N$103,Input_ForRateCalc[[Cost item]:[Cost item]],0),MATCH(Calc_TUV_Net_1[[#This Row],[Decision ref]:[Decision ref]],Input_ForRateCalc[#Headers],0)),"-")*TUProp_Days_1</f>
        <v>0</v>
      </c>
      <c r="O180" s="66" cm="1">
        <f t="array" ref="O180">IFERROR(INDEX(Input_ForRateCalc[],MATCH($C180&amp;" - "&amp;O$103,Input_ForRateCalc[[Cost item]:[Cost item]],0),MATCH(Calc_TUV_Net_1[[#This Row],[Decision ref]:[Decision ref]],Input_ForRateCalc[#Headers],0)),"-")*TUProp_Days_1</f>
        <v>0</v>
      </c>
    </row>
    <row r="181" spans="3:15" hidden="1" outlineLevel="1" x14ac:dyDescent="0.25">
      <c r="C181" s="59" t="s">
        <v>275</v>
      </c>
      <c r="D181" s="82" t="str">
        <f>INDEX(Input_DecisionActual[[Decision]:[Decision]],MATCH(Calc_TU_values!$D$5,Input_DecisionActual[[VDO period]:[VDO period]],0),1)</f>
        <v>VDO 2022 - Final</v>
      </c>
      <c r="E181" s="23" t="s">
        <v>587</v>
      </c>
      <c r="F181" s="82" t="str">
        <f>IF($D181="-","-",INDEX(Inputs!$H$10:$U$10,1,MATCH($D181,Inputs!$H$8:$U$8,0)))</f>
        <v>F-CurrentVDO_Input</v>
      </c>
      <c r="G181" s="58"/>
      <c r="H181" s="23" t="s">
        <v>108</v>
      </c>
      <c r="I181" s="23" t="s">
        <v>109</v>
      </c>
      <c r="J181" s="59" t="s">
        <v>92</v>
      </c>
      <c r="K181" s="66" cm="1">
        <f t="array" ref="K181">IFERROR(INDEX(Input_ForRateCalc[],MATCH($C181&amp;" - "&amp;K$103,Input_ForRateCalc[[Cost item]:[Cost item]],0),MATCH(Calc_TUV_Net_1[[#This Row],[Decision ref]:[Decision ref]],Input_ForRateCalc[#Headers],0)),"-")*TUProp_Days_1</f>
        <v>0</v>
      </c>
      <c r="L181" s="66" cm="1">
        <f t="array" ref="L181">IFERROR(INDEX(Input_ForRateCalc[],MATCH($C181&amp;" - "&amp;L$103,Input_ForRateCalc[[Cost item]:[Cost item]],0),MATCH(Calc_TUV_Net_1[[#This Row],[Decision ref]:[Decision ref]],Input_ForRateCalc[#Headers],0)),"-")*TUProp_Days_1</f>
        <v>0</v>
      </c>
      <c r="M181" s="66" cm="1">
        <f t="array" ref="M181">IFERROR(INDEX(Input_ForRateCalc[],MATCH($C181&amp;" - "&amp;M$103,Input_ForRateCalc[[Cost item]:[Cost item]],0),MATCH(Calc_TUV_Net_1[[#This Row],[Decision ref]:[Decision ref]],Input_ForRateCalc[#Headers],0)),"-")*TUProp_Days_1</f>
        <v>0</v>
      </c>
      <c r="N181" s="66" cm="1">
        <f t="array" ref="N181">IFERROR(INDEX(Input_ForRateCalc[],MATCH($C181&amp;" - "&amp;N$103,Input_ForRateCalc[[Cost item]:[Cost item]],0),MATCH(Calc_TUV_Net_1[[#This Row],[Decision ref]:[Decision ref]],Input_ForRateCalc[#Headers],0)),"-")*TUProp_Days_1</f>
        <v>0</v>
      </c>
      <c r="O181" s="66" cm="1">
        <f t="array" ref="O181">IFERROR(INDEX(Input_ForRateCalc[],MATCH($C181&amp;" - "&amp;O$103,Input_ForRateCalc[[Cost item]:[Cost item]],0),MATCH(Calc_TUV_Net_1[[#This Row],[Decision ref]:[Decision ref]],Input_ForRateCalc[#Headers],0)),"-")*TUProp_Days_1</f>
        <v>0</v>
      </c>
    </row>
    <row r="182" spans="3:15" hidden="1" outlineLevel="1" x14ac:dyDescent="0.25">
      <c r="C182" s="59" t="s">
        <v>318</v>
      </c>
      <c r="D182" s="82" t="str">
        <f>INDEX(Input_DecisionActual[[Decision]:[Decision]],MATCH(Calc_TU_values!$D$5,Input_DecisionActual[[VDO period]:[VDO period]],0),1)</f>
        <v>VDO 2022 - Final</v>
      </c>
      <c r="E182" s="23" t="s">
        <v>587</v>
      </c>
      <c r="F182" s="82" t="str">
        <f>IF($D182="-","-",INDEX(Inputs!$H$10:$U$10,1,MATCH($D182,Inputs!$H$8:$U$8,0)))</f>
        <v>F-CurrentVDO_Input</v>
      </c>
      <c r="G182" s="58"/>
      <c r="H182" s="23" t="s">
        <v>108</v>
      </c>
      <c r="I182" s="23" t="s">
        <v>109</v>
      </c>
      <c r="J182" s="59" t="s">
        <v>92</v>
      </c>
      <c r="K182" s="65">
        <f>SUM(K180:K181)</f>
        <v>0</v>
      </c>
      <c r="L182" s="65">
        <f>SUM(L180:L181)</f>
        <v>0</v>
      </c>
      <c r="M182" s="65">
        <f>SUM(M180:M181)</f>
        <v>0</v>
      </c>
      <c r="N182" s="65">
        <f>SUM(N180:N181)</f>
        <v>0</v>
      </c>
      <c r="O182" s="65">
        <f>SUM(O180:O181)</f>
        <v>0</v>
      </c>
    </row>
    <row r="183" spans="3:15" hidden="1" outlineLevel="1" x14ac:dyDescent="0.25">
      <c r="C183" s="59" t="s">
        <v>319</v>
      </c>
      <c r="D183" s="23"/>
      <c r="E183" s="23"/>
      <c r="F183" s="23"/>
      <c r="G183" s="59"/>
      <c r="H183" s="23" t="s">
        <v>108</v>
      </c>
      <c r="I183" s="23" t="s">
        <v>109</v>
      </c>
      <c r="J183" s="59" t="s">
        <v>92</v>
      </c>
      <c r="K183" s="65" t="str">
        <f>IF(K182=0,"-",K179-K182)</f>
        <v>-</v>
      </c>
      <c r="L183" s="65" t="str">
        <f t="shared" ref="L183:O183" si="51">IF(L182=0,"-",L179-L182)</f>
        <v>-</v>
      </c>
      <c r="M183" s="65" t="str">
        <f t="shared" si="51"/>
        <v>-</v>
      </c>
      <c r="N183" s="65" t="str">
        <f t="shared" si="51"/>
        <v>-</v>
      </c>
      <c r="O183" s="65" t="str">
        <f t="shared" si="51"/>
        <v>-</v>
      </c>
    </row>
    <row r="184" spans="3:15" hidden="1" outlineLevel="1" x14ac:dyDescent="0.25">
      <c r="C184" s="59" t="s">
        <v>442</v>
      </c>
      <c r="D184" s="23"/>
      <c r="E184" s="23"/>
      <c r="F184" s="23"/>
      <c r="G184" s="59"/>
      <c r="H184" s="23" t="s">
        <v>108</v>
      </c>
      <c r="I184" s="23" t="s">
        <v>109</v>
      </c>
      <c r="J184" s="59" t="s">
        <v>92</v>
      </c>
      <c r="K184" s="66" t="str">
        <f>IFERROR(IF($D$11="Yes",K183*(1+WACC_adj_1),""),"-")</f>
        <v/>
      </c>
      <c r="L184" s="66" t="str">
        <f>IFERROR(IF($D$11="Yes",L183*(1+WACC_adj_1),""),"-")</f>
        <v/>
      </c>
      <c r="M184" s="66" t="str">
        <f>IFERROR(IF($D$11="Yes",M183*(1+WACC_adj_1),""),"-")</f>
        <v/>
      </c>
      <c r="N184" s="66" t="str">
        <f>IFERROR(IF($D$11="Yes",N183*(1+WACC_adj_1),""),"-")</f>
        <v/>
      </c>
      <c r="O184" s="66" t="str">
        <f>IFERROR(IF($D$11="Yes",O183*(1+WACC_adj_1),""),"-")</f>
        <v/>
      </c>
    </row>
    <row r="185" spans="3:15" hidden="1" outlineLevel="1" x14ac:dyDescent="0.25">
      <c r="C185" s="59" t="s">
        <v>321</v>
      </c>
      <c r="D185" s="82" t="str">
        <f>INDEX(Input_DecisionActual[[Decision]:[Decision]],MATCH(Calc_TU_values!$D$5,Input_DecisionActual[[VDO period]:[VDO period]],0),1)</f>
        <v>VDO 2022 - Final</v>
      </c>
      <c r="E185" s="23" t="s">
        <v>587</v>
      </c>
      <c r="F185" s="82" t="str">
        <f>IF($D185="-","-",INDEX(Inputs!$H$10:$U$10,1,MATCH($D185,Inputs!$H$8:$U$8,0)))</f>
        <v>F-CurrentVDO_Input</v>
      </c>
      <c r="G185" s="59"/>
      <c r="H185" s="23" t="s">
        <v>108</v>
      </c>
      <c r="I185" s="23" t="s">
        <v>109</v>
      </c>
      <c r="J185" s="59" t="s">
        <v>92</v>
      </c>
      <c r="K185" s="66" cm="1">
        <f t="array" ref="K185">IFERROR(SUM(K183:K184)*(INDEX(Inputs!$H$11:$U$128,MATCH("Retail operating margin",Input_ForRateCalc[[Cost item]:[Cost item]],0),MATCH(Calc_TUV_Net_1[[#This Row],[Decision ref]:[Decision ref]],Inputs!$H$10:$U$10,0))),"-")</f>
        <v>0</v>
      </c>
      <c r="L185" s="66" cm="1">
        <f t="array" ref="L185">IFERROR(SUM(L183:L184)*(INDEX(Inputs!$H$11:$U$128,MATCH("Retail operating margin",Input_ForRateCalc[[Cost item]:[Cost item]],0),MATCH(Calc_TUV_Net_1[[#This Row],[Decision ref]:[Decision ref]],Inputs!$H$10:$U$10,0))),"-")</f>
        <v>0</v>
      </c>
      <c r="M185" s="66" cm="1">
        <f t="array" ref="M185">IFERROR(SUM(M183:M184)*(INDEX(Inputs!$H$11:$U$128,MATCH("Retail operating margin",Input_ForRateCalc[[Cost item]:[Cost item]],0),MATCH(Calc_TUV_Net_1[[#This Row],[Decision ref]:[Decision ref]],Inputs!$H$10:$U$10,0))),"-")</f>
        <v>0</v>
      </c>
      <c r="N185" s="66" cm="1">
        <f t="array" ref="N185">IFERROR(SUM(N183:N184)*(INDEX(Inputs!$H$11:$U$128,MATCH("Retail operating margin",Input_ForRateCalc[[Cost item]:[Cost item]],0),MATCH(Calc_TUV_Net_1[[#This Row],[Decision ref]:[Decision ref]],Inputs!$H$10:$U$10,0))),"-")</f>
        <v>0</v>
      </c>
      <c r="O185" s="66" cm="1">
        <f t="array" ref="O185">IFERROR(SUM(O183:O184)*(INDEX(Inputs!$H$11:$U$128,MATCH("Retail operating margin",Input_ForRateCalc[[Cost item]:[Cost item]],0),MATCH(Calc_TUV_Net_1[[#This Row],[Decision ref]:[Decision ref]],Inputs!$H$10:$U$10,0))),"-")</f>
        <v>0</v>
      </c>
    </row>
    <row r="186" spans="3:15" hidden="1" outlineLevel="1" x14ac:dyDescent="0.25">
      <c r="C186" s="59" t="s">
        <v>443</v>
      </c>
      <c r="D186" s="23"/>
      <c r="E186" s="23"/>
      <c r="F186" s="23"/>
      <c r="G186" s="59"/>
      <c r="H186" s="23" t="s">
        <v>108</v>
      </c>
      <c r="I186" s="23" t="s">
        <v>109</v>
      </c>
      <c r="J186" s="59" t="s">
        <v>92</v>
      </c>
      <c r="K186" s="66" t="str">
        <f>IF(K182=0,"-",SUM(K183:K185)*GST)</f>
        <v>-</v>
      </c>
      <c r="L186" s="66" t="str">
        <f>IF(L182=0,"-",SUM(L183:L185)*GST)</f>
        <v>-</v>
      </c>
      <c r="M186" s="66" t="str">
        <f>IF(M182=0,"-",SUM(M183:M185)*GST)</f>
        <v>-</v>
      </c>
      <c r="N186" s="66" t="str">
        <f>IF(N182=0,"-",SUM(N183:N185)*GST)</f>
        <v>-</v>
      </c>
      <c r="O186" s="66" t="str">
        <f>IF(O182=0,"-",SUM(O183:O185)*GST)</f>
        <v>-</v>
      </c>
    </row>
    <row r="187" spans="3:15" hidden="1" outlineLevel="1" x14ac:dyDescent="0.25">
      <c r="C187" s="23" t="s">
        <v>537</v>
      </c>
      <c r="D187" s="23"/>
      <c r="E187" s="23"/>
      <c r="F187" s="23"/>
      <c r="G187" s="59"/>
      <c r="H187" s="23" t="s">
        <v>108</v>
      </c>
      <c r="I187" s="23" t="s">
        <v>109</v>
      </c>
      <c r="J187" s="59" t="s">
        <v>92</v>
      </c>
      <c r="K187" s="66" t="str">
        <f>IF(K182=0,"-",SUM(K183:K186))</f>
        <v>-</v>
      </c>
      <c r="L187" s="66" t="str">
        <f>IF(L182=0,"-",SUM(L183:L186))</f>
        <v>-</v>
      </c>
      <c r="M187" s="66" t="str">
        <f>IF(M182=0,"-",SUM(M183:M186))</f>
        <v>-</v>
      </c>
      <c r="N187" s="66" t="str">
        <f>IF(N182=0,"-",SUM(N183:N186))</f>
        <v>-</v>
      </c>
      <c r="O187" s="66" t="str">
        <f>IF(O182=0,"-",SUM(O183:O186))</f>
        <v>-</v>
      </c>
    </row>
    <row r="188" spans="3:15" hidden="1" outlineLevel="1" x14ac:dyDescent="0.25">
      <c r="C188" s="59"/>
      <c r="D188" s="59"/>
      <c r="E188" s="59"/>
      <c r="F188" s="59"/>
      <c r="H188" s="59"/>
      <c r="I188" s="23"/>
      <c r="J188" s="23"/>
      <c r="K188" s="129"/>
      <c r="L188" s="129"/>
      <c r="M188" s="129"/>
      <c r="N188" s="129"/>
      <c r="O188" s="129"/>
    </row>
    <row r="189" spans="3:15" hidden="1" outlineLevel="1" x14ac:dyDescent="0.25">
      <c r="C189" s="57" t="s">
        <v>544</v>
      </c>
      <c r="D189" s="59"/>
      <c r="E189" s="59"/>
      <c r="F189" s="59"/>
      <c r="G189" s="68"/>
      <c r="H189" s="59"/>
      <c r="I189" s="23"/>
      <c r="J189" s="23"/>
      <c r="K189" s="129"/>
      <c r="L189" s="129"/>
      <c r="M189" s="129"/>
      <c r="N189" s="129"/>
      <c r="O189" s="129"/>
    </row>
    <row r="190" spans="3:15" hidden="1" outlineLevel="1" x14ac:dyDescent="0.25">
      <c r="C190" s="59" t="s">
        <v>530</v>
      </c>
      <c r="D190" s="82" t="str">
        <f>Calc_TU_values!$D$5</f>
        <v>VDO 2022-23 - Draft</v>
      </c>
      <c r="E190" s="23" t="s">
        <v>586</v>
      </c>
      <c r="F190" s="82" t="str">
        <f>INDEX(Inputs!$H$10:$U$10,1,MATCH($D190,Inputs!$H$8:$U$8,0))</f>
        <v>D-NextVDO_Input</v>
      </c>
      <c r="G190" s="59"/>
      <c r="H190" s="23" t="s">
        <v>130</v>
      </c>
      <c r="I190" s="23" t="s">
        <v>165</v>
      </c>
      <c r="J190" s="59" t="s">
        <v>92</v>
      </c>
      <c r="K190" s="66" cm="1">
        <f t="array" ref="K190">IFERROR(INDEX(Input_ForRateCalc[],MATCH($C190&amp;" - "&amp;K$103,Input_ForRateCalc[[Cost item]:[Cost item]],0),MATCH(Calc_TUV_Net_1[[#This Row],[Decision ref]:[Decision ref]],Input_ForRateCalc[#Headers],0)),"-")</f>
        <v>20.853200000000001</v>
      </c>
      <c r="L190" s="66" cm="1">
        <f t="array" ref="L190">IFERROR(INDEX(Input_ForRateCalc[],MATCH($C190&amp;" - "&amp;L$103,Input_ForRateCalc[[Cost item]:[Cost item]],0),MATCH(Calc_TUV_Net_1[[#This Row],[Decision ref]:[Decision ref]],Input_ForRateCalc[#Headers],0)),"-")</f>
        <v>15.94</v>
      </c>
      <c r="M190" s="66" cm="1">
        <f t="array" ref="M190">IFERROR(INDEX(Input_ForRateCalc[],MATCH($C190&amp;" - "&amp;M$103,Input_ForRateCalc[[Cost item]:[Cost item]],0),MATCH(Calc_TUV_Net_1[[#This Row],[Decision ref]:[Decision ref]],Input_ForRateCalc[#Headers],0)),"-")</f>
        <v>13.492000000000001</v>
      </c>
      <c r="N190" s="66" cm="1">
        <f t="array" ref="N190">IFERROR(INDEX(Input_ForRateCalc[],MATCH($C190&amp;" - "&amp;N$103,Input_ForRateCalc[[Cost item]:[Cost item]],0),MATCH(Calc_TUV_Net_1[[#This Row],[Decision ref]:[Decision ref]],Input_ForRateCalc[#Headers],0)),"-")</f>
        <v>15.87</v>
      </c>
      <c r="O190" s="66" cm="1">
        <f t="array" ref="O190">IFERROR(INDEX(Input_ForRateCalc[],MATCH($C190&amp;" - "&amp;O$103,Input_ForRateCalc[[Cost item]:[Cost item]],0),MATCH(Calc_TUV_Net_1[[#This Row],[Decision ref]:[Decision ref]],Input_ForRateCalc[#Headers],0)),"-")</f>
        <v>15.79</v>
      </c>
    </row>
    <row r="191" spans="3:15" hidden="1" outlineLevel="1" x14ac:dyDescent="0.25">
      <c r="C191" s="59" t="s">
        <v>531</v>
      </c>
      <c r="D191" s="82" t="str">
        <f>Calc_TU_values!$D$5</f>
        <v>VDO 2022-23 - Draft</v>
      </c>
      <c r="E191" s="23" t="s">
        <v>586</v>
      </c>
      <c r="F191" s="82" t="str">
        <f>INDEX(Inputs!$H$10:$U$10,1,MATCH($D191,Inputs!$H$8:$U$8,0))</f>
        <v>D-NextVDO_Input</v>
      </c>
      <c r="G191" s="68"/>
      <c r="H191" s="23" t="s">
        <v>130</v>
      </c>
      <c r="I191" s="23" t="s">
        <v>165</v>
      </c>
      <c r="J191" s="59" t="s">
        <v>92</v>
      </c>
      <c r="K191" s="66" cm="1">
        <f t="array" ref="K191">IFERROR(INDEX(Input_ForRateCalc[],MATCH($C191&amp;" - "&amp;K$103,Input_ForRateCalc[[Cost item]:[Cost item]],0),MATCH(Calc_TUV_Net_1[[#This Row],[Decision ref]:[Decision ref]],Input_ForRateCalc[#Headers],0)),"-")</f>
        <v>4.3418999999999999</v>
      </c>
      <c r="L191" s="66" cm="1">
        <f t="array" ref="L191">IFERROR(INDEX(Input_ForRateCalc[],MATCH($C191&amp;" - "&amp;L$103,Input_ForRateCalc[[Cost item]:[Cost item]],0),MATCH(Calc_TUV_Net_1[[#This Row],[Decision ref]:[Decision ref]],Input_ForRateCalc[#Headers],0)),"-")</f>
        <v>3.98</v>
      </c>
      <c r="M191" s="66" cm="1">
        <f t="array" ref="M191">IFERROR(INDEX(Input_ForRateCalc[],MATCH($C191&amp;" - "&amp;M$103,Input_ForRateCalc[[Cost item]:[Cost item]],0),MATCH(Calc_TUV_Net_1[[#This Row],[Decision ref]:[Decision ref]],Input_ForRateCalc[#Headers],0)),"-")</f>
        <v>3.89</v>
      </c>
      <c r="N191" s="66" cm="1">
        <f t="array" ref="N191">IFERROR(INDEX(Input_ForRateCalc[],MATCH($C191&amp;" - "&amp;N$103,Input_ForRateCalc[[Cost item]:[Cost item]],0),MATCH(Calc_TUV_Net_1[[#This Row],[Decision ref]:[Decision ref]],Input_ForRateCalc[#Headers],0)),"-")</f>
        <v>3.96</v>
      </c>
      <c r="O191" s="66" cm="1">
        <f t="array" ref="O191">IFERROR(INDEX(Input_ForRateCalc[],MATCH($C191&amp;" - "&amp;O$103,Input_ForRateCalc[[Cost item]:[Cost item]],0),MATCH(Calc_TUV_Net_1[[#This Row],[Decision ref]:[Decision ref]],Input_ForRateCalc[#Headers],0)),"-")</f>
        <v>3.95</v>
      </c>
    </row>
    <row r="192" spans="3:15" hidden="1" outlineLevel="1" x14ac:dyDescent="0.25">
      <c r="C192" s="59" t="s">
        <v>318</v>
      </c>
      <c r="D192" s="82" t="str">
        <f>Calc_TU_values!$D$5</f>
        <v>VDO 2022-23 - Draft</v>
      </c>
      <c r="E192" s="23" t="s">
        <v>586</v>
      </c>
      <c r="F192" s="82" t="str">
        <f>INDEX(Inputs!$H$10:$U$10,1,MATCH($D192,Inputs!$H$8:$U$8,0))</f>
        <v>D-NextVDO_Input</v>
      </c>
      <c r="G192" s="58"/>
      <c r="H192" s="23" t="s">
        <v>130</v>
      </c>
      <c r="I192" s="23" t="s">
        <v>165</v>
      </c>
      <c r="J192" s="59" t="s">
        <v>92</v>
      </c>
      <c r="K192" s="67">
        <f>SUMIFS(TUNet_Usage_Actual_1[Value],TUNet_Usage_Actual_1[Customer type],Calc_TUV_Net_1[[#This Row],[Customer type]],TUNet_Usage_Actual_1[Description],"Usage per customer")*SUM(
IFERROR(K190/100*SUMIFS(Input_TUNet_Props[F-CurrentVDO_Input],Input_TUNet_Props[Customer type],Calc_TUV_Net_1[[#This Row],[Customer type]],Input_TUNet_Props[Usage type],"Peak"),0),
IFERROR(K191/100*SUMIFS(Input_TUNet_Props[F-CurrentVDO_Input],Input_TUNet_Props[Customer type],Calc_TUV_Net_1[[#This Row],[Customer type]],Input_TUNet_Props[Usage type],"Off peak"),0))</f>
        <v>0</v>
      </c>
      <c r="L192" s="67">
        <f>SUMIFS(TUNet_Usage_Actual_1[Value],TUNet_Usage_Actual_1[Customer type],Calc_TUV_Net_1[[#This Row],[Customer type]],TUNet_Usage_Actual_1[Description],"Usage per customer")*SUM(
IFERROR(L190/100*SUMIFS(Input_TUNet_Props[F-CurrentVDO_Input],Input_TUNet_Props[Customer type],Calc_TUV_Net_1[[#This Row],[Customer type]],Input_TUNet_Props[Usage type],"Peak"),0),
IFERROR(L191/100*SUMIFS(Input_TUNet_Props[F-CurrentVDO_Input],Input_TUNet_Props[Customer type],Calc_TUV_Net_1[[#This Row],[Customer type]],Input_TUNet_Props[Usage type],"Off peak"),0))</f>
        <v>0</v>
      </c>
      <c r="M192" s="67">
        <f>SUMIFS(TUNet_Usage_Actual_1[Value],TUNet_Usage_Actual_1[Customer type],Calc_TUV_Net_1[[#This Row],[Customer type]],TUNet_Usage_Actual_1[Description],"Usage per customer")*SUM(
IFERROR(M190/100*SUMIFS(Input_TUNet_Props[F-CurrentVDO_Input],Input_TUNet_Props[Customer type],Calc_TUV_Net_1[[#This Row],[Customer type]],Input_TUNet_Props[Usage type],"Peak"),0),
IFERROR(M191/100*SUMIFS(Input_TUNet_Props[F-CurrentVDO_Input],Input_TUNet_Props[Customer type],Calc_TUV_Net_1[[#This Row],[Customer type]],Input_TUNet_Props[Usage type],"Off peak"),0))</f>
        <v>0</v>
      </c>
      <c r="N192" s="67">
        <f>SUMIFS(TUNet_Usage_Actual_1[Value],TUNet_Usage_Actual_1[Customer type],Calc_TUV_Net_1[[#This Row],[Customer type]],TUNet_Usage_Actual_1[Description],"Usage per customer")*SUM(
IFERROR(N190/100*SUMIFS(Input_TUNet_Props[F-CurrentVDO_Input],Input_TUNet_Props[Customer type],Calc_TUV_Net_1[[#This Row],[Customer type]],Input_TUNet_Props[Usage type],"Peak"),0),
IFERROR(N191/100*SUMIFS(Input_TUNet_Props[F-CurrentVDO_Input],Input_TUNet_Props[Customer type],Calc_TUV_Net_1[[#This Row],[Customer type]],Input_TUNet_Props[Usage type],"Off peak"),0))</f>
        <v>0</v>
      </c>
      <c r="O192" s="67">
        <f>SUMIFS(TUNet_Usage_Actual_1[Value],TUNet_Usage_Actual_1[Customer type],Calc_TUV_Net_1[[#This Row],[Customer type]],TUNet_Usage_Actual_1[Description],"Usage per customer")*SUM(
IFERROR(O190/100*SUMIFS(Input_TUNet_Props[F-CurrentVDO_Input],Input_TUNet_Props[Customer type],Calc_TUV_Net_1[[#This Row],[Customer type]],Input_TUNet_Props[Usage type],"Peak"),0),
IFERROR(O191/100*SUMIFS(Input_TUNet_Props[F-CurrentVDO_Input],Input_TUNet_Props[Customer type],Calc_TUV_Net_1[[#This Row],[Customer type]],Input_TUNet_Props[Usage type],"Off peak"),0))</f>
        <v>0</v>
      </c>
    </row>
    <row r="193" spans="3:15" hidden="1" outlineLevel="1" x14ac:dyDescent="0.25">
      <c r="C193" s="59" t="s">
        <v>517</v>
      </c>
      <c r="D193" s="82" t="str">
        <f>INDEX(Input_DecisionActual[[Decision]:[Decision]],MATCH(Calc_TU_values!$D$5,Input_DecisionActual[[VDO period]:[VDO period]],0),1)</f>
        <v>VDO 2022 - Final</v>
      </c>
      <c r="E193" s="23" t="s">
        <v>587</v>
      </c>
      <c r="F193" s="82" t="str">
        <f>IF($D193="-","-",INDEX(Inputs!$H$10:$U$10,1,MATCH($D193,Inputs!$H$8:$U$8,0)))</f>
        <v>F-CurrentVDO_Input</v>
      </c>
      <c r="G193" s="58"/>
      <c r="H193" s="23" t="s">
        <v>130</v>
      </c>
      <c r="I193" s="23" t="s">
        <v>109</v>
      </c>
      <c r="J193" s="59" t="s">
        <v>92</v>
      </c>
      <c r="K193" s="66" cm="1">
        <f t="array" ref="K193">IFERROR(INDEX(Input_ForRateCalc[],MATCH($C193&amp;" - "&amp;K$103,Input_ForRateCalc[[Cost item]:[Cost item]],0),MATCH(Calc_TUV_Net_1[[#This Row],[Decision ref]:[Decision ref]],Input_ForRateCalc[#Headers],0)),"-")</f>
        <v>11.4503</v>
      </c>
      <c r="L193" s="66" t="str" cm="1">
        <f t="array" ref="L193">IFERROR(INDEX(Input_ForRateCalc[],MATCH($C193&amp;" - "&amp;L$103,Input_ForRateCalc[[Cost item]:[Cost item]],0),MATCH(Calc_TUV_Net_1[[#This Row],[Decision ref]:[Decision ref]],Input_ForRateCalc[#Headers],0)),"-")</f>
        <v>-</v>
      </c>
      <c r="M193" s="66" t="str" cm="1">
        <f t="array" ref="M193">IFERROR(INDEX(Input_ForRateCalc[],MATCH($C193&amp;" - "&amp;M$103,Input_ForRateCalc[[Cost item]:[Cost item]],0),MATCH(Calc_TUV_Net_1[[#This Row],[Decision ref]:[Decision ref]],Input_ForRateCalc[#Headers],0)),"-")</f>
        <v>-</v>
      </c>
      <c r="N193" s="66" t="str" cm="1">
        <f t="array" ref="N193">IFERROR(INDEX(Input_ForRateCalc[],MATCH($C193&amp;" - "&amp;N$103,Input_ForRateCalc[[Cost item]:[Cost item]],0),MATCH(Calc_TUV_Net_1[[#This Row],[Decision ref]:[Decision ref]],Input_ForRateCalc[#Headers],0)),"-")</f>
        <v>-</v>
      </c>
      <c r="O193" s="66" t="str" cm="1">
        <f t="array" ref="O193">IFERROR(INDEX(Input_ForRateCalc[],MATCH($C193&amp;" - "&amp;O$103,Input_ForRateCalc[[Cost item]:[Cost item]],0),MATCH(Calc_TUV_Net_1[[#This Row],[Decision ref]:[Decision ref]],Input_ForRateCalc[#Headers],0)),"-")</f>
        <v>-</v>
      </c>
    </row>
    <row r="194" spans="3:15" hidden="1" outlineLevel="1" x14ac:dyDescent="0.25">
      <c r="C194" s="59" t="s">
        <v>518</v>
      </c>
      <c r="D194" s="82" t="str">
        <f>INDEX(Input_DecisionActual[[Decision]:[Decision]],MATCH(Calc_TU_values!$D$5,Input_DecisionActual[[VDO period]:[VDO period]],0),1)</f>
        <v>VDO 2022 - Final</v>
      </c>
      <c r="E194" s="23" t="s">
        <v>587</v>
      </c>
      <c r="F194" s="82" t="str">
        <f>IF($D194="-","-",INDEX(Inputs!$H$10:$U$10,1,MATCH($D194,Inputs!$H$8:$U$8,0)))</f>
        <v>F-CurrentVDO_Input</v>
      </c>
      <c r="G194" s="58"/>
      <c r="H194" s="23" t="s">
        <v>130</v>
      </c>
      <c r="I194" s="23" t="s">
        <v>165</v>
      </c>
      <c r="J194" s="59" t="s">
        <v>92</v>
      </c>
      <c r="K194" s="66" cm="1">
        <f t="array" ref="K194">IFERROR(INDEX(Input_ForRateCalc[],MATCH($C194&amp;" - "&amp;K$103,Input_ForRateCalc[[Cost item]:[Cost item]],0),MATCH(Calc_TUV_Net_1[[#This Row],[Decision ref]:[Decision ref]],Input_ForRateCalc[#Headers],0)),"-")</f>
        <v>12.838200000000001</v>
      </c>
      <c r="L194" s="66" t="str" cm="1">
        <f t="array" ref="L194">IFERROR(INDEX(Input_ForRateCalc[],MATCH($C194&amp;" - "&amp;L$103,Input_ForRateCalc[[Cost item]:[Cost item]],0),MATCH(Calc_TUV_Net_1[[#This Row],[Decision ref]:[Decision ref]],Input_ForRateCalc[#Headers],0)),"-")</f>
        <v>-</v>
      </c>
      <c r="M194" s="66" t="str" cm="1">
        <f t="array" ref="M194">IFERROR(INDEX(Input_ForRateCalc[],MATCH($C194&amp;" - "&amp;M$103,Input_ForRateCalc[[Cost item]:[Cost item]],0),MATCH(Calc_TUV_Net_1[[#This Row],[Decision ref]:[Decision ref]],Input_ForRateCalc[#Headers],0)),"-")</f>
        <v>-</v>
      </c>
      <c r="N194" s="66" t="str" cm="1">
        <f t="array" ref="N194">IFERROR(INDEX(Input_ForRateCalc[],MATCH($C194&amp;" - "&amp;N$103,Input_ForRateCalc[[Cost item]:[Cost item]],0),MATCH(Calc_TUV_Net_1[[#This Row],[Decision ref]:[Decision ref]],Input_ForRateCalc[#Headers],0)),"-")</f>
        <v>-</v>
      </c>
      <c r="O194" s="66" t="str" cm="1">
        <f t="array" ref="O194">IFERROR(INDEX(Input_ForRateCalc[],MATCH($C194&amp;" - "&amp;O$103,Input_ForRateCalc[[Cost item]:[Cost item]],0),MATCH(Calc_TUV_Net_1[[#This Row],[Decision ref]:[Decision ref]],Input_ForRateCalc[#Headers],0)),"-")</f>
        <v>-</v>
      </c>
    </row>
    <row r="195" spans="3:15" hidden="1" outlineLevel="1" x14ac:dyDescent="0.25">
      <c r="C195" s="59" t="s">
        <v>519</v>
      </c>
      <c r="D195" s="82" t="str">
        <f>INDEX(Input_DecisionActual[[Decision]:[Decision]],MATCH(Calc_TU_values!$D$5,Input_DecisionActual[[VDO period]:[VDO period]],0),1)</f>
        <v>VDO 2022 - Final</v>
      </c>
      <c r="E195" s="23" t="s">
        <v>587</v>
      </c>
      <c r="F195" s="82" t="str">
        <f>IF($D195="-","-",INDEX(Inputs!$H$10:$U$10,1,MATCH($D195,Inputs!$H$8:$U$8,0)))</f>
        <v>F-CurrentVDO_Input</v>
      </c>
      <c r="G195" s="58"/>
      <c r="H195" s="23" t="s">
        <v>130</v>
      </c>
      <c r="I195" s="23" t="s">
        <v>165</v>
      </c>
      <c r="J195" s="59" t="s">
        <v>92</v>
      </c>
      <c r="K195" s="66" t="str" cm="1">
        <f t="array" ref="K195">IFERROR(INDEX(Input_ForRateCalc[],MATCH($C195&amp;" - "&amp;K$103,Input_ForRateCalc[[Cost item]:[Cost item]],0),MATCH(Calc_TUV_Net_1[[#This Row],[Decision ref]:[Decision ref]],Input_ForRateCalc[#Headers],0)),"-")</f>
        <v>-</v>
      </c>
      <c r="L195" s="66" cm="1">
        <f t="array" ref="L195">IFERROR(INDEX(Input_ForRateCalc[],MATCH($C195&amp;" - "&amp;L$103,Input_ForRateCalc[[Cost item]:[Cost item]],0),MATCH(Calc_TUV_Net_1[[#This Row],[Decision ref]:[Decision ref]],Input_ForRateCalc[#Headers],0)),"-")</f>
        <v>8.0500000000000007</v>
      </c>
      <c r="M195" s="66" cm="1">
        <f t="array" ref="M195">IFERROR(INDEX(Input_ForRateCalc[],MATCH($C195&amp;" - "&amp;M$103,Input_ForRateCalc[[Cost item]:[Cost item]],0),MATCH(Calc_TUV_Net_1[[#This Row],[Decision ref]:[Decision ref]],Input_ForRateCalc[#Headers],0)),"-")</f>
        <v>8.67</v>
      </c>
      <c r="N195" s="66" cm="1">
        <f t="array" ref="N195">IFERROR(INDEX(Input_ForRateCalc[],MATCH($C195&amp;" - "&amp;N$103,Input_ForRateCalc[[Cost item]:[Cost item]],0),MATCH(Calc_TUV_Net_1[[#This Row],[Decision ref]:[Decision ref]],Input_ForRateCalc[#Headers],0)),"-")</f>
        <v>8.15</v>
      </c>
      <c r="O195" s="66" cm="1">
        <f t="array" ref="O195">IFERROR(INDEX(Input_ForRateCalc[],MATCH($C195&amp;" - "&amp;O$103,Input_ForRateCalc[[Cost item]:[Cost item]],0),MATCH(Calc_TUV_Net_1[[#This Row],[Decision ref]:[Decision ref]],Input_ForRateCalc[#Headers],0)),"-")</f>
        <v>7.99</v>
      </c>
    </row>
    <row r="196" spans="3:15" hidden="1" outlineLevel="1" x14ac:dyDescent="0.25">
      <c r="C196" s="59" t="s">
        <v>318</v>
      </c>
      <c r="D196" s="82" t="str">
        <f>INDEX(Input_DecisionActual[[Decision]:[Decision]],MATCH(Calc_TU_values!$D$5,Input_DecisionActual[[VDO period]:[VDO period]],0),1)</f>
        <v>VDO 2022 - Final</v>
      </c>
      <c r="E196" s="23" t="s">
        <v>587</v>
      </c>
      <c r="F196" s="82" t="str">
        <f>IF($D196="-","-",INDEX(Inputs!$H$10:$U$10,1,MATCH($D196,Inputs!$H$8:$U$8,0)))</f>
        <v>F-CurrentVDO_Input</v>
      </c>
      <c r="G196" s="58"/>
      <c r="H196" s="23" t="s">
        <v>130</v>
      </c>
      <c r="I196" s="23" t="s">
        <v>165</v>
      </c>
      <c r="J196" s="59" t="s">
        <v>92</v>
      </c>
      <c r="K196" s="67">
        <f>SUMIFS(TUNet_Usage_Actual_1[Value],TUNet_Usage_Actual_1[Customer type],Calc_TUV_Net_1[[#This Row],[Customer type]],TUNet_Usage_Actual_1[Description],"Usage per customer")*SUM(
IFERROR(K193/100*SUMIFS(Input_TUNet_Props[F-CurrentVDO_Input],Input_TUNet_Props[Customer type],Calc_TUV_Net_1[[#This Row],[Customer type]],Input_TUNet_Props[Usage type],"Block 1"),0),
IFERROR(K194/100*SUMIFS(Input_TUNet_Props[F-CurrentVDO_Input],Input_TUNet_Props[Customer type],Calc_TUV_Net_1[[#This Row],[Customer type]],Input_TUNet_Props[Usage type],"Balance"),0),
IFERROR(K195/100*SUMIFS(Input_TUNet_Props[F-CurrentVDO_Input],Input_TUNet_Props[Customer type],Calc_TUV_Net_1[[#This Row],[Customer type]],Input_TUNet_Props[Usage type],"Single rate"),0))</f>
        <v>0</v>
      </c>
      <c r="L196" s="67">
        <f>SUMIFS(TUNet_Usage_Actual_1[Value],TUNet_Usage_Actual_1[Customer type],Calc_TUV_Net_1[[#This Row],[Customer type]],TUNet_Usage_Actual_1[Description],"Usage per customer")*SUM(
IFERROR(L193/100*SUMIFS(Input_TUNet_Props[F-CurrentVDO_Input],Input_TUNet_Props[Customer type],Calc_TUV_Net_1[[#This Row],[Customer type]],Input_TUNet_Props[Usage type],"Block 1"),0),
IFERROR(L194/100*SUMIFS(Input_TUNet_Props[F-CurrentVDO_Input],Input_TUNet_Props[Customer type],Calc_TUV_Net_1[[#This Row],[Customer type]],Input_TUNet_Props[Usage type],"Balance"),0),
IFERROR(L195/100*SUMIFS(Input_TUNet_Props[F-CurrentVDO_Input],Input_TUNet_Props[Customer type],Calc_TUV_Net_1[[#This Row],[Customer type]],Input_TUNet_Props[Usage type],"Single rate"),0))</f>
        <v>0</v>
      </c>
      <c r="M196" s="67">
        <f>SUMIFS(TUNet_Usage_Actual_1[Value],TUNet_Usage_Actual_1[Customer type],Calc_TUV_Net_1[[#This Row],[Customer type]],TUNet_Usage_Actual_1[Description],"Usage per customer")*SUM(
IFERROR(M193/100*SUMIFS(Input_TUNet_Props[F-CurrentVDO_Input],Input_TUNet_Props[Customer type],Calc_TUV_Net_1[[#This Row],[Customer type]],Input_TUNet_Props[Usage type],"Block 1"),0),
IFERROR(M194/100*SUMIFS(Input_TUNet_Props[F-CurrentVDO_Input],Input_TUNet_Props[Customer type],Calc_TUV_Net_1[[#This Row],[Customer type]],Input_TUNet_Props[Usage type],"Balance"),0),
IFERROR(M195/100*SUMIFS(Input_TUNet_Props[F-CurrentVDO_Input],Input_TUNet_Props[Customer type],Calc_TUV_Net_1[[#This Row],[Customer type]],Input_TUNet_Props[Usage type],"Single rate"),0))</f>
        <v>0</v>
      </c>
      <c r="N196" s="67">
        <f>SUMIFS(TUNet_Usage_Actual_1[Value],TUNet_Usage_Actual_1[Customer type],Calc_TUV_Net_1[[#This Row],[Customer type]],TUNet_Usage_Actual_1[Description],"Usage per customer")*SUM(
IFERROR(N193/100*SUMIFS(Input_TUNet_Props[F-CurrentVDO_Input],Input_TUNet_Props[Customer type],Calc_TUV_Net_1[[#This Row],[Customer type]],Input_TUNet_Props[Usage type],"Block 1"),0),
IFERROR(N194/100*SUMIFS(Input_TUNet_Props[F-CurrentVDO_Input],Input_TUNet_Props[Customer type],Calc_TUV_Net_1[[#This Row],[Customer type]],Input_TUNet_Props[Usage type],"Balance"),0),
IFERROR(N195/100*SUMIFS(Input_TUNet_Props[F-CurrentVDO_Input],Input_TUNet_Props[Customer type],Calc_TUV_Net_1[[#This Row],[Customer type]],Input_TUNet_Props[Usage type],"Single rate"),0))</f>
        <v>0</v>
      </c>
      <c r="O196" s="67">
        <f>SUMIFS(TUNet_Usage_Actual_1[Value],TUNet_Usage_Actual_1[Customer type],Calc_TUV_Net_1[[#This Row],[Customer type]],TUNet_Usage_Actual_1[Description],"Usage per customer")*SUM(
IFERROR(O193/100*SUMIFS(Input_TUNet_Props[F-CurrentVDO_Input],Input_TUNet_Props[Customer type],Calc_TUV_Net_1[[#This Row],[Customer type]],Input_TUNet_Props[Usage type],"Block 1"),0),
IFERROR(O194/100*SUMIFS(Input_TUNet_Props[F-CurrentVDO_Input],Input_TUNet_Props[Customer type],Calc_TUV_Net_1[[#This Row],[Customer type]],Input_TUNet_Props[Usage type],"Balance"),0),
IFERROR(O195/100*SUMIFS(Input_TUNet_Props[F-CurrentVDO_Input],Input_TUNet_Props[Customer type],Calc_TUV_Net_1[[#This Row],[Customer type]],Input_TUNet_Props[Usage type],"Single rate"),0))</f>
        <v>0</v>
      </c>
    </row>
    <row r="197" spans="3:15" hidden="1" outlineLevel="1" x14ac:dyDescent="0.25">
      <c r="C197" s="59" t="s">
        <v>319</v>
      </c>
      <c r="D197" s="59"/>
      <c r="E197" s="59"/>
      <c r="F197" s="59"/>
      <c r="G197" s="59"/>
      <c r="H197" s="23" t="s">
        <v>130</v>
      </c>
      <c r="I197" s="23" t="s">
        <v>109</v>
      </c>
      <c r="J197" s="59" t="s">
        <v>92</v>
      </c>
      <c r="K197" s="65" t="str">
        <f>IF(K196=0,"-",K192-K196)</f>
        <v>-</v>
      </c>
      <c r="L197" s="65" t="str">
        <f t="shared" ref="L197:O197" si="52">IF(L196=0,"-",L192-L196)</f>
        <v>-</v>
      </c>
      <c r="M197" s="65" t="str">
        <f t="shared" si="52"/>
        <v>-</v>
      </c>
      <c r="N197" s="65" t="str">
        <f t="shared" si="52"/>
        <v>-</v>
      </c>
      <c r="O197" s="65" t="str">
        <f t="shared" si="52"/>
        <v>-</v>
      </c>
    </row>
    <row r="198" spans="3:15" hidden="1" outlineLevel="1" x14ac:dyDescent="0.25">
      <c r="C198" s="59" t="s">
        <v>442</v>
      </c>
      <c r="D198" s="59"/>
      <c r="E198" s="59"/>
      <c r="F198" s="59"/>
      <c r="G198" s="59"/>
      <c r="H198" s="23" t="s">
        <v>130</v>
      </c>
      <c r="I198" s="23" t="s">
        <v>109</v>
      </c>
      <c r="J198" s="59" t="s">
        <v>92</v>
      </c>
      <c r="K198" s="66" t="str">
        <f>IFERROR(IF($D$11="Yes",K197*(1+WACC_adj_1),""),"-")</f>
        <v/>
      </c>
      <c r="L198" s="66" t="str">
        <f>IFERROR(IF($D$11="Yes",L197*(1+WACC_adj_1),""),"-")</f>
        <v/>
      </c>
      <c r="M198" s="66" t="str">
        <f>IFERROR(IF($D$11="Yes",M197*(1+WACC_adj_1),""),"-")</f>
        <v/>
      </c>
      <c r="N198" s="66" t="str">
        <f>IFERROR(IF($D$11="Yes",N197*(1+WACC_adj_1),""),"-")</f>
        <v/>
      </c>
      <c r="O198" s="66" t="str">
        <f>IFERROR(IF($D$11="Yes",O197*(1+WACC_adj_1),""),"-")</f>
        <v/>
      </c>
    </row>
    <row r="199" spans="3:15" hidden="1" outlineLevel="1" x14ac:dyDescent="0.25">
      <c r="C199" s="59" t="s">
        <v>321</v>
      </c>
      <c r="D199" s="82" t="str">
        <f>INDEX(Input_DecisionActual[[Decision]:[Decision]],MATCH(Calc_TU_values!$D$5,Input_DecisionActual[[VDO period]:[VDO period]],0),1)</f>
        <v>VDO 2022 - Final</v>
      </c>
      <c r="E199" s="23" t="s">
        <v>587</v>
      </c>
      <c r="F199" s="82" t="str">
        <f>IF($D199="-","-",INDEX(Inputs!$H$10:$U$10,1,MATCH($D199,Inputs!$H$8:$U$8,0)))</f>
        <v>F-CurrentVDO_Input</v>
      </c>
      <c r="G199" s="59"/>
      <c r="H199" s="23" t="s">
        <v>130</v>
      </c>
      <c r="I199" s="23" t="s">
        <v>109</v>
      </c>
      <c r="J199" s="59" t="s">
        <v>92</v>
      </c>
      <c r="K199" s="66" cm="1">
        <f t="array" ref="K199">IFERROR(SUM(K197:K198)*(INDEX(Inputs!$H$11:$U$128,MATCH("Retail operating margin",Input_ForRateCalc[[Cost item]:[Cost item]],0),MATCH(Calc_TUV_Net_1[[#This Row],[Decision ref]:[Decision ref]],Inputs!$H$10:$U$10,0))),"-")</f>
        <v>0</v>
      </c>
      <c r="L199" s="66" cm="1">
        <f t="array" ref="L199">IFERROR(SUM(L197:L198)*(INDEX(Inputs!$H$11:$U$128,MATCH("Retail operating margin",Input_ForRateCalc[[Cost item]:[Cost item]],0),MATCH(Calc_TUV_Net_1[[#This Row],[Decision ref]:[Decision ref]],Inputs!$H$10:$U$10,0))),"-")</f>
        <v>0</v>
      </c>
      <c r="M199" s="66" cm="1">
        <f t="array" ref="M199">IFERROR(SUM(M197:M198)*(INDEX(Inputs!$H$11:$U$128,MATCH("Retail operating margin",Input_ForRateCalc[[Cost item]:[Cost item]],0),MATCH(Calc_TUV_Net_1[[#This Row],[Decision ref]:[Decision ref]],Inputs!$H$10:$U$10,0))),"-")</f>
        <v>0</v>
      </c>
      <c r="N199" s="66" cm="1">
        <f t="array" ref="N199">IFERROR(SUM(N197:N198)*(INDEX(Inputs!$H$11:$U$128,MATCH("Retail operating margin",Input_ForRateCalc[[Cost item]:[Cost item]],0),MATCH(Calc_TUV_Net_1[[#This Row],[Decision ref]:[Decision ref]],Inputs!$H$10:$U$10,0))),"-")</f>
        <v>0</v>
      </c>
      <c r="O199" s="66" cm="1">
        <f t="array" ref="O199">IFERROR(SUM(O197:O198)*(INDEX(Inputs!$H$11:$U$128,MATCH("Retail operating margin",Input_ForRateCalc[[Cost item]:[Cost item]],0),MATCH(Calc_TUV_Net_1[[#This Row],[Decision ref]:[Decision ref]],Inputs!$H$10:$U$10,0))),"-")</f>
        <v>0</v>
      </c>
    </row>
    <row r="200" spans="3:15" hidden="1" outlineLevel="1" x14ac:dyDescent="0.25">
      <c r="C200" s="59" t="s">
        <v>443</v>
      </c>
      <c r="D200" s="59"/>
      <c r="E200" s="59"/>
      <c r="F200" s="59"/>
      <c r="G200" s="59"/>
      <c r="H200" s="23" t="s">
        <v>130</v>
      </c>
      <c r="I200" s="23" t="s">
        <v>109</v>
      </c>
      <c r="J200" s="59" t="s">
        <v>92</v>
      </c>
      <c r="K200" s="66" t="str">
        <f>IF(K196=0,"-",SUM(K197:K199)*GST)</f>
        <v>-</v>
      </c>
      <c r="L200" s="66" t="str">
        <f>IF(L196=0,"-",SUM(L197:L199)*GST)</f>
        <v>-</v>
      </c>
      <c r="M200" s="66" t="str">
        <f>IF(M196=0,"-",SUM(M197:M199)*GST)</f>
        <v>-</v>
      </c>
      <c r="N200" s="66" t="str">
        <f>IF(N196=0,"-",SUM(N197:N199)*GST)</f>
        <v>-</v>
      </c>
      <c r="O200" s="66" t="str">
        <f>IF(O196=0,"-",SUM(O197:O199)*GST)</f>
        <v>-</v>
      </c>
    </row>
    <row r="201" spans="3:15" hidden="1" outlineLevel="1" x14ac:dyDescent="0.25">
      <c r="C201" s="23" t="s">
        <v>538</v>
      </c>
      <c r="D201" s="59"/>
      <c r="E201" s="59"/>
      <c r="F201" s="59"/>
      <c r="H201" s="23" t="s">
        <v>130</v>
      </c>
      <c r="I201" s="23" t="s">
        <v>109</v>
      </c>
      <c r="J201" s="59" t="s">
        <v>92</v>
      </c>
      <c r="K201" s="66" t="str">
        <f>IF(K196=0,"-",SUM(K197:K200))</f>
        <v>-</v>
      </c>
      <c r="L201" s="66" t="str">
        <f t="shared" ref="L201:O201" si="53">IF(L196=0,"-",SUM(L197:L200))</f>
        <v>-</v>
      </c>
      <c r="M201" s="66" t="str">
        <f t="shared" si="53"/>
        <v>-</v>
      </c>
      <c r="N201" s="66" t="str">
        <f t="shared" si="53"/>
        <v>-</v>
      </c>
      <c r="O201" s="66" t="str">
        <f t="shared" si="53"/>
        <v>-</v>
      </c>
    </row>
    <row r="202" spans="3:15" hidden="1" outlineLevel="1" x14ac:dyDescent="0.25">
      <c r="C202" s="59"/>
      <c r="D202" s="59"/>
      <c r="E202" s="59"/>
      <c r="F202" s="59"/>
      <c r="G202" s="59"/>
      <c r="H202" s="23"/>
      <c r="I202" s="23"/>
      <c r="J202" s="59"/>
      <c r="K202" s="66"/>
      <c r="L202" s="66"/>
      <c r="M202" s="66"/>
      <c r="N202" s="66"/>
      <c r="O202" s="66"/>
    </row>
    <row r="203" spans="3:15" ht="15.75" hidden="1" outlineLevel="1" x14ac:dyDescent="0.25">
      <c r="C203" s="1" t="s">
        <v>528</v>
      </c>
      <c r="D203" s="59"/>
      <c r="E203" s="59"/>
      <c r="F203" s="59"/>
      <c r="G203" s="68" t="s">
        <v>317</v>
      </c>
      <c r="H203" s="59"/>
      <c r="I203" s="23"/>
      <c r="J203" s="23"/>
      <c r="K203" s="65"/>
      <c r="L203" s="23"/>
      <c r="M203" s="23"/>
      <c r="N203" s="23"/>
      <c r="O203" s="23"/>
    </row>
    <row r="204" spans="3:15" hidden="1" outlineLevel="1" x14ac:dyDescent="0.25">
      <c r="C204" s="57" t="s">
        <v>545</v>
      </c>
      <c r="D204" s="57"/>
      <c r="E204" s="57"/>
      <c r="F204" s="57"/>
      <c r="G204" s="68"/>
      <c r="H204" s="68"/>
      <c r="I204" s="23"/>
      <c r="J204" s="23"/>
      <c r="K204" s="65"/>
      <c r="L204" s="23"/>
      <c r="M204" s="23"/>
      <c r="N204" s="23"/>
      <c r="O204" s="23"/>
    </row>
    <row r="205" spans="3:15" hidden="1" outlineLevel="1" x14ac:dyDescent="0.25">
      <c r="C205" s="59" t="s">
        <v>532</v>
      </c>
      <c r="D205" s="82" t="str">
        <f>Calc_TU_values!$D$5</f>
        <v>VDO 2022-23 - Draft</v>
      </c>
      <c r="E205" s="23" t="s">
        <v>586</v>
      </c>
      <c r="F205" s="82" t="str">
        <f>INDEX(Inputs!$H$10:$U$10,1,MATCH($D205,Inputs!$H$8:$U$8,0))</f>
        <v>D-NextVDO_Input</v>
      </c>
      <c r="G205" s="58"/>
      <c r="H205" s="23" t="s">
        <v>108</v>
      </c>
      <c r="I205" s="23" t="s">
        <v>109</v>
      </c>
      <c r="J205" s="59" t="s">
        <v>93</v>
      </c>
      <c r="K205" s="66" cm="1">
        <f t="array" ref="K205">IFERROR(INDEX(Input_ForRateCalc[],MATCH($C205&amp;" - "&amp;K$103,Input_ForRateCalc[[Cost item]:[Cost item]],0),MATCH(Calc_TUV_Net_1[[#This Row],[Decision ref]:[Decision ref]],Input_ForRateCalc[#Headers],0)),"-")*TUProp_Days_1</f>
        <v>0</v>
      </c>
      <c r="L205" s="66" cm="1">
        <f t="array" ref="L205">IFERROR(INDEX(Input_ForRateCalc[],MATCH($C205&amp;" - "&amp;L$103,Input_ForRateCalc[[Cost item]:[Cost item]],0),MATCH(Calc_TUV_Net_1[[#This Row],[Decision ref]:[Decision ref]],Input_ForRateCalc[#Headers],0)),"-")*TUProp_Days_1</f>
        <v>0</v>
      </c>
      <c r="M205" s="66" cm="1">
        <f t="array" ref="M205">IFERROR(INDEX(Input_ForRateCalc[],MATCH($C205&amp;" - "&amp;M$103,Input_ForRateCalc[[Cost item]:[Cost item]],0),MATCH(Calc_TUV_Net_1[[#This Row],[Decision ref]:[Decision ref]],Input_ForRateCalc[#Headers],0)),"-")*TUProp_Days_1</f>
        <v>0</v>
      </c>
      <c r="N205" s="66" cm="1">
        <f t="array" ref="N205">IFERROR(INDEX(Input_ForRateCalc[],MATCH($C205&amp;" - "&amp;N$103,Input_ForRateCalc[[Cost item]:[Cost item]],0),MATCH(Calc_TUV_Net_1[[#This Row],[Decision ref]:[Decision ref]],Input_ForRateCalc[#Headers],0)),"-")*TUProp_Days_1</f>
        <v>0</v>
      </c>
      <c r="O205" s="66" cm="1">
        <f t="array" ref="O205">IFERROR(INDEX(Input_ForRateCalc[],MATCH($C205&amp;" - "&amp;O$103,Input_ForRateCalc[[Cost item]:[Cost item]],0),MATCH(Calc_TUV_Net_1[[#This Row],[Decision ref]:[Decision ref]],Input_ForRateCalc[#Headers],0)),"-")*TUProp_Days_1</f>
        <v>0</v>
      </c>
    </row>
    <row r="206" spans="3:15" hidden="1" outlineLevel="1" x14ac:dyDescent="0.25">
      <c r="C206" s="59" t="s">
        <v>275</v>
      </c>
      <c r="D206" s="82" t="str">
        <f>Calc_TU_values!$D$5</f>
        <v>VDO 2022-23 - Draft</v>
      </c>
      <c r="E206" s="23" t="s">
        <v>586</v>
      </c>
      <c r="F206" s="82" t="str">
        <f>INDEX(Inputs!$H$10:$U$10,1,MATCH($D206,Inputs!$H$8:$U$8,0))</f>
        <v>D-NextVDO_Input</v>
      </c>
      <c r="G206" s="58"/>
      <c r="H206" s="23" t="s">
        <v>108</v>
      </c>
      <c r="I206" s="23" t="s">
        <v>109</v>
      </c>
      <c r="J206" s="59" t="s">
        <v>93</v>
      </c>
      <c r="K206" s="66" cm="1">
        <f t="array" ref="K206">IFERROR(INDEX(Input_ForRateCalc[],MATCH($C206&amp;" - "&amp;K$103,Input_ForRateCalc[[Cost item]:[Cost item]],0),MATCH(Calc_TUV_Net_1[[#This Row],[Decision ref]:[Decision ref]],Input_ForRateCalc[#Headers],0)),"-")*TUProp_Days_1</f>
        <v>0</v>
      </c>
      <c r="L206" s="66" cm="1">
        <f t="array" ref="L206">IFERROR(INDEX(Input_ForRateCalc[],MATCH($C206&amp;" - "&amp;L$103,Input_ForRateCalc[[Cost item]:[Cost item]],0),MATCH(Calc_TUV_Net_1[[#This Row],[Decision ref]:[Decision ref]],Input_ForRateCalc[#Headers],0)),"-")*TUProp_Days_1</f>
        <v>0</v>
      </c>
      <c r="M206" s="66" cm="1">
        <f t="array" ref="M206">IFERROR(INDEX(Input_ForRateCalc[],MATCH($C206&amp;" - "&amp;M$103,Input_ForRateCalc[[Cost item]:[Cost item]],0),MATCH(Calc_TUV_Net_1[[#This Row],[Decision ref]:[Decision ref]],Input_ForRateCalc[#Headers],0)),"-")*TUProp_Days_1</f>
        <v>0</v>
      </c>
      <c r="N206" s="66" cm="1">
        <f t="array" ref="N206">IFERROR(INDEX(Input_ForRateCalc[],MATCH($C206&amp;" - "&amp;N$103,Input_ForRateCalc[[Cost item]:[Cost item]],0),MATCH(Calc_TUV_Net_1[[#This Row],[Decision ref]:[Decision ref]],Input_ForRateCalc[#Headers],0)),"-")*TUProp_Days_1</f>
        <v>0</v>
      </c>
      <c r="O206" s="66" cm="1">
        <f t="array" ref="O206">IFERROR(INDEX(Input_ForRateCalc[],MATCH($C206&amp;" - "&amp;O$103,Input_ForRateCalc[[Cost item]:[Cost item]],0),MATCH(Calc_TUV_Net_1[[#This Row],[Decision ref]:[Decision ref]],Input_ForRateCalc[#Headers],0)),"-")*TUProp_Days_1</f>
        <v>0</v>
      </c>
    </row>
    <row r="207" spans="3:15" hidden="1" outlineLevel="1" x14ac:dyDescent="0.25">
      <c r="C207" s="59" t="s">
        <v>318</v>
      </c>
      <c r="D207" s="82" t="str">
        <f>Calc_TU_values!$D$5</f>
        <v>VDO 2022-23 - Draft</v>
      </c>
      <c r="E207" s="23" t="s">
        <v>586</v>
      </c>
      <c r="F207" s="82" t="str">
        <f>INDEX(Inputs!$H$10:$U$10,1,MATCH($D207,Inputs!$H$8:$U$8,0))</f>
        <v>D-NextVDO_Input</v>
      </c>
      <c r="G207" s="58"/>
      <c r="H207" s="23" t="s">
        <v>108</v>
      </c>
      <c r="I207" s="23" t="s">
        <v>109</v>
      </c>
      <c r="J207" s="59" t="s">
        <v>93</v>
      </c>
      <c r="K207" s="64">
        <f>IFERROR(SUM(K205:K206),"-")</f>
        <v>0</v>
      </c>
      <c r="L207" s="64">
        <f>IFERROR(SUM(L205:L206),"-")</f>
        <v>0</v>
      </c>
      <c r="M207" s="64">
        <f>IFERROR(SUM(M205:M206),"-")</f>
        <v>0</v>
      </c>
      <c r="N207" s="64">
        <f>IFERROR(SUM(N205:N206),"-")</f>
        <v>0</v>
      </c>
      <c r="O207" s="64">
        <f>IFERROR(SUM(O205:O206),"-")</f>
        <v>0</v>
      </c>
    </row>
    <row r="208" spans="3:15" hidden="1" outlineLevel="1" x14ac:dyDescent="0.25">
      <c r="C208" s="59" t="s">
        <v>521</v>
      </c>
      <c r="D208" s="82" t="str">
        <f>INDEX(Input_DecisionActual[[Decision]:[Decision]],MATCH(Calc_TU_values!$D$5,Input_DecisionActual[[VDO period]:[VDO period]],0),1)</f>
        <v>VDO 2022 - Final</v>
      </c>
      <c r="E208" s="23" t="s">
        <v>587</v>
      </c>
      <c r="F208" s="82" t="str">
        <f>IF($D208="-","-",INDEX(Inputs!$H$10:$U$10,1,MATCH($D208,Inputs!$H$8:$U$8,0)))</f>
        <v>F-CurrentVDO_Input</v>
      </c>
      <c r="G208" s="58"/>
      <c r="H208" s="23" t="s">
        <v>108</v>
      </c>
      <c r="I208" s="23" t="s">
        <v>109</v>
      </c>
      <c r="J208" s="59" t="s">
        <v>93</v>
      </c>
      <c r="K208" s="66" cm="1">
        <f t="array" ref="K208">IFERROR(INDEX(Input_ForRateCalc[],MATCH($C208&amp;" - "&amp;K$103,Input_ForRateCalc[[Cost item]:[Cost item]],0),MATCH(Calc_TUV_Net_1[[#This Row],[Decision ref]:[Decision ref]],Input_ForRateCalc[#Headers],0)),"-")*TUProp_Days_1</f>
        <v>0</v>
      </c>
      <c r="L208" s="66" cm="1">
        <f t="array" ref="L208">IFERROR(INDEX(Input_ForRateCalc[],MATCH($C208&amp;" - "&amp;L$103,Input_ForRateCalc[[Cost item]:[Cost item]],0),MATCH(Calc_TUV_Net_1[[#This Row],[Decision ref]:[Decision ref]],Input_ForRateCalc[#Headers],0)),"-")*TUProp_Days_1</f>
        <v>0</v>
      </c>
      <c r="M208" s="66" cm="1">
        <f t="array" ref="M208">IFERROR(INDEX(Input_ForRateCalc[],MATCH($C208&amp;" - "&amp;M$103,Input_ForRateCalc[[Cost item]:[Cost item]],0),MATCH(Calc_TUV_Net_1[[#This Row],[Decision ref]:[Decision ref]],Input_ForRateCalc[#Headers],0)),"-")*TUProp_Days_1</f>
        <v>0</v>
      </c>
      <c r="N208" s="66" cm="1">
        <f t="array" ref="N208">IFERROR(INDEX(Input_ForRateCalc[],MATCH($C208&amp;" - "&amp;N$103,Input_ForRateCalc[[Cost item]:[Cost item]],0),MATCH(Calc_TUV_Net_1[[#This Row],[Decision ref]:[Decision ref]],Input_ForRateCalc[#Headers],0)),"-")*TUProp_Days_1</f>
        <v>0</v>
      </c>
      <c r="O208" s="66" cm="1">
        <f t="array" ref="O208">IFERROR(INDEX(Input_ForRateCalc[],MATCH($C208&amp;" - "&amp;O$103,Input_ForRateCalc[[Cost item]:[Cost item]],0),MATCH(Calc_TUV_Net_1[[#This Row],[Decision ref]:[Decision ref]],Input_ForRateCalc[#Headers],0)),"-")*TUProp_Days_1</f>
        <v>0</v>
      </c>
    </row>
    <row r="209" spans="3:15" hidden="1" outlineLevel="1" x14ac:dyDescent="0.25">
      <c r="C209" s="59" t="s">
        <v>275</v>
      </c>
      <c r="D209" s="82" t="str">
        <f>INDEX(Input_DecisionActual[[Decision]:[Decision]],MATCH(Calc_TU_values!$D$5,Input_DecisionActual[[VDO period]:[VDO period]],0),1)</f>
        <v>VDO 2022 - Final</v>
      </c>
      <c r="E209" s="23" t="s">
        <v>587</v>
      </c>
      <c r="F209" s="82" t="str">
        <f>IF($D209="-","-",INDEX(Inputs!$H$10:$U$10,1,MATCH($D209,Inputs!$H$8:$U$8,0)))</f>
        <v>F-CurrentVDO_Input</v>
      </c>
      <c r="G209" s="58"/>
      <c r="H209" s="23" t="s">
        <v>108</v>
      </c>
      <c r="I209" s="23" t="s">
        <v>109</v>
      </c>
      <c r="J209" s="59" t="s">
        <v>93</v>
      </c>
      <c r="K209" s="66" cm="1">
        <f t="array" ref="K209">IFERROR(INDEX(Input_ForRateCalc[],MATCH($C209&amp;" - "&amp;K$103,Input_ForRateCalc[[Cost item]:[Cost item]],0),MATCH(Calc_TUV_Net_1[[#This Row],[Decision ref]:[Decision ref]],Input_ForRateCalc[#Headers],0)),"-")*TUProp_Days_1</f>
        <v>0</v>
      </c>
      <c r="L209" s="66" cm="1">
        <f t="array" ref="L209">IFERROR(INDEX(Input_ForRateCalc[],MATCH($C209&amp;" - "&amp;L$103,Input_ForRateCalc[[Cost item]:[Cost item]],0),MATCH(Calc_TUV_Net_1[[#This Row],[Decision ref]:[Decision ref]],Input_ForRateCalc[#Headers],0)),"-")*TUProp_Days_1</f>
        <v>0</v>
      </c>
      <c r="M209" s="66" cm="1">
        <f t="array" ref="M209">IFERROR(INDEX(Input_ForRateCalc[],MATCH($C209&amp;" - "&amp;M$103,Input_ForRateCalc[[Cost item]:[Cost item]],0),MATCH(Calc_TUV_Net_1[[#This Row],[Decision ref]:[Decision ref]],Input_ForRateCalc[#Headers],0)),"-")*TUProp_Days_1</f>
        <v>0</v>
      </c>
      <c r="N209" s="66" cm="1">
        <f t="array" ref="N209">IFERROR(INDEX(Input_ForRateCalc[],MATCH($C209&amp;" - "&amp;N$103,Input_ForRateCalc[[Cost item]:[Cost item]],0),MATCH(Calc_TUV_Net_1[[#This Row],[Decision ref]:[Decision ref]],Input_ForRateCalc[#Headers],0)),"-")*TUProp_Days_1</f>
        <v>0</v>
      </c>
      <c r="O209" s="66" cm="1">
        <f t="array" ref="O209">IFERROR(INDEX(Input_ForRateCalc[],MATCH($C209&amp;" - "&amp;O$103,Input_ForRateCalc[[Cost item]:[Cost item]],0),MATCH(Calc_TUV_Net_1[[#This Row],[Decision ref]:[Decision ref]],Input_ForRateCalc[#Headers],0)),"-")*TUProp_Days_1</f>
        <v>0</v>
      </c>
    </row>
    <row r="210" spans="3:15" hidden="1" outlineLevel="1" x14ac:dyDescent="0.25">
      <c r="C210" s="59" t="s">
        <v>318</v>
      </c>
      <c r="D210" s="82" t="str">
        <f>INDEX(Input_DecisionActual[[Decision]:[Decision]],MATCH(Calc_TU_values!$D$5,Input_DecisionActual[[VDO period]:[VDO period]],0),1)</f>
        <v>VDO 2022 - Final</v>
      </c>
      <c r="E210" s="23" t="s">
        <v>587</v>
      </c>
      <c r="F210" s="82" t="str">
        <f>IF($D210="-","-",INDEX(Inputs!$H$10:$U$10,1,MATCH($D210,Inputs!$H$8:$U$8,0)))</f>
        <v>F-CurrentVDO_Input</v>
      </c>
      <c r="G210" s="58"/>
      <c r="H210" s="23" t="s">
        <v>108</v>
      </c>
      <c r="I210" s="23" t="s">
        <v>109</v>
      </c>
      <c r="J210" s="59" t="s">
        <v>93</v>
      </c>
      <c r="K210" s="65">
        <f>SUM(K208:K209)</f>
        <v>0</v>
      </c>
      <c r="L210" s="65">
        <f>SUM(L208:L209)</f>
        <v>0</v>
      </c>
      <c r="M210" s="65">
        <f>SUM(M208:M209)</f>
        <v>0</v>
      </c>
      <c r="N210" s="65">
        <f>SUM(N208:N209)</f>
        <v>0</v>
      </c>
      <c r="O210" s="65">
        <f>SUM(O208:O209)</f>
        <v>0</v>
      </c>
    </row>
    <row r="211" spans="3:15" hidden="1" outlineLevel="1" x14ac:dyDescent="0.25">
      <c r="C211" s="59" t="s">
        <v>319</v>
      </c>
      <c r="D211" s="23"/>
      <c r="E211" s="23"/>
      <c r="F211" s="23"/>
      <c r="G211" s="59"/>
      <c r="H211" s="23" t="s">
        <v>108</v>
      </c>
      <c r="I211" s="23" t="s">
        <v>109</v>
      </c>
      <c r="J211" s="59" t="s">
        <v>93</v>
      </c>
      <c r="K211" s="65" t="str">
        <f>IF(K210=0,"-",K207-K210)</f>
        <v>-</v>
      </c>
      <c r="L211" s="65" t="str">
        <f t="shared" ref="L211:O211" si="54">IF(L210=0,"-",L207-L210)</f>
        <v>-</v>
      </c>
      <c r="M211" s="65" t="str">
        <f t="shared" si="54"/>
        <v>-</v>
      </c>
      <c r="N211" s="65" t="str">
        <f t="shared" si="54"/>
        <v>-</v>
      </c>
      <c r="O211" s="65" t="str">
        <f t="shared" si="54"/>
        <v>-</v>
      </c>
    </row>
    <row r="212" spans="3:15" hidden="1" outlineLevel="1" x14ac:dyDescent="0.25">
      <c r="C212" s="59" t="s">
        <v>442</v>
      </c>
      <c r="D212" s="23"/>
      <c r="E212" s="23"/>
      <c r="F212" s="23"/>
      <c r="G212" s="59"/>
      <c r="H212" s="23" t="s">
        <v>108</v>
      </c>
      <c r="I212" s="23" t="s">
        <v>109</v>
      </c>
      <c r="J212" s="59" t="s">
        <v>93</v>
      </c>
      <c r="K212" s="66" t="str">
        <f>IFERROR(IF($D$11="Yes",K211*(1+WACC_adj_1),""),"-")</f>
        <v/>
      </c>
      <c r="L212" s="66" t="str">
        <f>IFERROR(IF($D$11="Yes",L211*(1+WACC_adj_1),""),"-")</f>
        <v/>
      </c>
      <c r="M212" s="66" t="str">
        <f>IFERROR(IF($D$11="Yes",M211*(1+WACC_adj_1),""),"-")</f>
        <v/>
      </c>
      <c r="N212" s="66" t="str">
        <f>IFERROR(IF($D$11="Yes",N211*(1+WACC_adj_1),""),"-")</f>
        <v/>
      </c>
      <c r="O212" s="66" t="str">
        <f>IFERROR(IF($D$11="Yes",O211*(1+WACC_adj_1),""),"-")</f>
        <v/>
      </c>
    </row>
    <row r="213" spans="3:15" hidden="1" outlineLevel="1" x14ac:dyDescent="0.25">
      <c r="C213" s="59" t="s">
        <v>321</v>
      </c>
      <c r="D213" s="82" t="str">
        <f>INDEX(Input_DecisionActual[[Decision]:[Decision]],MATCH(Calc_TU_values!$D$5,Input_DecisionActual[[VDO period]:[VDO period]],0),1)</f>
        <v>VDO 2022 - Final</v>
      </c>
      <c r="E213" s="23" t="s">
        <v>587</v>
      </c>
      <c r="F213" s="82" t="str">
        <f>IF($D213="-","-",INDEX(Inputs!$H$10:$U$10,1,MATCH($D213,Inputs!$H$8:$U$8,0)))</f>
        <v>F-CurrentVDO_Input</v>
      </c>
      <c r="G213" s="59"/>
      <c r="H213" s="23" t="s">
        <v>108</v>
      </c>
      <c r="I213" s="23" t="s">
        <v>109</v>
      </c>
      <c r="J213" s="59" t="s">
        <v>93</v>
      </c>
      <c r="K213" s="66" cm="1">
        <f t="array" ref="K213">IFERROR(SUM(K211:K212)*(INDEX(Inputs!$H$11:$U$128,MATCH("Retail operating margin",Input_ForRateCalc[[Cost item]:[Cost item]],0),MATCH(Calc_TUV_Net_1[[#This Row],[Decision ref]:[Decision ref]],Inputs!$H$10:$U$10,0))),"-")</f>
        <v>0</v>
      </c>
      <c r="L213" s="66" cm="1">
        <f t="array" ref="L213">IFERROR(SUM(L211:L212)*(INDEX(Inputs!$H$11:$U$128,MATCH("Retail operating margin",Input_ForRateCalc[[Cost item]:[Cost item]],0),MATCH(Calc_TUV_Net_1[[#This Row],[Decision ref]:[Decision ref]],Inputs!$H$10:$U$10,0))),"-")</f>
        <v>0</v>
      </c>
      <c r="M213" s="66" cm="1">
        <f t="array" ref="M213">IFERROR(SUM(M211:M212)*(INDEX(Inputs!$H$11:$U$128,MATCH("Retail operating margin",Input_ForRateCalc[[Cost item]:[Cost item]],0),MATCH(Calc_TUV_Net_1[[#This Row],[Decision ref]:[Decision ref]],Inputs!$H$10:$U$10,0))),"-")</f>
        <v>0</v>
      </c>
      <c r="N213" s="66" cm="1">
        <f t="array" ref="N213">IFERROR(SUM(N211:N212)*(INDEX(Inputs!$H$11:$U$128,MATCH("Retail operating margin",Input_ForRateCalc[[Cost item]:[Cost item]],0),MATCH(Calc_TUV_Net_1[[#This Row],[Decision ref]:[Decision ref]],Inputs!$H$10:$U$10,0))),"-")</f>
        <v>0</v>
      </c>
      <c r="O213" s="66" cm="1">
        <f t="array" ref="O213">IFERROR(SUM(O211:O212)*(INDEX(Inputs!$H$11:$U$128,MATCH("Retail operating margin",Input_ForRateCalc[[Cost item]:[Cost item]],0),MATCH(Calc_TUV_Net_1[[#This Row],[Decision ref]:[Decision ref]],Inputs!$H$10:$U$10,0))),"-")</f>
        <v>0</v>
      </c>
    </row>
    <row r="214" spans="3:15" hidden="1" outlineLevel="1" x14ac:dyDescent="0.25">
      <c r="C214" s="59" t="s">
        <v>443</v>
      </c>
      <c r="D214" s="23"/>
      <c r="E214" s="23"/>
      <c r="F214" s="23"/>
      <c r="G214" s="59"/>
      <c r="H214" s="23" t="s">
        <v>108</v>
      </c>
      <c r="I214" s="23" t="s">
        <v>109</v>
      </c>
      <c r="J214" s="59" t="s">
        <v>93</v>
      </c>
      <c r="K214" s="66" t="str">
        <f>IF(K210=0,"-",SUM(K211:K213)*GST)</f>
        <v>-</v>
      </c>
      <c r="L214" s="66" t="str">
        <f>IF(L210=0,"-",SUM(L211:L213)*GST)</f>
        <v>-</v>
      </c>
      <c r="M214" s="66" t="str">
        <f>IF(M210=0,"-",SUM(M211:M213)*GST)</f>
        <v>-</v>
      </c>
      <c r="N214" s="66" t="str">
        <f>IF(N210=0,"-",SUM(N211:N213)*GST)</f>
        <v>-</v>
      </c>
      <c r="O214" s="66" t="str">
        <f>IF(O210=0,"-",SUM(O211:O213)*GST)</f>
        <v>-</v>
      </c>
    </row>
    <row r="215" spans="3:15" hidden="1" outlineLevel="1" x14ac:dyDescent="0.25">
      <c r="C215" s="23" t="s">
        <v>537</v>
      </c>
      <c r="D215" s="23"/>
      <c r="E215" s="23"/>
      <c r="F215" s="23"/>
      <c r="G215" s="59"/>
      <c r="H215" s="23" t="s">
        <v>108</v>
      </c>
      <c r="I215" s="23" t="s">
        <v>109</v>
      </c>
      <c r="J215" s="59" t="s">
        <v>93</v>
      </c>
      <c r="K215" s="66" t="str">
        <f>IF(K210=0,"-",SUM(K211:K214))</f>
        <v>-</v>
      </c>
      <c r="L215" s="66" t="str">
        <f>IF(L210=0,"-",SUM(L211:L214))</f>
        <v>-</v>
      </c>
      <c r="M215" s="66" t="str">
        <f>IF(M210=0,"-",SUM(M211:M214))</f>
        <v>-</v>
      </c>
      <c r="N215" s="66" t="str">
        <f>IF(N210=0,"-",SUM(N211:N214))</f>
        <v>-</v>
      </c>
      <c r="O215" s="66" t="str">
        <f>IF(O210=0,"-",SUM(O211:O214))</f>
        <v>-</v>
      </c>
    </row>
    <row r="216" spans="3:15" hidden="1" outlineLevel="1" x14ac:dyDescent="0.25">
      <c r="C216" s="59"/>
      <c r="D216" s="59"/>
      <c r="E216" s="59"/>
      <c r="F216" s="59"/>
      <c r="H216" s="59"/>
      <c r="I216" s="23"/>
      <c r="J216" s="23"/>
      <c r="K216" s="129"/>
      <c r="L216" s="129"/>
      <c r="M216" s="129"/>
      <c r="N216" s="129"/>
      <c r="O216" s="129"/>
    </row>
    <row r="217" spans="3:15" hidden="1" outlineLevel="1" x14ac:dyDescent="0.25">
      <c r="C217" s="57" t="s">
        <v>546</v>
      </c>
      <c r="D217" s="59"/>
      <c r="E217" s="59"/>
      <c r="F217" s="59"/>
      <c r="G217" s="68"/>
      <c r="H217" s="59"/>
      <c r="I217" s="23"/>
      <c r="J217" s="23"/>
      <c r="K217" s="129"/>
      <c r="L217" s="129"/>
      <c r="M217" s="129"/>
      <c r="N217" s="129"/>
      <c r="O217" s="129"/>
    </row>
    <row r="218" spans="3:15" hidden="1" outlineLevel="1" x14ac:dyDescent="0.25">
      <c r="C218" s="59" t="s">
        <v>533</v>
      </c>
      <c r="D218" s="82" t="str">
        <f>Calc_TU_values!$D$5</f>
        <v>VDO 2022-23 - Draft</v>
      </c>
      <c r="E218" s="23" t="s">
        <v>586</v>
      </c>
      <c r="F218" s="82" t="str">
        <f>INDEX(Inputs!$H$10:$U$10,1,MATCH($D218,Inputs!$H$8:$U$8,0))</f>
        <v>D-NextVDO_Input</v>
      </c>
      <c r="G218" s="59"/>
      <c r="H218" s="23" t="s">
        <v>130</v>
      </c>
      <c r="I218" s="23" t="s">
        <v>165</v>
      </c>
      <c r="J218" s="59" t="s">
        <v>93</v>
      </c>
      <c r="K218" s="66" cm="1">
        <f t="array" ref="K218">IFERROR(INDEX(Input_ForRateCalc[],MATCH($C218&amp;" - "&amp;K$103,Input_ForRateCalc[[Cost item]:[Cost item]],0),MATCH(Calc_TUV_Net_1[[#This Row],[Decision ref]:[Decision ref]],Input_ForRateCalc[#Headers],0)),"-")</f>
        <v>17.508700000000001</v>
      </c>
      <c r="L218" s="66" cm="1">
        <f t="array" ref="L218">IFERROR(INDEX(Input_ForRateCalc[],MATCH($C218&amp;" - "&amp;L$103,Input_ForRateCalc[[Cost item]:[Cost item]],0),MATCH(Calc_TUV_Net_1[[#This Row],[Decision ref]:[Decision ref]],Input_ForRateCalc[#Headers],0)),"-")</f>
        <v>13.02</v>
      </c>
      <c r="M218" s="66" cm="1">
        <f t="array" ref="M218">IFERROR(INDEX(Input_ForRateCalc[],MATCH($C218&amp;" - "&amp;M$103,Input_ForRateCalc[[Cost item]:[Cost item]],0),MATCH(Calc_TUV_Net_1[[#This Row],[Decision ref]:[Decision ref]],Input_ForRateCalc[#Headers],0)),"-")</f>
        <v>14.331</v>
      </c>
      <c r="N218" s="66" cm="1">
        <f t="array" ref="N218">IFERROR(INDEX(Input_ForRateCalc[],MATCH($C218&amp;" - "&amp;N$103,Input_ForRateCalc[[Cost item]:[Cost item]],0),MATCH(Calc_TUV_Net_1[[#This Row],[Decision ref]:[Decision ref]],Input_ForRateCalc[#Headers],0)),"-")</f>
        <v>14.75</v>
      </c>
      <c r="O218" s="66" cm="1">
        <f t="array" ref="O218">IFERROR(INDEX(Input_ForRateCalc[],MATCH($C218&amp;" - "&amp;O$103,Input_ForRateCalc[[Cost item]:[Cost item]],0),MATCH(Calc_TUV_Net_1[[#This Row],[Decision ref]:[Decision ref]],Input_ForRateCalc[#Headers],0)),"-")</f>
        <v>13.99</v>
      </c>
    </row>
    <row r="219" spans="3:15" hidden="1" outlineLevel="1" x14ac:dyDescent="0.25">
      <c r="C219" s="59" t="s">
        <v>534</v>
      </c>
      <c r="D219" s="82" t="str">
        <f>Calc_TU_values!$D$5</f>
        <v>VDO 2022-23 - Draft</v>
      </c>
      <c r="E219" s="23" t="s">
        <v>586</v>
      </c>
      <c r="F219" s="82" t="str">
        <f>INDEX(Inputs!$H$10:$U$10,1,MATCH($D219,Inputs!$H$8:$U$8,0))</f>
        <v>D-NextVDO_Input</v>
      </c>
      <c r="G219" s="68"/>
      <c r="H219" s="23" t="s">
        <v>130</v>
      </c>
      <c r="I219" s="23" t="s">
        <v>165</v>
      </c>
      <c r="J219" s="59" t="s">
        <v>93</v>
      </c>
      <c r="K219" s="66" cm="1">
        <f t="array" ref="K219">IFERROR(INDEX(Input_ForRateCalc[],MATCH($C219&amp;" - "&amp;K$103,Input_ForRateCalc[[Cost item]:[Cost item]],0),MATCH(Calc_TUV_Net_1[[#This Row],[Decision ref]:[Decision ref]],Input_ForRateCalc[#Headers],0)),"-")</f>
        <v>4.2656000000000001</v>
      </c>
      <c r="L219" s="66" cm="1">
        <f t="array" ref="L219">IFERROR(INDEX(Input_ForRateCalc[],MATCH($C219&amp;" - "&amp;L$103,Input_ForRateCalc[[Cost item]:[Cost item]],0),MATCH(Calc_TUV_Net_1[[#This Row],[Decision ref]:[Decision ref]],Input_ForRateCalc[#Headers],0)),"-")</f>
        <v>2.89</v>
      </c>
      <c r="M219" s="66" cm="1">
        <f t="array" ref="M219">IFERROR(INDEX(Input_ForRateCalc[],MATCH($C219&amp;" - "&amp;M$103,Input_ForRateCalc[[Cost item]:[Cost item]],0),MATCH(Calc_TUV_Net_1[[#This Row],[Decision ref]:[Decision ref]],Input_ForRateCalc[#Headers],0)),"-")</f>
        <v>3.052</v>
      </c>
      <c r="N219" s="66" cm="1">
        <f t="array" ref="N219">IFERROR(INDEX(Input_ForRateCalc[],MATCH($C219&amp;" - "&amp;N$103,Input_ForRateCalc[[Cost item]:[Cost item]],0),MATCH(Calc_TUV_Net_1[[#This Row],[Decision ref]:[Decision ref]],Input_ForRateCalc[#Headers],0)),"-")</f>
        <v>3.28</v>
      </c>
      <c r="O219" s="66" cm="1">
        <f t="array" ref="O219">IFERROR(INDEX(Input_ForRateCalc[],MATCH($C219&amp;" - "&amp;O$103,Input_ForRateCalc[[Cost item]:[Cost item]],0),MATCH(Calc_TUV_Net_1[[#This Row],[Decision ref]:[Decision ref]],Input_ForRateCalc[#Headers],0)),"-")</f>
        <v>3.11</v>
      </c>
    </row>
    <row r="220" spans="3:15" hidden="1" outlineLevel="1" x14ac:dyDescent="0.25">
      <c r="C220" s="59" t="s">
        <v>318</v>
      </c>
      <c r="D220" s="82" t="str">
        <f>Calc_TU_values!$D$5</f>
        <v>VDO 2022-23 - Draft</v>
      </c>
      <c r="E220" s="23" t="s">
        <v>586</v>
      </c>
      <c r="F220" s="82" t="str">
        <f>INDEX(Inputs!$H$10:$U$10,1,MATCH($D220,Inputs!$H$8:$U$8,0))</f>
        <v>D-NextVDO_Input</v>
      </c>
      <c r="G220" s="58"/>
      <c r="H220" s="23" t="s">
        <v>130</v>
      </c>
      <c r="I220" s="23" t="s">
        <v>165</v>
      </c>
      <c r="J220" s="59" t="s">
        <v>93</v>
      </c>
      <c r="K220" s="67">
        <f>SUMIFS(TUNet_Usage_Actual_1[Value],TUNet_Usage_Actual_1[Customer type],Calc_TUV_Net_1[[#This Row],[Customer type]],TUNet_Usage_Actual_1[Description],"Usage per customer")*SUM(
IFERROR(K218/100*SUMIFS(Input_TUNet_Props[F-CurrentVDO_Input],Input_TUNet_Props[Customer type],Calc_TUV_Net_1[[#This Row],[Customer type]],Input_TUNet_Props[Usage type],"Peak"),0),
IFERROR(K219/100*SUMIFS(Input_TUNet_Props[F-CurrentVDO_Input],Input_TUNet_Props[Customer type],Calc_TUV_Net_1[[#This Row],[Customer type]],Input_TUNet_Props[Usage type],"Off peak"),0))</f>
        <v>0</v>
      </c>
      <c r="L220" s="67">
        <f>SUMIFS(TUNet_Usage_Actual_1[Value],TUNet_Usage_Actual_1[Customer type],Calc_TUV_Net_1[[#This Row],[Customer type]],TUNet_Usage_Actual_1[Description],"Usage per customer")*SUM(
IFERROR(L218/100*SUMIFS(Input_TUNet_Props[F-CurrentVDO_Input],Input_TUNet_Props[Customer type],Calc_TUV_Net_1[[#This Row],[Customer type]],Input_TUNet_Props[Usage type],"Peak"),0),
IFERROR(L219/100*SUMIFS(Input_TUNet_Props[F-CurrentVDO_Input],Input_TUNet_Props[Customer type],Calc_TUV_Net_1[[#This Row],[Customer type]],Input_TUNet_Props[Usage type],"Off peak"),0))</f>
        <v>0</v>
      </c>
      <c r="M220" s="67">
        <f>SUMIFS(TUNet_Usage_Actual_1[Value],TUNet_Usage_Actual_1[Customer type],Calc_TUV_Net_1[[#This Row],[Customer type]],TUNet_Usage_Actual_1[Description],"Usage per customer")*SUM(
IFERROR(M218/100*SUMIFS(Input_TUNet_Props[F-CurrentVDO_Input],Input_TUNet_Props[Customer type],Calc_TUV_Net_1[[#This Row],[Customer type]],Input_TUNet_Props[Usage type],"Peak"),0),
IFERROR(M219/100*SUMIFS(Input_TUNet_Props[F-CurrentVDO_Input],Input_TUNet_Props[Customer type],Calc_TUV_Net_1[[#This Row],[Customer type]],Input_TUNet_Props[Usage type],"Off peak"),0))</f>
        <v>0</v>
      </c>
      <c r="N220" s="67">
        <f>SUMIFS(TUNet_Usage_Actual_1[Value],TUNet_Usage_Actual_1[Customer type],Calc_TUV_Net_1[[#This Row],[Customer type]],TUNet_Usage_Actual_1[Description],"Usage per customer")*SUM(
IFERROR(N218/100*SUMIFS(Input_TUNet_Props[F-CurrentVDO_Input],Input_TUNet_Props[Customer type],Calc_TUV_Net_1[[#This Row],[Customer type]],Input_TUNet_Props[Usage type],"Peak"),0),
IFERROR(N219/100*SUMIFS(Input_TUNet_Props[F-CurrentVDO_Input],Input_TUNet_Props[Customer type],Calc_TUV_Net_1[[#This Row],[Customer type]],Input_TUNet_Props[Usage type],"Off peak"),0))</f>
        <v>0</v>
      </c>
      <c r="O220" s="67">
        <f>SUMIFS(TUNet_Usage_Actual_1[Value],TUNet_Usage_Actual_1[Customer type],Calc_TUV_Net_1[[#This Row],[Customer type]],TUNet_Usage_Actual_1[Description],"Usage per customer")*SUM(
IFERROR(O218/100*SUMIFS(Input_TUNet_Props[F-CurrentVDO_Input],Input_TUNet_Props[Customer type],Calc_TUV_Net_1[[#This Row],[Customer type]],Input_TUNet_Props[Usage type],"Peak"),0),
IFERROR(O219/100*SUMIFS(Input_TUNet_Props[F-CurrentVDO_Input],Input_TUNet_Props[Customer type],Calc_TUV_Net_1[[#This Row],[Customer type]],Input_TUNet_Props[Usage type],"Off peak"),0))</f>
        <v>0</v>
      </c>
    </row>
    <row r="221" spans="3:15" hidden="1" outlineLevel="1" x14ac:dyDescent="0.25">
      <c r="C221" s="59" t="s">
        <v>522</v>
      </c>
      <c r="D221" s="82" t="str">
        <f>INDEX(Input_DecisionActual[[Decision]:[Decision]],MATCH(Calc_TU_values!$D$5,Input_DecisionActual[[VDO period]:[VDO period]],0),1)</f>
        <v>VDO 2022 - Final</v>
      </c>
      <c r="E221" s="23" t="s">
        <v>587</v>
      </c>
      <c r="F221" s="82" t="str">
        <f>IF($D221="-","-",INDEX(Inputs!$H$10:$U$10,1,MATCH($D221,Inputs!$H$8:$U$8,0)))</f>
        <v>F-CurrentVDO_Input</v>
      </c>
      <c r="G221" s="58"/>
      <c r="H221" s="23" t="s">
        <v>130</v>
      </c>
      <c r="I221" s="23" t="s">
        <v>109</v>
      </c>
      <c r="J221" s="59" t="s">
        <v>93</v>
      </c>
      <c r="K221" s="66" cm="1">
        <f t="array" ref="K221">IFERROR(INDEX(Input_ForRateCalc[],MATCH($C221&amp;" - "&amp;K$103,Input_ForRateCalc[[Cost item]:[Cost item]],0),MATCH(Calc_TUV_Net_1[[#This Row],[Decision ref]:[Decision ref]],Input_ForRateCalc[#Headers],0)),"-")</f>
        <v>15.538600000000001</v>
      </c>
      <c r="L221" s="66" t="str" cm="1">
        <f t="array" ref="L221">IFERROR(INDEX(Input_ForRateCalc[],MATCH($C221&amp;" - "&amp;L$103,Input_ForRateCalc[[Cost item]:[Cost item]],0),MATCH(Calc_TUV_Net_1[[#This Row],[Decision ref]:[Decision ref]],Input_ForRateCalc[#Headers],0)),"-")</f>
        <v>-</v>
      </c>
      <c r="M221" s="66" t="str" cm="1">
        <f t="array" ref="M221">IFERROR(INDEX(Input_ForRateCalc[],MATCH($C221&amp;" - "&amp;M$103,Input_ForRateCalc[[Cost item]:[Cost item]],0),MATCH(Calc_TUV_Net_1[[#This Row],[Decision ref]:[Decision ref]],Input_ForRateCalc[#Headers],0)),"-")</f>
        <v>-</v>
      </c>
      <c r="N221" s="66" t="str" cm="1">
        <f t="array" ref="N221">IFERROR(INDEX(Input_ForRateCalc[],MATCH($C221&amp;" - "&amp;N$103,Input_ForRateCalc[[Cost item]:[Cost item]],0),MATCH(Calc_TUV_Net_1[[#This Row],[Decision ref]:[Decision ref]],Input_ForRateCalc[#Headers],0)),"-")</f>
        <v>-</v>
      </c>
      <c r="O221" s="66" t="str" cm="1">
        <f t="array" ref="O221">IFERROR(INDEX(Input_ForRateCalc[],MATCH($C221&amp;" - "&amp;O$103,Input_ForRateCalc[[Cost item]:[Cost item]],0),MATCH(Calc_TUV_Net_1[[#This Row],[Decision ref]:[Decision ref]],Input_ForRateCalc[#Headers],0)),"-")</f>
        <v>-</v>
      </c>
    </row>
    <row r="222" spans="3:15" hidden="1" outlineLevel="1" x14ac:dyDescent="0.25">
      <c r="C222" s="59" t="s">
        <v>523</v>
      </c>
      <c r="D222" s="82" t="str">
        <f>INDEX(Input_DecisionActual[[Decision]:[Decision]],MATCH(Calc_TU_values!$D$5,Input_DecisionActual[[VDO period]:[VDO period]],0),1)</f>
        <v>VDO 2022 - Final</v>
      </c>
      <c r="E222" s="23" t="s">
        <v>587</v>
      </c>
      <c r="F222" s="82" t="str">
        <f>IF($D222="-","-",INDEX(Inputs!$H$10:$U$10,1,MATCH($D222,Inputs!$H$8:$U$8,0)))</f>
        <v>F-CurrentVDO_Input</v>
      </c>
      <c r="G222" s="58"/>
      <c r="H222" s="23" t="s">
        <v>130</v>
      </c>
      <c r="I222" s="23" t="s">
        <v>165</v>
      </c>
      <c r="J222" s="59" t="s">
        <v>93</v>
      </c>
      <c r="K222" s="66" cm="1">
        <f t="array" ref="K222">IFERROR(INDEX(Input_ForRateCalc[],MATCH($C222&amp;" - "&amp;K$103,Input_ForRateCalc[[Cost item]:[Cost item]],0),MATCH(Calc_TUV_Net_1[[#This Row],[Decision ref]:[Decision ref]],Input_ForRateCalc[#Headers],0)),"-")</f>
        <v>18.2667</v>
      </c>
      <c r="L222" s="66" t="str" cm="1">
        <f t="array" ref="L222">IFERROR(INDEX(Input_ForRateCalc[],MATCH($C222&amp;" - "&amp;L$103,Input_ForRateCalc[[Cost item]:[Cost item]],0),MATCH(Calc_TUV_Net_1[[#This Row],[Decision ref]:[Decision ref]],Input_ForRateCalc[#Headers],0)),"-")</f>
        <v>-</v>
      </c>
      <c r="M222" s="66" t="str" cm="1">
        <f t="array" ref="M222">IFERROR(INDEX(Input_ForRateCalc[],MATCH($C222&amp;" - "&amp;M$103,Input_ForRateCalc[[Cost item]:[Cost item]],0),MATCH(Calc_TUV_Net_1[[#This Row],[Decision ref]:[Decision ref]],Input_ForRateCalc[#Headers],0)),"-")</f>
        <v>-</v>
      </c>
      <c r="N222" s="66" t="str" cm="1">
        <f t="array" ref="N222">IFERROR(INDEX(Input_ForRateCalc[],MATCH($C222&amp;" - "&amp;N$103,Input_ForRateCalc[[Cost item]:[Cost item]],0),MATCH(Calc_TUV_Net_1[[#This Row],[Decision ref]:[Decision ref]],Input_ForRateCalc[#Headers],0)),"-")</f>
        <v>-</v>
      </c>
      <c r="O222" s="66" t="str" cm="1">
        <f t="array" ref="O222">IFERROR(INDEX(Input_ForRateCalc[],MATCH($C222&amp;" - "&amp;O$103,Input_ForRateCalc[[Cost item]:[Cost item]],0),MATCH(Calc_TUV_Net_1[[#This Row],[Decision ref]:[Decision ref]],Input_ForRateCalc[#Headers],0)),"-")</f>
        <v>-</v>
      </c>
    </row>
    <row r="223" spans="3:15" hidden="1" outlineLevel="1" x14ac:dyDescent="0.25">
      <c r="C223" s="59" t="s">
        <v>524</v>
      </c>
      <c r="D223" s="82" t="str">
        <f>INDEX(Input_DecisionActual[[Decision]:[Decision]],MATCH(Calc_TU_values!$D$5,Input_DecisionActual[[VDO period]:[VDO period]],0),1)</f>
        <v>VDO 2022 - Final</v>
      </c>
      <c r="E223" s="23" t="s">
        <v>587</v>
      </c>
      <c r="F223" s="82" t="str">
        <f>IF($D223="-","-",INDEX(Inputs!$H$10:$U$10,1,MATCH($D223,Inputs!$H$8:$U$8,0)))</f>
        <v>F-CurrentVDO_Input</v>
      </c>
      <c r="G223" s="58"/>
      <c r="H223" s="23" t="s">
        <v>130</v>
      </c>
      <c r="I223" s="23" t="s">
        <v>165</v>
      </c>
      <c r="J223" s="59" t="s">
        <v>93</v>
      </c>
      <c r="K223" s="66" t="str" cm="1">
        <f t="array" ref="K223">IFERROR(INDEX(Input_ForRateCalc[],MATCH($C223&amp;" - "&amp;K$103,Input_ForRateCalc[[Cost item]:[Cost item]],0),MATCH(Calc_TUV_Net_1[[#This Row],[Decision ref]:[Decision ref]],Input_ForRateCalc[#Headers],0)),"-")</f>
        <v>-</v>
      </c>
      <c r="L223" s="66" cm="1">
        <f t="array" ref="L223">IFERROR(INDEX(Input_ForRateCalc[],MATCH($C223&amp;" - "&amp;L$103,Input_ForRateCalc[[Cost item]:[Cost item]],0),MATCH(Calc_TUV_Net_1[[#This Row],[Decision ref]:[Decision ref]],Input_ForRateCalc[#Headers],0)),"-")</f>
        <v>8.2100000000000009</v>
      </c>
      <c r="M223" s="66" cm="1">
        <f t="array" ref="M223">IFERROR(INDEX(Input_ForRateCalc[],MATCH($C223&amp;" - "&amp;M$103,Input_ForRateCalc[[Cost item]:[Cost item]],0),MATCH(Calc_TUV_Net_1[[#This Row],[Decision ref]:[Decision ref]],Input_ForRateCalc[#Headers],0)),"-")</f>
        <v>10.973000000000001</v>
      </c>
      <c r="N223" s="66" cm="1">
        <f t="array" ref="N223">IFERROR(INDEX(Input_ForRateCalc[],MATCH($C223&amp;" - "&amp;N$103,Input_ForRateCalc[[Cost item]:[Cost item]],0),MATCH(Calc_TUV_Net_1[[#This Row],[Decision ref]:[Decision ref]],Input_ForRateCalc[#Headers],0)),"-")</f>
        <v>9.2899999999999991</v>
      </c>
      <c r="O223" s="66" cm="1">
        <f t="array" ref="O223">IFERROR(INDEX(Input_ForRateCalc[],MATCH($C223&amp;" - "&amp;O$103,Input_ForRateCalc[[Cost item]:[Cost item]],0),MATCH(Calc_TUV_Net_1[[#This Row],[Decision ref]:[Decision ref]],Input_ForRateCalc[#Headers],0)),"-")</f>
        <v>8.7899999999999991</v>
      </c>
    </row>
    <row r="224" spans="3:15" hidden="1" outlineLevel="1" x14ac:dyDescent="0.25">
      <c r="C224" s="59" t="s">
        <v>318</v>
      </c>
      <c r="D224" s="82" t="str">
        <f>INDEX(Input_DecisionActual[[Decision]:[Decision]],MATCH(Calc_TU_values!$D$5,Input_DecisionActual[[VDO period]:[VDO period]],0),1)</f>
        <v>VDO 2022 - Final</v>
      </c>
      <c r="E224" s="23" t="s">
        <v>587</v>
      </c>
      <c r="F224" s="82" t="str">
        <f>IF($D224="-","-",INDEX(Inputs!$H$10:$U$10,1,MATCH($D224,Inputs!$H$8:$U$8,0)))</f>
        <v>F-CurrentVDO_Input</v>
      </c>
      <c r="G224" s="58"/>
      <c r="H224" s="23" t="s">
        <v>130</v>
      </c>
      <c r="I224" s="23" t="s">
        <v>165</v>
      </c>
      <c r="J224" s="59" t="s">
        <v>93</v>
      </c>
      <c r="K224" s="67">
        <f>SUMIFS(TUNet_Usage_Actual_1[Value],TUNet_Usage_Actual_1[Customer type],Calc_TUV_Net_1[[#This Row],[Customer type]],TUNet_Usage_Actual_1[Description],"Usage per customer")*SUM(
IFERROR(K221/100*SUMIFS(Input_TUNet_Props[F-CurrentVDO_Input],Input_TUNet_Props[Customer type],Calc_TUV_Net_1[[#This Row],[Customer type]],Input_TUNet_Props[Usage type],"Block 1"),0),
IFERROR(K222/100*SUMIFS(Input_TUNet_Props[F-CurrentVDO_Input],Input_TUNet_Props[Customer type],Calc_TUV_Net_1[[#This Row],[Customer type]],Input_TUNet_Props[Usage type],"Balance"),0),
IFERROR(K223/100*SUMIFS(Input_TUNet_Props[F-CurrentVDO_Input],Input_TUNet_Props[Customer type],Calc_TUV_Net_1[[#This Row],[Customer type]],Input_TUNet_Props[Usage type],"Single rate"),0))</f>
        <v>0</v>
      </c>
      <c r="L224" s="67">
        <f>SUMIFS(TUNet_Usage_Actual_1[Value],TUNet_Usage_Actual_1[Customer type],Calc_TUV_Net_1[[#This Row],[Customer type]],TUNet_Usage_Actual_1[Description],"Usage per customer")*SUM(
IFERROR(L221/100*SUMIFS(Input_TUNet_Props[F-CurrentVDO_Input],Input_TUNet_Props[Customer type],Calc_TUV_Net_1[[#This Row],[Customer type]],Input_TUNet_Props[Usage type],"Block 1"),0),
IFERROR(L222/100*SUMIFS(Input_TUNet_Props[F-CurrentVDO_Input],Input_TUNet_Props[Customer type],Calc_TUV_Net_1[[#This Row],[Customer type]],Input_TUNet_Props[Usage type],"Balance"),0),
IFERROR(L223/100*SUMIFS(Input_TUNet_Props[F-CurrentVDO_Input],Input_TUNet_Props[Customer type],Calc_TUV_Net_1[[#This Row],[Customer type]],Input_TUNet_Props[Usage type],"Single rate"),0))</f>
        <v>0</v>
      </c>
      <c r="M224" s="67">
        <f>SUMIFS(TUNet_Usage_Actual_1[Value],TUNet_Usage_Actual_1[Customer type],Calc_TUV_Net_1[[#This Row],[Customer type]],TUNet_Usage_Actual_1[Description],"Usage per customer")*SUM(
IFERROR(M221/100*SUMIFS(Input_TUNet_Props[F-CurrentVDO_Input],Input_TUNet_Props[Customer type],Calc_TUV_Net_1[[#This Row],[Customer type]],Input_TUNet_Props[Usage type],"Block 1"),0),
IFERROR(M222/100*SUMIFS(Input_TUNet_Props[F-CurrentVDO_Input],Input_TUNet_Props[Customer type],Calc_TUV_Net_1[[#This Row],[Customer type]],Input_TUNet_Props[Usage type],"Balance"),0),
IFERROR(M223/100*SUMIFS(Input_TUNet_Props[F-CurrentVDO_Input],Input_TUNet_Props[Customer type],Calc_TUV_Net_1[[#This Row],[Customer type]],Input_TUNet_Props[Usage type],"Single rate"),0))</f>
        <v>0</v>
      </c>
      <c r="N224" s="67">
        <f>SUMIFS(TUNet_Usage_Actual_1[Value],TUNet_Usage_Actual_1[Customer type],Calc_TUV_Net_1[[#This Row],[Customer type]],TUNet_Usage_Actual_1[Description],"Usage per customer")*SUM(
IFERROR(N221/100*SUMIFS(Input_TUNet_Props[F-CurrentVDO_Input],Input_TUNet_Props[Customer type],Calc_TUV_Net_1[[#This Row],[Customer type]],Input_TUNet_Props[Usage type],"Block 1"),0),
IFERROR(N222/100*SUMIFS(Input_TUNet_Props[F-CurrentVDO_Input],Input_TUNet_Props[Customer type],Calc_TUV_Net_1[[#This Row],[Customer type]],Input_TUNet_Props[Usage type],"Balance"),0),
IFERROR(N223/100*SUMIFS(Input_TUNet_Props[F-CurrentVDO_Input],Input_TUNet_Props[Customer type],Calc_TUV_Net_1[[#This Row],[Customer type]],Input_TUNet_Props[Usage type],"Single rate"),0))</f>
        <v>0</v>
      </c>
      <c r="O224" s="67">
        <f>SUMIFS(TUNet_Usage_Actual_1[Value],TUNet_Usage_Actual_1[Customer type],Calc_TUV_Net_1[[#This Row],[Customer type]],TUNet_Usage_Actual_1[Description],"Usage per customer")*SUM(
IFERROR(O221/100*SUMIFS(Input_TUNet_Props[F-CurrentVDO_Input],Input_TUNet_Props[Customer type],Calc_TUV_Net_1[[#This Row],[Customer type]],Input_TUNet_Props[Usage type],"Block 1"),0),
IFERROR(O222/100*SUMIFS(Input_TUNet_Props[F-CurrentVDO_Input],Input_TUNet_Props[Customer type],Calc_TUV_Net_1[[#This Row],[Customer type]],Input_TUNet_Props[Usage type],"Balance"),0),
IFERROR(O223/100*SUMIFS(Input_TUNet_Props[F-CurrentVDO_Input],Input_TUNet_Props[Customer type],Calc_TUV_Net_1[[#This Row],[Customer type]],Input_TUNet_Props[Usage type],"Single rate"),0))</f>
        <v>0</v>
      </c>
    </row>
    <row r="225" spans="2:17" hidden="1" outlineLevel="1" x14ac:dyDescent="0.25">
      <c r="C225" s="59" t="s">
        <v>319</v>
      </c>
      <c r="D225" s="59"/>
      <c r="E225" s="59"/>
      <c r="F225" s="59"/>
      <c r="G225" s="59"/>
      <c r="H225" s="23" t="s">
        <v>130</v>
      </c>
      <c r="I225" s="23" t="s">
        <v>109</v>
      </c>
      <c r="J225" s="59" t="s">
        <v>93</v>
      </c>
      <c r="K225" s="65" t="str">
        <f>IF(K224=0,"-",K220-K224)</f>
        <v>-</v>
      </c>
      <c r="L225" s="65" t="str">
        <f t="shared" ref="L225:O225" si="55">IF(L224=0,"-",L220-L224)</f>
        <v>-</v>
      </c>
      <c r="M225" s="65" t="str">
        <f t="shared" si="55"/>
        <v>-</v>
      </c>
      <c r="N225" s="65" t="str">
        <f t="shared" si="55"/>
        <v>-</v>
      </c>
      <c r="O225" s="65" t="str">
        <f t="shared" si="55"/>
        <v>-</v>
      </c>
    </row>
    <row r="226" spans="2:17" hidden="1" outlineLevel="1" x14ac:dyDescent="0.25">
      <c r="C226" s="59" t="s">
        <v>442</v>
      </c>
      <c r="D226" s="59"/>
      <c r="E226" s="59"/>
      <c r="F226" s="59"/>
      <c r="G226" s="59"/>
      <c r="H226" s="23" t="s">
        <v>130</v>
      </c>
      <c r="I226" s="23" t="s">
        <v>109</v>
      </c>
      <c r="J226" s="59" t="s">
        <v>93</v>
      </c>
      <c r="K226" s="66" t="str">
        <f>IFERROR(IF($D$11="Yes",K225*(1+WACC_adj_1),""),"-")</f>
        <v/>
      </c>
      <c r="L226" s="66" t="str">
        <f>IFERROR(IF($D$11="Yes",L225*(1+WACC_adj_1),""),"-")</f>
        <v/>
      </c>
      <c r="M226" s="66" t="str">
        <f>IFERROR(IF($D$11="Yes",M225*(1+WACC_adj_1),""),"-")</f>
        <v/>
      </c>
      <c r="N226" s="66" t="str">
        <f>IFERROR(IF($D$11="Yes",N225*(1+WACC_adj_1),""),"-")</f>
        <v/>
      </c>
      <c r="O226" s="66" t="str">
        <f>IFERROR(IF($D$11="Yes",O225*(1+WACC_adj_1),""),"-")</f>
        <v/>
      </c>
    </row>
    <row r="227" spans="2:17" hidden="1" outlineLevel="1" x14ac:dyDescent="0.25">
      <c r="C227" s="59" t="s">
        <v>321</v>
      </c>
      <c r="D227" s="82" t="str">
        <f>INDEX(Input_DecisionActual[[Decision]:[Decision]],MATCH(Calc_TU_values!$D$5,Input_DecisionActual[[VDO period]:[VDO period]],0),1)</f>
        <v>VDO 2022 - Final</v>
      </c>
      <c r="E227" s="23" t="s">
        <v>587</v>
      </c>
      <c r="F227" s="82" t="str">
        <f>IF($D227="-","-",INDEX(Inputs!$H$10:$U$10,1,MATCH($D227,Inputs!$H$8:$U$8,0)))</f>
        <v>F-CurrentVDO_Input</v>
      </c>
      <c r="G227" s="59"/>
      <c r="H227" s="23" t="s">
        <v>130</v>
      </c>
      <c r="I227" s="23" t="s">
        <v>109</v>
      </c>
      <c r="J227" s="59" t="s">
        <v>93</v>
      </c>
      <c r="K227" s="66" cm="1">
        <f t="array" ref="K227">IFERROR(SUM(K225:K226)*(INDEX(Inputs!$H$11:$U$128,MATCH("Retail operating margin",Input_ForRateCalc[[Cost item]:[Cost item]],0),MATCH(Calc_TUV_Net_1[[#This Row],[Decision ref]:[Decision ref]],Inputs!$H$10:$U$10,0))),"-")</f>
        <v>0</v>
      </c>
      <c r="L227" s="66" cm="1">
        <f t="array" ref="L227">IFERROR(SUM(L225:L226)*(INDEX(Inputs!$H$11:$U$128,MATCH("Retail operating margin",Input_ForRateCalc[[Cost item]:[Cost item]],0),MATCH(Calc_TUV_Net_1[[#This Row],[Decision ref]:[Decision ref]],Inputs!$H$10:$U$10,0))),"-")</f>
        <v>0</v>
      </c>
      <c r="M227" s="66" cm="1">
        <f t="array" ref="M227">IFERROR(SUM(M225:M226)*(INDEX(Inputs!$H$11:$U$128,MATCH("Retail operating margin",Input_ForRateCalc[[Cost item]:[Cost item]],0),MATCH(Calc_TUV_Net_1[[#This Row],[Decision ref]:[Decision ref]],Inputs!$H$10:$U$10,0))),"-")</f>
        <v>0</v>
      </c>
      <c r="N227" s="66" cm="1">
        <f t="array" ref="N227">IFERROR(SUM(N225:N226)*(INDEX(Inputs!$H$11:$U$128,MATCH("Retail operating margin",Input_ForRateCalc[[Cost item]:[Cost item]],0),MATCH(Calc_TUV_Net_1[[#This Row],[Decision ref]:[Decision ref]],Inputs!$H$10:$U$10,0))),"-")</f>
        <v>0</v>
      </c>
      <c r="O227" s="66" cm="1">
        <f t="array" ref="O227">IFERROR(SUM(O225:O226)*(INDEX(Inputs!$H$11:$U$128,MATCH("Retail operating margin",Input_ForRateCalc[[Cost item]:[Cost item]],0),MATCH(Calc_TUV_Net_1[[#This Row],[Decision ref]:[Decision ref]],Inputs!$H$10:$U$10,0))),"-")</f>
        <v>0</v>
      </c>
    </row>
    <row r="228" spans="2:17" hidden="1" outlineLevel="1" x14ac:dyDescent="0.25">
      <c r="C228" s="59" t="s">
        <v>443</v>
      </c>
      <c r="D228" s="59"/>
      <c r="E228" s="59"/>
      <c r="F228" s="59"/>
      <c r="G228" s="59"/>
      <c r="H228" s="23" t="s">
        <v>130</v>
      </c>
      <c r="I228" s="23" t="s">
        <v>109</v>
      </c>
      <c r="J228" s="59" t="s">
        <v>93</v>
      </c>
      <c r="K228" s="66" t="str">
        <f>IF(K224=0,"-",SUM(K225:K227)*GST)</f>
        <v>-</v>
      </c>
      <c r="L228" s="66" t="str">
        <f>IF(L224=0,"-",SUM(L225:L227)*GST)</f>
        <v>-</v>
      </c>
      <c r="M228" s="66" t="str">
        <f>IF(M224=0,"-",SUM(M225:M227)*GST)</f>
        <v>-</v>
      </c>
      <c r="N228" s="66" t="str">
        <f>IF(N224=0,"-",SUM(N225:N227)*GST)</f>
        <v>-</v>
      </c>
      <c r="O228" s="66" t="str">
        <f>IF(O224=0,"-",SUM(O225:O227)*GST)</f>
        <v>-</v>
      </c>
    </row>
    <row r="229" spans="2:17" hidden="1" outlineLevel="1" x14ac:dyDescent="0.25">
      <c r="C229" s="23" t="s">
        <v>538</v>
      </c>
      <c r="D229" s="59"/>
      <c r="E229" s="59"/>
      <c r="F229" s="59"/>
      <c r="H229" s="23" t="s">
        <v>130</v>
      </c>
      <c r="I229" s="23" t="s">
        <v>109</v>
      </c>
      <c r="J229" s="59" t="s">
        <v>93</v>
      </c>
      <c r="K229" s="66" t="str">
        <f>IF(K224=0,"-",SUM(K225:K228))</f>
        <v>-</v>
      </c>
      <c r="L229" s="66" t="str">
        <f t="shared" ref="L229:O229" si="56">IF(L224=0,"-",SUM(L225:L228))</f>
        <v>-</v>
      </c>
      <c r="M229" s="66" t="str">
        <f t="shared" si="56"/>
        <v>-</v>
      </c>
      <c r="N229" s="66" t="str">
        <f t="shared" si="56"/>
        <v>-</v>
      </c>
      <c r="O229" s="66" t="str">
        <f t="shared" si="56"/>
        <v>-</v>
      </c>
    </row>
    <row r="230" spans="2:17" hidden="1" outlineLevel="1" x14ac:dyDescent="0.25">
      <c r="C230" s="57"/>
      <c r="D230" s="57"/>
      <c r="E230" s="57"/>
      <c r="F230" s="57"/>
      <c r="G230" s="68"/>
      <c r="H230" s="68"/>
      <c r="I230" s="23"/>
      <c r="J230" s="23"/>
      <c r="K230" s="65"/>
      <c r="L230" s="23"/>
      <c r="M230" s="23"/>
      <c r="N230" s="23"/>
      <c r="O230" s="23"/>
    </row>
    <row r="231" spans="2:17" hidden="1" outlineLevel="1" x14ac:dyDescent="0.25"/>
    <row r="232" spans="2:17" hidden="1" x14ac:dyDescent="0.25"/>
    <row r="233" spans="2:17" hidden="1" x14ac:dyDescent="0.25"/>
    <row r="235" spans="2:17" ht="15.75" collapsed="1" x14ac:dyDescent="0.25">
      <c r="C235" s="54" t="s">
        <v>101</v>
      </c>
      <c r="D235" s="41" t="str">
        <f>Calc_Rates!$D$254</f>
        <v>VDO 2022 - Final</v>
      </c>
    </row>
    <row r="236" spans="2:17" hidden="1" outlineLevel="1" x14ac:dyDescent="0.25"/>
    <row r="237" spans="2:17" ht="16.5" hidden="1" outlineLevel="1" collapsed="1" thickBot="1" x14ac:dyDescent="0.3">
      <c r="B237" s="9">
        <f ca="1">MAX(B$3:B236)+0.1</f>
        <v>13.299999999999999</v>
      </c>
      <c r="C237" s="33" t="s">
        <v>314</v>
      </c>
      <c r="D237" s="28"/>
      <c r="E237" s="28"/>
      <c r="F237" s="28"/>
      <c r="G237" s="28"/>
      <c r="H237" s="28"/>
      <c r="I237" s="28"/>
      <c r="J237" s="28"/>
      <c r="K237" s="28"/>
      <c r="L237" s="28"/>
      <c r="M237" s="28"/>
      <c r="N237" s="28"/>
      <c r="O237" s="28"/>
      <c r="P237" s="28"/>
      <c r="Q237" s="28"/>
    </row>
    <row r="238" spans="2:17" hidden="1" outlineLevel="2" x14ac:dyDescent="0.25"/>
    <row r="239" spans="2:17" ht="15.75" hidden="1" outlineLevel="2" x14ac:dyDescent="0.25">
      <c r="C239" s="54" t="s">
        <v>516</v>
      </c>
      <c r="D239" s="195">
        <v>12</v>
      </c>
      <c r="H239" s="42" t="s">
        <v>46</v>
      </c>
      <c r="I239" s="246" t="s">
        <v>103</v>
      </c>
      <c r="J239" s="246" t="s">
        <v>91</v>
      </c>
      <c r="K239" s="197" t="s">
        <v>268</v>
      </c>
      <c r="L239" s="197" t="s">
        <v>269</v>
      </c>
      <c r="M239" s="197" t="s">
        <v>270</v>
      </c>
      <c r="N239" s="197" t="s">
        <v>271</v>
      </c>
      <c r="O239" s="197" t="s">
        <v>272</v>
      </c>
      <c r="P239" s="50" t="s">
        <v>612</v>
      </c>
    </row>
    <row r="240" spans="2:17" ht="15.75" hidden="1" outlineLevel="2" x14ac:dyDescent="0.25">
      <c r="C240" s="54" t="s">
        <v>515</v>
      </c>
      <c r="D240" s="196">
        <f>D239/MiY</f>
        <v>1</v>
      </c>
      <c r="H240" s="59" t="s">
        <v>322</v>
      </c>
      <c r="I240" s="23" t="s">
        <v>131</v>
      </c>
      <c r="J240" s="59" t="s">
        <v>110</v>
      </c>
      <c r="K240" s="291">
        <f>INDEX(Calc_TUV_Env_2[[Ausnet]:[United Energy]],MATCH($H240,Calc_TUV_Env_2[[Cost item]:[Cost item]],0),MATCH(K$239,Calc_TUV_Env_2[[#Headers],[Ausnet]:[United Energy]],0))*1000</f>
        <v>-0.1290381301027009</v>
      </c>
      <c r="L240" s="291">
        <f>INDEX(Calc_TUV_Env_2[[Ausnet]:[United Energy]],MATCH($H240,Calc_TUV_Env_2[[Cost item]:[Cost item]],0),MATCH(L$239,Calc_TUV_Env_2[[#Headers],[Ausnet]:[United Energy]],0))*1000</f>
        <v>-0.126807719527189</v>
      </c>
      <c r="M240" s="291">
        <f>INDEX(Calc_TUV_Env_2[[Ausnet]:[United Energy]],MATCH($H240,Calc_TUV_Env_2[[Cost item]:[Cost item]],0),MATCH(M$239,Calc_TUV_Env_2[[#Headers],[Ausnet]:[United Energy]],0))*1000</f>
        <v>-0.12548304982466096</v>
      </c>
      <c r="N240" s="291">
        <f>INDEX(Calc_TUV_Env_2[[Ausnet]:[United Energy]],MATCH($H240,Calc_TUV_Env_2[[Cost item]:[Cost item]],0),MATCH(N$239,Calc_TUV_Env_2[[#Headers],[Ausnet]:[United Energy]],0))*1000</f>
        <v>-0.12952664283442072</v>
      </c>
      <c r="O240" s="291">
        <f>INDEX(Calc_TUV_Env_2[[Ausnet]:[United Energy]],MATCH($H240,Calc_TUV_Env_2[[Cost item]:[Cost item]],0),MATCH(O$239,Calc_TUV_Env_2[[#Headers],[Ausnet]:[United Energy]],0))*1000</f>
        <v>-0.12727026118886395</v>
      </c>
      <c r="P240" s="291">
        <f>AVERAGE(K240:O240)</f>
        <v>-0.12762516069556712</v>
      </c>
    </row>
    <row r="241" spans="3:20" ht="15.75" hidden="1" outlineLevel="2" x14ac:dyDescent="0.25">
      <c r="C241" s="54" t="s">
        <v>442</v>
      </c>
      <c r="D241" s="195" t="s">
        <v>317</v>
      </c>
      <c r="H241" s="59" t="s">
        <v>324</v>
      </c>
      <c r="I241" s="23" t="s">
        <v>131</v>
      </c>
      <c r="J241" s="59" t="s">
        <v>110</v>
      </c>
      <c r="K241" s="291">
        <f>INDEX(Calc_TUV_Env_2[[Ausnet]:[United Energy]],MATCH($H241,Calc_TUV_Env_2[[Cost item]:[Cost item]],0),MATCH(K$239,Calc_TUV_Env_2[[#Headers],[Ausnet]:[United Energy]],0))*1000</f>
        <v>3.4352084792230904</v>
      </c>
      <c r="L241" s="291">
        <f>INDEX(Calc_TUV_Env_2[[Ausnet]:[United Energy]],MATCH($H241,Calc_TUV_Env_2[[Cost item]:[Cost item]],0),MATCH(L$239,Calc_TUV_Env_2[[#Headers],[Ausnet]:[United Energy]],0))*1000</f>
        <v>3.3758312601402558</v>
      </c>
      <c r="M241" s="291">
        <f>INDEX(Calc_TUV_Env_2[[Ausnet]:[United Energy]],MATCH($H241,Calc_TUV_Env_2[[Cost item]:[Cost item]],0),MATCH(M$239,Calc_TUV_Env_2[[#Headers],[Ausnet]:[United Energy]],0))*1000</f>
        <v>3.3405663613799246</v>
      </c>
      <c r="N241" s="291">
        <f>INDEX(Calc_TUV_Env_2[[Ausnet]:[United Energy]],MATCH($H241,Calc_TUV_Env_2[[Cost item]:[Cost item]],0),MATCH(N$239,Calc_TUV_Env_2[[#Headers],[Ausnet]:[United Energy]],0))*1000</f>
        <v>3.4482134962430728</v>
      </c>
      <c r="O241" s="291">
        <f>INDEX(Calc_TUV_Env_2[[Ausnet]:[United Energy]],MATCH($H241,Calc_TUV_Env_2[[Cost item]:[Cost item]],0),MATCH(O$239,Calc_TUV_Env_2[[#Headers],[Ausnet]:[United Energy]],0))*1000</f>
        <v>3.3881448843140962</v>
      </c>
      <c r="P241" s="291">
        <f t="shared" ref="P241:P242" si="57">AVERAGE(K241:O241)</f>
        <v>3.3975928962600874</v>
      </c>
    </row>
    <row r="242" spans="3:20" ht="15.75" hidden="1" outlineLevel="2" x14ac:dyDescent="0.25">
      <c r="C242" s="54" t="s">
        <v>558</v>
      </c>
      <c r="D242" s="196">
        <f>(1+WACC)^(1/1)-1</f>
        <v>6.5500000000000114E-2</v>
      </c>
      <c r="H242" s="181" t="s">
        <v>326</v>
      </c>
      <c r="I242" s="23" t="s">
        <v>131</v>
      </c>
      <c r="J242" s="59" t="s">
        <v>110</v>
      </c>
      <c r="K242" s="291">
        <f>INDEX(Calc_TUV_Env_2[[Ausnet]:[United Energy]],MATCH($H242,Calc_TUV_Env_2[[Cost item]:[Cost item]],0),MATCH(K$239,Calc_TUV_Env_2[[#Headers],[Ausnet]:[United Energy]],0))*1000</f>
        <v>0</v>
      </c>
      <c r="L242" s="291">
        <f>INDEX(Calc_TUV_Env_2[[Ausnet]:[United Energy]],MATCH($H242,Calc_TUV_Env_2[[Cost item]:[Cost item]],0),MATCH(L$239,Calc_TUV_Env_2[[#Headers],[Ausnet]:[United Energy]],0))*1000</f>
        <v>0</v>
      </c>
      <c r="M242" s="291">
        <f>INDEX(Calc_TUV_Env_2[[Ausnet]:[United Energy]],MATCH($H242,Calc_TUV_Env_2[[Cost item]:[Cost item]],0),MATCH(M$239,Calc_TUV_Env_2[[#Headers],[Ausnet]:[United Energy]],0))*1000</f>
        <v>0</v>
      </c>
      <c r="N242" s="291">
        <f>INDEX(Calc_TUV_Env_2[[Ausnet]:[United Energy]],MATCH($H242,Calc_TUV_Env_2[[Cost item]:[Cost item]],0),MATCH(N$239,Calc_TUV_Env_2[[#Headers],[Ausnet]:[United Energy]],0))*1000</f>
        <v>0</v>
      </c>
      <c r="O242" s="291">
        <f>INDEX(Calc_TUV_Env_2[[Ausnet]:[United Energy]],MATCH($H242,Calc_TUV_Env_2[[Cost item]:[Cost item]],0),MATCH(O$239,Calc_TUV_Env_2[[#Headers],[Ausnet]:[United Energy]],0))*1000</f>
        <v>0</v>
      </c>
      <c r="P242" s="291">
        <f t="shared" si="57"/>
        <v>0</v>
      </c>
    </row>
    <row r="243" spans="3:20" hidden="1" outlineLevel="2" x14ac:dyDescent="0.25"/>
    <row r="244" spans="3:20" ht="15.75" hidden="1" outlineLevel="2" x14ac:dyDescent="0.25">
      <c r="C244" s="29" t="s">
        <v>650</v>
      </c>
    </row>
    <row r="245" spans="3:20" ht="15.75" hidden="1" outlineLevel="2" x14ac:dyDescent="0.25">
      <c r="C245" s="43" t="s">
        <v>46</v>
      </c>
      <c r="D245" s="43" t="s">
        <v>101</v>
      </c>
      <c r="E245" s="43" t="s">
        <v>585</v>
      </c>
      <c r="F245" s="43" t="s">
        <v>588</v>
      </c>
      <c r="G245" s="43" t="s">
        <v>315</v>
      </c>
      <c r="H245" s="43" t="s">
        <v>102</v>
      </c>
      <c r="I245" s="43" t="s">
        <v>103</v>
      </c>
      <c r="J245" s="42" t="s">
        <v>91</v>
      </c>
      <c r="K245" s="60" t="s">
        <v>268</v>
      </c>
      <c r="L245" s="60" t="s">
        <v>269</v>
      </c>
      <c r="M245" s="60" t="s">
        <v>270</v>
      </c>
      <c r="N245" s="60" t="s">
        <v>271</v>
      </c>
      <c r="O245" s="60" t="s">
        <v>272</v>
      </c>
    </row>
    <row r="246" spans="3:20" hidden="1" outlineLevel="2" x14ac:dyDescent="0.25">
      <c r="C246" s="23"/>
      <c r="D246" s="23"/>
      <c r="E246" s="23"/>
      <c r="F246" s="23"/>
      <c r="G246" s="23"/>
      <c r="H246" s="23"/>
      <c r="I246" s="23"/>
      <c r="J246" s="23"/>
      <c r="K246" s="23"/>
      <c r="L246" s="23"/>
      <c r="M246" s="23"/>
      <c r="N246" s="23"/>
      <c r="O246" s="23"/>
    </row>
    <row r="247" spans="3:20" hidden="1" outlineLevel="2" x14ac:dyDescent="0.25">
      <c r="C247" s="57" t="s">
        <v>316</v>
      </c>
      <c r="D247" s="57"/>
      <c r="E247" s="57"/>
      <c r="F247" s="57"/>
      <c r="G247" s="68" t="s">
        <v>639</v>
      </c>
      <c r="H247" s="68"/>
      <c r="I247" s="23"/>
      <c r="J247" s="23"/>
      <c r="K247" s="23"/>
      <c r="L247" s="23"/>
      <c r="M247" s="23"/>
      <c r="N247" s="23"/>
      <c r="O247" s="23"/>
    </row>
    <row r="248" spans="3:20" hidden="1" outlineLevel="2" x14ac:dyDescent="0.25">
      <c r="C248" s="23" t="s">
        <v>154</v>
      </c>
      <c r="D248" s="82" t="str">
        <f>Calc_TU_values!$D$235</f>
        <v>VDO 2022 - Final</v>
      </c>
      <c r="E248" s="23" t="s">
        <v>586</v>
      </c>
      <c r="F248" s="82" t="str">
        <f>INDEX(Inputs!$H$10:$U$10,1,MATCH($D248,Inputs!$H$8:$U$8,0))</f>
        <v>F-CurrentVDO_Input</v>
      </c>
      <c r="G248" s="58"/>
      <c r="H248" s="23" t="s">
        <v>130</v>
      </c>
      <c r="I248" s="23" t="s">
        <v>153</v>
      </c>
      <c r="J248" s="59" t="s">
        <v>110</v>
      </c>
      <c r="K248" s="65">
        <f>IFERROR(INDEX(Input_TUEnv_Actual[],MATCH($C248,Input_TUEnv_Actual[Cost item],0),MATCH($F248,Input_TUEnv_Actual[#Headers],0)),"-")</f>
        <v>35.75</v>
      </c>
      <c r="L248" s="65">
        <f>IFERROR(INDEX(Input_TUEnv_Actual[],MATCH($C248,Input_TUEnv_Actual[Cost item],0),MATCH($F248,Input_TUEnv_Actual[#Headers],0)),"-")</f>
        <v>35.75</v>
      </c>
      <c r="M248" s="65">
        <f>IFERROR(INDEX(Input_TUEnv_Actual[],MATCH($C248,Input_TUEnv_Actual[Cost item],0),MATCH($F248,Input_TUEnv_Actual[#Headers],0)),"-")</f>
        <v>35.75</v>
      </c>
      <c r="N248" s="65">
        <f>IFERROR(INDEX(Input_TUEnv_Actual[],MATCH($C248,Input_TUEnv_Actual[Cost item],0),MATCH($F248,Input_TUEnv_Actual[#Headers],0)),"-")</f>
        <v>35.75</v>
      </c>
      <c r="O248" s="65">
        <f>IFERROR(INDEX(Input_TUEnv_Actual[],MATCH($C248,Input_TUEnv_Actual[Cost item],0),MATCH($F248,Input_TUEnv_Actual[#Headers],0)),"-")</f>
        <v>35.75</v>
      </c>
    </row>
    <row r="249" spans="3:20" hidden="1" outlineLevel="2" x14ac:dyDescent="0.25">
      <c r="C249" s="23" t="s">
        <v>158</v>
      </c>
      <c r="D249" s="82" t="str">
        <f>Calc_TU_values!$D$235</f>
        <v>VDO 2022 - Final</v>
      </c>
      <c r="E249" s="23" t="s">
        <v>586</v>
      </c>
      <c r="F249" s="82" t="str">
        <f>INDEX(Inputs!$H$10:$U$10,1,MATCH($D249,Inputs!$H$8:$U$8,0))</f>
        <v>F-CurrentVDO_Input</v>
      </c>
      <c r="G249" s="58"/>
      <c r="H249" s="23" t="s">
        <v>130</v>
      </c>
      <c r="I249" s="23" t="s">
        <v>157</v>
      </c>
      <c r="J249" s="59" t="s">
        <v>110</v>
      </c>
      <c r="K249" s="67">
        <f>IFERROR(INDEX(Input_TUEnv_Actual[],MATCH($C249,Input_TUEnv_Actual[Cost item],0),MATCH($F249,Input_TUEnv_Actual[#Headers],0)),"-")</f>
        <v>0.18540000000000001</v>
      </c>
      <c r="L249" s="67">
        <f>IFERROR(INDEX(Input_TUEnv_Actual[],MATCH($C249,Input_TUEnv_Actual[Cost item],0),MATCH($F249,Input_TUEnv_Actual[#Headers],0)),"-")</f>
        <v>0.18540000000000001</v>
      </c>
      <c r="M249" s="67">
        <f>IFERROR(INDEX(Input_TUEnv_Actual[],MATCH($C249,Input_TUEnv_Actual[Cost item],0),MATCH($F249,Input_TUEnv_Actual[#Headers],0)),"-")</f>
        <v>0.18540000000000001</v>
      </c>
      <c r="N249" s="67">
        <f>IFERROR(INDEX(Input_TUEnv_Actual[],MATCH($C249,Input_TUEnv_Actual[Cost item],0),MATCH($F249,Input_TUEnv_Actual[#Headers],0)),"-")</f>
        <v>0.18540000000000001</v>
      </c>
      <c r="O249" s="67">
        <f>IFERROR(INDEX(Input_TUEnv_Actual[],MATCH($C249,Input_TUEnv_Actual[Cost item],0),MATCH($F249,Input_TUEnv_Actual[#Headers],0)),"-")</f>
        <v>0.18540000000000001</v>
      </c>
    </row>
    <row r="250" spans="3:20" hidden="1" outlineLevel="2" x14ac:dyDescent="0.25">
      <c r="C250" s="23" t="s">
        <v>318</v>
      </c>
      <c r="D250" s="82" t="str">
        <f>Calc_TU_values!$D$235</f>
        <v>VDO 2022 - Final</v>
      </c>
      <c r="E250" s="23" t="s">
        <v>586</v>
      </c>
      <c r="F250" s="82" t="str">
        <f>INDEX(Inputs!$H$10:$U$10,1,MATCH($D250,Inputs!$H$8:$U$8,0))</f>
        <v>F-CurrentVDO_Input</v>
      </c>
      <c r="G250" s="58"/>
      <c r="H250" s="23" t="s">
        <v>130</v>
      </c>
      <c r="I250" s="23" t="s">
        <v>282</v>
      </c>
      <c r="J250" s="59" t="s">
        <v>110</v>
      </c>
      <c r="K250" s="64">
        <f>K248*K249/1000</f>
        <v>6.6280499999999999E-3</v>
      </c>
      <c r="L250" s="64">
        <f t="shared" ref="L250" si="58">L248*L249/1000</f>
        <v>6.6280499999999999E-3</v>
      </c>
      <c r="M250" s="64">
        <f t="shared" ref="M250" si="59">M248*M249/1000</f>
        <v>6.6280499999999999E-3</v>
      </c>
      <c r="N250" s="64">
        <f t="shared" ref="N250" si="60">N248*N249/1000</f>
        <v>6.6280499999999999E-3</v>
      </c>
      <c r="O250" s="64">
        <f t="shared" ref="O250" si="61">O248*O249/1000</f>
        <v>6.6280499999999999E-3</v>
      </c>
    </row>
    <row r="251" spans="3:20" hidden="1" outlineLevel="2" x14ac:dyDescent="0.25">
      <c r="C251" s="23" t="s">
        <v>154</v>
      </c>
      <c r="D251" s="82" t="str">
        <f>INDEX(Input_DecisionActual[[Decision]:[Decision]],MATCH(Calc_TU_values!$D$235,Input_DecisionActual[[VDO period]:[VDO period]],0),1)</f>
        <v>VDO 2021 - Final</v>
      </c>
      <c r="E251" s="23" t="s">
        <v>587</v>
      </c>
      <c r="F251" s="82" t="str">
        <f>IF($D251="-","-",INDEX(Inputs!$H$10:$U$10,1,MATCH($D251,Inputs!$H$8:$U$8,0)))</f>
        <v>F-PreviousVDO_Input</v>
      </c>
      <c r="G251" s="58"/>
      <c r="H251" s="23" t="s">
        <v>130</v>
      </c>
      <c r="I251" s="23" t="s">
        <v>153</v>
      </c>
      <c r="J251" s="59" t="s">
        <v>110</v>
      </c>
      <c r="K251" s="66">
        <f>IFERROR(INDEX(Inputs!$H$11:$U$128,MATCH($C251,Input_ForRateCalc[Cost item],0),MATCH($F251,Inputs!$H$10:$U$10,0)),"-")</f>
        <v>35.75</v>
      </c>
      <c r="L251" s="66">
        <f>IFERROR(INDEX(Inputs!$H$11:$U$128,MATCH($C251,Input_ForRateCalc[Cost item],0),MATCH($F251,Inputs!$H$10:$U$10,0)),"-")</f>
        <v>35.75</v>
      </c>
      <c r="M251" s="66">
        <f>IFERROR(INDEX(Inputs!$H$11:$U$128,MATCH($C251,Input_ForRateCalc[Cost item],0),MATCH($F251,Inputs!$H$10:$U$10,0)),"-")</f>
        <v>35.75</v>
      </c>
      <c r="N251" s="66">
        <f>IFERROR(INDEX(Inputs!$H$11:$U$128,MATCH($C251,Input_ForRateCalc[Cost item],0),MATCH($F251,Inputs!$H$10:$U$10,0)),"-")</f>
        <v>35.75</v>
      </c>
      <c r="O251" s="66">
        <f>IFERROR(INDEX(Inputs!$H$11:$U$128,MATCH($C251,Input_ForRateCalc[Cost item],0),MATCH($F251,Inputs!$H$10:$U$10,0)),"-")</f>
        <v>35.75</v>
      </c>
    </row>
    <row r="252" spans="3:20" hidden="1" outlineLevel="2" x14ac:dyDescent="0.25">
      <c r="C252" s="23" t="s">
        <v>158</v>
      </c>
      <c r="D252" s="82" t="str">
        <f>INDEX(Input_DecisionActual[[Decision]:[Decision]],MATCH(Calc_TU_values!$D$235,Input_DecisionActual[[VDO period]:[VDO period]],0),1)</f>
        <v>VDO 2021 - Final</v>
      </c>
      <c r="E252" s="23" t="s">
        <v>587</v>
      </c>
      <c r="F252" s="82" t="str">
        <f>IF($D252="-","-",INDEX(Inputs!$H$10:$U$10,1,MATCH($D252,Inputs!$H$8:$U$8,0)))</f>
        <v>F-PreviousVDO_Input</v>
      </c>
      <c r="G252" s="58"/>
      <c r="H252" s="23" t="s">
        <v>130</v>
      </c>
      <c r="I252" s="23" t="s">
        <v>157</v>
      </c>
      <c r="J252" s="59" t="s">
        <v>110</v>
      </c>
      <c r="K252" s="67">
        <f>IFERROR(INDEX(Inputs!$H$11:$U$128,MATCH($C252,Input_ForRateCalc[Cost item],0),MATCH($F252,Inputs!$H$10:$U$10,0)),"-")</f>
        <v>0.1883</v>
      </c>
      <c r="L252" s="67">
        <f>IFERROR(INDEX(Inputs!$H$11:$U$128,MATCH($C252,Input_ForRateCalc[Cost item],0),MATCH($F252,Inputs!$H$10:$U$10,0)),"-")</f>
        <v>0.1883</v>
      </c>
      <c r="M252" s="67">
        <f>IFERROR(INDEX(Inputs!$H$11:$U$128,MATCH($C252,Input_ForRateCalc[Cost item],0),MATCH($F252,Inputs!$H$10:$U$10,0)),"-")</f>
        <v>0.1883</v>
      </c>
      <c r="N252" s="67">
        <f>IFERROR(INDEX(Inputs!$H$11:$U$128,MATCH($C252,Input_ForRateCalc[Cost item],0),MATCH($F252,Inputs!$H$10:$U$10,0)),"-")</f>
        <v>0.1883</v>
      </c>
      <c r="O252" s="67">
        <f>IFERROR(INDEX(Inputs!$H$11:$U$128,MATCH($C252,Input_ForRateCalc[Cost item],0),MATCH($F252,Inputs!$H$10:$U$10,0)),"-")</f>
        <v>0.1883</v>
      </c>
      <c r="T252" s="122"/>
    </row>
    <row r="253" spans="3:20" hidden="1" outlineLevel="2" x14ac:dyDescent="0.25">
      <c r="C253" s="23" t="s">
        <v>318</v>
      </c>
      <c r="D253" s="82" t="str">
        <f>INDEX(Input_DecisionActual[[Decision]:[Decision]],MATCH(Calc_TU_values!$D$235,Input_DecisionActual[[VDO period]:[VDO period]],0),1)</f>
        <v>VDO 2021 - Final</v>
      </c>
      <c r="E253" s="23" t="s">
        <v>587</v>
      </c>
      <c r="F253" s="82" t="str">
        <f>IF($D253="-","-",INDEX(Inputs!$H$10:$U$10,1,MATCH($D253,Inputs!$H$8:$U$8,0)))</f>
        <v>F-PreviousVDO_Input</v>
      </c>
      <c r="G253" s="58"/>
      <c r="H253" s="23" t="s">
        <v>130</v>
      </c>
      <c r="I253" s="23" t="s">
        <v>282</v>
      </c>
      <c r="J253" s="59" t="s">
        <v>110</v>
      </c>
      <c r="K253" s="64">
        <f>IFERROR(K251*K252/1000,"-")</f>
        <v>6.731725E-3</v>
      </c>
      <c r="L253" s="64">
        <f t="shared" ref="L253" si="62">IFERROR(L251*L252/1000,"-")</f>
        <v>6.731725E-3</v>
      </c>
      <c r="M253" s="64">
        <f t="shared" ref="M253" si="63">IFERROR(M251*M252/1000,"-")</f>
        <v>6.731725E-3</v>
      </c>
      <c r="N253" s="64">
        <f t="shared" ref="N253" si="64">IFERROR(N251*N252/1000,"-")</f>
        <v>6.731725E-3</v>
      </c>
      <c r="O253" s="64">
        <f t="shared" ref="O253" si="65">IFERROR(O251*O252/1000,"-")</f>
        <v>6.731725E-3</v>
      </c>
    </row>
    <row r="254" spans="3:20" hidden="1" outlineLevel="2" x14ac:dyDescent="0.25">
      <c r="C254" s="23" t="s">
        <v>319</v>
      </c>
      <c r="D254" s="23"/>
      <c r="E254" s="23"/>
      <c r="F254" s="23"/>
      <c r="G254" s="23"/>
      <c r="H254" s="23" t="s">
        <v>130</v>
      </c>
      <c r="I254" s="23" t="s">
        <v>282</v>
      </c>
      <c r="J254" s="23" t="s">
        <v>110</v>
      </c>
      <c r="K254" s="128">
        <f>IFERROR(K250-K253,"-")</f>
        <v>-1.0367500000000012E-4</v>
      </c>
      <c r="L254" s="128">
        <f t="shared" ref="L254" si="66">IFERROR(L250-L253,"-")</f>
        <v>-1.0367500000000012E-4</v>
      </c>
      <c r="M254" s="128">
        <f t="shared" ref="M254" si="67">IFERROR(M250-M253,"-")</f>
        <v>-1.0367500000000012E-4</v>
      </c>
      <c r="N254" s="128">
        <f t="shared" ref="N254" si="68">IFERROR(N250-N253,"-")</f>
        <v>-1.0367500000000012E-4</v>
      </c>
      <c r="O254" s="128">
        <f t="shared" ref="O254" si="69">IFERROR(O250-O253,"-")</f>
        <v>-1.0367500000000012E-4</v>
      </c>
      <c r="Q254" s="178"/>
    </row>
    <row r="255" spans="3:20" hidden="1" outlineLevel="2" x14ac:dyDescent="0.25">
      <c r="C255" s="23" t="s">
        <v>320</v>
      </c>
      <c r="D255" s="82" t="str">
        <f>INDEX(Input_DecisionActual[[Decision]:[Decision]],MATCH(Calc_TU_values!$D$235,Input_DecisionActual[[VDO period]:[VDO period]],0),1)</f>
        <v>VDO 2021 - Final</v>
      </c>
      <c r="E255" s="23" t="s">
        <v>587</v>
      </c>
      <c r="F255" s="82" t="str">
        <f>IF($D255="-","-",INDEX(Inputs!$H$10:$U$10,1,MATCH($D255,Inputs!$H$8:$U$8,0)))</f>
        <v>F-PreviousVDO_Input</v>
      </c>
      <c r="G255" s="23"/>
      <c r="H255" s="23" t="s">
        <v>130</v>
      </c>
      <c r="I255" s="23" t="s">
        <v>282</v>
      </c>
      <c r="J255" s="23" t="s">
        <v>110</v>
      </c>
      <c r="K255" s="129">
        <f>IFERROR(K254*(INDEX(Inputs!$H$11:$U$128,MATCH("Marginal loss factor - "&amp;K$15,Input_ForRateCalc[Cost item],0),MATCH($F255,Inputs!$H$10:$U$10,0))*INDEX(Inputs!$H$11:$U$128,MATCH("Distribution loss factor - "&amp;K$15,Input_ForRateCalc[Cost item],0),MATCH($F255,Inputs!$H$10:$U$10,0))-1),"-")</f>
        <v>-6.9506044911874978E-6</v>
      </c>
      <c r="L255" s="129">
        <f>IFERROR(L254*(INDEX(Inputs!$H$11:$U$128,MATCH("Marginal loss factor - "&amp;L$15,Input_ForRateCalc[Cost item],0),MATCH($F255,Inputs!$H$10:$U$10,0))*INDEX(Inputs!$H$11:$U$128,MATCH("Distribution loss factor - "&amp;L$15,Input_ForRateCalc[Cost item],0),MATCH($F255,Inputs!$H$10:$U$10,0))-1),"-")</f>
        <v>-5.0384524940750005E-6</v>
      </c>
      <c r="M255" s="129">
        <f>IFERROR(M254*(INDEX(Inputs!$H$11:$U$128,MATCH("Marginal loss factor - "&amp;M$15,Input_ForRateCalc[Cost item],0),MATCH($F255,Inputs!$H$10:$U$10,0))*INDEX(Inputs!$H$11:$U$128,MATCH("Distribution loss factor - "&amp;M$15,Input_ForRateCalc[Cost item],0),MATCH($F255,Inputs!$H$10:$U$10,0))-1),"-")</f>
        <v>-3.9028006795555839E-6</v>
      </c>
      <c r="N255" s="129">
        <f>IFERROR(N254*(INDEX(Inputs!$H$11:$U$128,MATCH("Marginal loss factor - "&amp;N$15,Input_ForRateCalc[Cost item],0),MATCH($F255,Inputs!$H$10:$U$10,0))*INDEX(Inputs!$H$11:$U$128,MATCH("Distribution loss factor - "&amp;N$15,Input_ForRateCalc[Cost item],0),MATCH($F255,Inputs!$H$10:$U$10,0))-1),"-")</f>
        <v>-7.3694110579374731E-6</v>
      </c>
      <c r="O255" s="129">
        <f>IFERROR(O254*(INDEX(Inputs!$H$11:$U$128,MATCH("Marginal loss factor - "&amp;O$15,Input_ForRateCalc[Cost item],0),MATCH($F255,Inputs!$H$10:$U$10,0))*INDEX(Inputs!$H$11:$U$128,MATCH("Distribution loss factor - "&amp;O$15,Input_ForRateCalc[Cost item],0),MATCH($F255,Inputs!$H$10:$U$10,0))-1),"-")</f>
        <v>-5.4349938178250232E-6</v>
      </c>
      <c r="T255" s="108"/>
    </row>
    <row r="256" spans="3:20" hidden="1" outlineLevel="2" x14ac:dyDescent="0.25">
      <c r="C256" s="23" t="s">
        <v>442</v>
      </c>
      <c r="D256" s="23"/>
      <c r="E256" s="23"/>
      <c r="F256" s="23"/>
      <c r="G256" s="23"/>
      <c r="H256" s="23" t="s">
        <v>130</v>
      </c>
      <c r="I256" s="23" t="s">
        <v>282</v>
      </c>
      <c r="J256" s="23" t="s">
        <v>110</v>
      </c>
      <c r="K256" s="129" t="str">
        <f>IF($D$241="Yes",SUM(K254:K255)*$D$242,"")</f>
        <v/>
      </c>
      <c r="L256" s="129" t="str">
        <f t="shared" ref="L256:O256" si="70">IF($D$241="Yes",SUM(L254:L255)*$D$242,"")</f>
        <v/>
      </c>
      <c r="M256" s="129" t="str">
        <f t="shared" si="70"/>
        <v/>
      </c>
      <c r="N256" s="129" t="str">
        <f t="shared" si="70"/>
        <v/>
      </c>
      <c r="O256" s="129" t="str">
        <f t="shared" si="70"/>
        <v/>
      </c>
    </row>
    <row r="257" spans="3:15" hidden="1" outlineLevel="2" x14ac:dyDescent="0.25">
      <c r="C257" s="23" t="s">
        <v>321</v>
      </c>
      <c r="D257" s="82" t="str">
        <f>INDEX(Input_DecisionActual[[Decision]:[Decision]],MATCH(Calc_TU_values!$D$235,Input_DecisionActual[[VDO period]:[VDO period]],0),1)</f>
        <v>VDO 2021 - Final</v>
      </c>
      <c r="E257" s="23" t="s">
        <v>587</v>
      </c>
      <c r="F257" s="82" t="str">
        <f>IF($D257="-","-",INDEX(Inputs!$H$10:$U$10,1,MATCH($D257,Inputs!$H$8:$U$8,0)))</f>
        <v>F-PreviousVDO_Input</v>
      </c>
      <c r="G257" s="23"/>
      <c r="H257" s="23" t="s">
        <v>130</v>
      </c>
      <c r="I257" s="23" t="s">
        <v>282</v>
      </c>
      <c r="J257" s="23" t="s">
        <v>110</v>
      </c>
      <c r="K257" s="129">
        <f>IFERROR(SUM(K254:K256)*(INDEX(Inputs!$H$11:$U$128,MATCH("Retail operating margin",Input_ForRateCalc[Cost item],0),MATCH($F257,Inputs!$H$10:$U$10,0))),"-")</f>
        <v>-6.6817865112677327E-6</v>
      </c>
      <c r="L257" s="129">
        <f>IFERROR(SUM(L254:L256)*(INDEX(Inputs!$H$11:$U$128,MATCH("Retail operating margin",Input_ForRateCalc[Cost item],0),MATCH($F257,Inputs!$H$10:$U$10,0))),"-")</f>
        <v>-6.5662925306421373E-6</v>
      </c>
      <c r="M257" s="129">
        <f>IFERROR(SUM(M254:M256)*(INDEX(Inputs!$H$11:$U$128,MATCH("Retail operating margin",Input_ForRateCalc[Cost item],0),MATCH($F257,Inputs!$H$10:$U$10,0))),"-")</f>
        <v>-6.4976991610451649E-6</v>
      </c>
      <c r="N257" s="129">
        <f>IFERROR(SUM(N254:N256)*(INDEX(Inputs!$H$11:$U$128,MATCH("Retail operating margin",Input_ForRateCalc[Cost item],0),MATCH($F257,Inputs!$H$10:$U$10,0))),"-")</f>
        <v>-6.7070824278994308E-6</v>
      </c>
      <c r="O257" s="129">
        <f>IFERROR(SUM(O254:O256)*(INDEX(Inputs!$H$11:$U$128,MATCH("Retail operating margin",Input_ForRateCalc[Cost item],0),MATCH($F257,Inputs!$H$10:$U$10,0))),"-")</f>
        <v>-6.5902436265966387E-6</v>
      </c>
    </row>
    <row r="258" spans="3:15" hidden="1" outlineLevel="2" x14ac:dyDescent="0.25">
      <c r="C258" s="23" t="s">
        <v>443</v>
      </c>
      <c r="D258" s="23"/>
      <c r="E258" s="23"/>
      <c r="F258" s="23"/>
      <c r="G258" s="23"/>
      <c r="H258" s="23" t="s">
        <v>130</v>
      </c>
      <c r="I258" s="23" t="s">
        <v>282</v>
      </c>
      <c r="J258" s="23" t="s">
        <v>110</v>
      </c>
      <c r="K258" s="129">
        <f>SUM(K254:K257)*GST</f>
        <v>-1.1730739100245536E-5</v>
      </c>
      <c r="L258" s="129">
        <f>SUM(L254:L257)*GST</f>
        <v>-1.1527974502471726E-5</v>
      </c>
      <c r="M258" s="129">
        <f>SUM(M254:M257)*GST</f>
        <v>-1.1407549984060087E-5</v>
      </c>
      <c r="N258" s="129">
        <f>SUM(N254:N257)*GST</f>
        <v>-1.1775149348583703E-5</v>
      </c>
      <c r="O258" s="129">
        <f>SUM(O254:O257)*GST</f>
        <v>-1.1570023744442179E-5</v>
      </c>
    </row>
    <row r="259" spans="3:15" hidden="1" outlineLevel="2" x14ac:dyDescent="0.25">
      <c r="C259" s="59" t="s">
        <v>322</v>
      </c>
      <c r="D259" s="59"/>
      <c r="E259" s="59"/>
      <c r="F259" s="59"/>
      <c r="H259" s="59" t="s">
        <v>130</v>
      </c>
      <c r="I259" s="59" t="s">
        <v>282</v>
      </c>
      <c r="J259" s="59" t="s">
        <v>110</v>
      </c>
      <c r="K259" s="129">
        <f>SUM(K254:K258)</f>
        <v>-1.290381301027009E-4</v>
      </c>
      <c r="L259" s="129">
        <f t="shared" ref="L259" si="71">SUM(L254:L258)</f>
        <v>-1.2680771952718899E-4</v>
      </c>
      <c r="M259" s="129">
        <f t="shared" ref="M259" si="72">SUM(M254:M258)</f>
        <v>-1.2548304982466096E-4</v>
      </c>
      <c r="N259" s="129">
        <f t="shared" ref="N259" si="73">SUM(N254:N258)</f>
        <v>-1.2952664283442074E-4</v>
      </c>
      <c r="O259" s="129">
        <f t="shared" ref="O259" si="74">SUM(O254:O258)</f>
        <v>-1.2727026118886396E-4</v>
      </c>
    </row>
    <row r="260" spans="3:15" hidden="1" outlineLevel="2" x14ac:dyDescent="0.25">
      <c r="C260" s="23"/>
      <c r="D260" s="23"/>
      <c r="E260" s="23"/>
      <c r="F260" s="23"/>
      <c r="G260" s="23"/>
      <c r="H260" s="23"/>
      <c r="I260" s="23"/>
      <c r="J260" s="23"/>
      <c r="K260" s="129"/>
      <c r="L260" s="129"/>
      <c r="M260" s="129"/>
      <c r="N260" s="129"/>
      <c r="O260" s="129"/>
    </row>
    <row r="261" spans="3:15" hidden="1" outlineLevel="2" x14ac:dyDescent="0.25">
      <c r="C261" s="57" t="s">
        <v>323</v>
      </c>
      <c r="D261" s="57"/>
      <c r="E261" s="57"/>
      <c r="F261" s="57"/>
      <c r="G261" s="68" t="s">
        <v>639</v>
      </c>
      <c r="H261" s="68"/>
      <c r="I261" s="23"/>
      <c r="J261" s="23"/>
      <c r="K261" s="23"/>
      <c r="L261" s="23"/>
      <c r="M261" s="23"/>
      <c r="N261" s="23"/>
      <c r="O261" s="23"/>
    </row>
    <row r="262" spans="3:15" hidden="1" outlineLevel="2" x14ac:dyDescent="0.25">
      <c r="C262" s="23" t="s">
        <v>155</v>
      </c>
      <c r="D262" s="82" t="str">
        <f>Calc_TU_values!$D$235</f>
        <v>VDO 2022 - Final</v>
      </c>
      <c r="E262" s="23" t="s">
        <v>586</v>
      </c>
      <c r="F262" s="82" t="str">
        <f>INDEX(Inputs!$H$10:$U$10,1,MATCH($D262,Inputs!$H$8:$U$8,0))</f>
        <v>F-CurrentVDO_Input</v>
      </c>
      <c r="G262" s="58"/>
      <c r="H262" s="23" t="s">
        <v>130</v>
      </c>
      <c r="I262" s="23" t="s">
        <v>153</v>
      </c>
      <c r="J262" s="59" t="s">
        <v>110</v>
      </c>
      <c r="K262" s="65">
        <f>IFERROR(INDEX(Input_TUEnv_Actual[],MATCH($C262,Input_TUEnv_Actual[Cost item],0),MATCH($F262,Input_TUEnv_Actual[#Headers],0)),"-")</f>
        <v>40</v>
      </c>
      <c r="L262" s="65">
        <f>IFERROR(INDEX(Input_TUEnv_Actual[],MATCH($C262,Input_TUEnv_Actual[Cost item],0),MATCH($F262,Input_TUEnv_Actual[#Headers],0)),"-")</f>
        <v>40</v>
      </c>
      <c r="M262" s="65">
        <f>IFERROR(INDEX(Input_TUEnv_Actual[],MATCH($C262,Input_TUEnv_Actual[Cost item],0),MATCH($F262,Input_TUEnv_Actual[#Headers],0)),"-")</f>
        <v>40</v>
      </c>
      <c r="N262" s="65">
        <f>IFERROR(INDEX(Input_TUEnv_Actual[],MATCH($C262,Input_TUEnv_Actual[Cost item],0),MATCH($F262,Input_TUEnv_Actual[#Headers],0)),"-")</f>
        <v>40</v>
      </c>
      <c r="O262" s="65">
        <f>IFERROR(INDEX(Input_TUEnv_Actual[],MATCH($C262,Input_TUEnv_Actual[Cost item],0),MATCH($F262,Input_TUEnv_Actual[#Headers],0)),"-")</f>
        <v>40</v>
      </c>
    </row>
    <row r="263" spans="3:15" hidden="1" outlineLevel="2" x14ac:dyDescent="0.25">
      <c r="C263" s="59" t="s">
        <v>159</v>
      </c>
      <c r="D263" s="82" t="str">
        <f>Calc_TU_values!$D$235</f>
        <v>VDO 2022 - Final</v>
      </c>
      <c r="E263" s="23" t="s">
        <v>586</v>
      </c>
      <c r="F263" s="82" t="str">
        <f>INDEX(Inputs!$H$10:$U$10,1,MATCH($D263,Inputs!$H$8:$U$8,0))</f>
        <v>F-CurrentVDO_Input</v>
      </c>
      <c r="G263" s="58"/>
      <c r="H263" s="23" t="s">
        <v>130</v>
      </c>
      <c r="I263" s="23" t="s">
        <v>157</v>
      </c>
      <c r="J263" s="59" t="s">
        <v>110</v>
      </c>
      <c r="K263" s="67">
        <f>IFERROR(INDEX(Input_TUEnv_Actual[],MATCH($C263,Input_TUEnv_Actual[Cost item],0),MATCH($F263,Input_TUEnv_Actual[#Headers],0)),"-")</f>
        <v>0.28799999999999998</v>
      </c>
      <c r="L263" s="67">
        <f>IFERROR(INDEX(Input_TUEnv_Actual[],MATCH($C263,Input_TUEnv_Actual[Cost item],0),MATCH($F263,Input_TUEnv_Actual[#Headers],0)),"-")</f>
        <v>0.28799999999999998</v>
      </c>
      <c r="M263" s="67">
        <f>IFERROR(INDEX(Input_TUEnv_Actual[],MATCH($C263,Input_TUEnv_Actual[Cost item],0),MATCH($F263,Input_TUEnv_Actual[#Headers],0)),"-")</f>
        <v>0.28799999999999998</v>
      </c>
      <c r="N263" s="67">
        <f>IFERROR(INDEX(Input_TUEnv_Actual[],MATCH($C263,Input_TUEnv_Actual[Cost item],0),MATCH($F263,Input_TUEnv_Actual[#Headers],0)),"-")</f>
        <v>0.28799999999999998</v>
      </c>
      <c r="O263" s="67">
        <f>IFERROR(INDEX(Input_TUEnv_Actual[],MATCH($C263,Input_TUEnv_Actual[Cost item],0),MATCH($F263,Input_TUEnv_Actual[#Headers],0)),"-")</f>
        <v>0.28799999999999998</v>
      </c>
    </row>
    <row r="264" spans="3:15" hidden="1" outlineLevel="2" x14ac:dyDescent="0.25">
      <c r="C264" s="23" t="s">
        <v>318</v>
      </c>
      <c r="D264" s="82" t="str">
        <f>Calc_TU_values!$D$235</f>
        <v>VDO 2022 - Final</v>
      </c>
      <c r="E264" s="23" t="s">
        <v>586</v>
      </c>
      <c r="F264" s="82" t="str">
        <f>INDEX(Inputs!$H$10:$U$10,1,MATCH($D264,Inputs!$H$8:$U$8,0))</f>
        <v>F-CurrentVDO_Input</v>
      </c>
      <c r="G264" s="58"/>
      <c r="H264" s="23" t="s">
        <v>130</v>
      </c>
      <c r="I264" s="23" t="s">
        <v>282</v>
      </c>
      <c r="J264" s="59" t="s">
        <v>110</v>
      </c>
      <c r="K264" s="64">
        <f>K262*K263/1000</f>
        <v>1.1519999999999999E-2</v>
      </c>
      <c r="L264" s="64">
        <f t="shared" ref="L264" si="75">L262*L263/1000</f>
        <v>1.1519999999999999E-2</v>
      </c>
      <c r="M264" s="64">
        <f t="shared" ref="M264" si="76">M262*M263/1000</f>
        <v>1.1519999999999999E-2</v>
      </c>
      <c r="N264" s="64">
        <f t="shared" ref="N264" si="77">N262*N263/1000</f>
        <v>1.1519999999999999E-2</v>
      </c>
      <c r="O264" s="64">
        <f t="shared" ref="O264" si="78">O262*O263/1000</f>
        <v>1.1519999999999999E-2</v>
      </c>
    </row>
    <row r="265" spans="3:15" hidden="1" outlineLevel="2" x14ac:dyDescent="0.25">
      <c r="C265" s="23" t="s">
        <v>155</v>
      </c>
      <c r="D265" s="82" t="str">
        <f>INDEX(Input_DecisionActual[[Decision]:[Decision]],MATCH(Calc_TU_values!$D$235,Input_DecisionActual[[VDO period]:[VDO period]],0),1)</f>
        <v>VDO 2021 - Final</v>
      </c>
      <c r="E265" s="23" t="s">
        <v>587</v>
      </c>
      <c r="F265" s="82" t="str">
        <f>IF($D265="-","-",INDEX(Inputs!$H$10:$U$10,1,MATCH($D265,Inputs!$H$8:$U$8,0)))</f>
        <v>F-PreviousVDO_Input</v>
      </c>
      <c r="G265" s="58"/>
      <c r="H265" s="23" t="s">
        <v>130</v>
      </c>
      <c r="I265" s="23" t="s">
        <v>153</v>
      </c>
      <c r="J265" s="59" t="s">
        <v>110</v>
      </c>
      <c r="K265" s="66">
        <f>IFERROR(INDEX(Inputs!$H$11:$U$128,MATCH($C265,Input_ForRateCalc[Cost item],0),MATCH($F265,Inputs!$H$10:$U$10,0)),"-")</f>
        <v>40</v>
      </c>
      <c r="L265" s="66">
        <f>IFERROR(INDEX(Inputs!$H$11:$U$128,MATCH($C265,Input_ForRateCalc[Cost item],0),MATCH($F265,Inputs!$H$10:$U$10,0)),"-")</f>
        <v>40</v>
      </c>
      <c r="M265" s="66">
        <f>IFERROR(INDEX(Inputs!$H$11:$U$128,MATCH($C265,Input_ForRateCalc[Cost item],0),MATCH($F265,Inputs!$H$10:$U$10,0)),"-")</f>
        <v>40</v>
      </c>
      <c r="N265" s="66">
        <f>IFERROR(INDEX(Inputs!$H$11:$U$128,MATCH($C265,Input_ForRateCalc[Cost item],0),MATCH($F265,Inputs!$H$10:$U$10,0)),"-")</f>
        <v>40</v>
      </c>
      <c r="O265" s="66">
        <f>IFERROR(INDEX(Inputs!$H$11:$U$128,MATCH($C265,Input_ForRateCalc[Cost item],0),MATCH($F265,Inputs!$H$10:$U$10,0)),"-")</f>
        <v>40</v>
      </c>
    </row>
    <row r="266" spans="3:15" hidden="1" outlineLevel="2" x14ac:dyDescent="0.25">
      <c r="C266" s="59" t="s">
        <v>159</v>
      </c>
      <c r="D266" s="82" t="str">
        <f>INDEX(Input_DecisionActual[[Decision]:[Decision]],MATCH(Calc_TU_values!$D$235,Input_DecisionActual[[VDO period]:[VDO period]],0),1)</f>
        <v>VDO 2021 - Final</v>
      </c>
      <c r="E266" s="23" t="s">
        <v>587</v>
      </c>
      <c r="F266" s="82" t="str">
        <f>IF($D266="-","-",INDEX(Inputs!$H$10:$U$10,1,MATCH($D266,Inputs!$H$8:$U$8,0)))</f>
        <v>F-PreviousVDO_Input</v>
      </c>
      <c r="G266" s="58"/>
      <c r="H266" s="23" t="s">
        <v>130</v>
      </c>
      <c r="I266" s="23" t="s">
        <v>157</v>
      </c>
      <c r="J266" s="59" t="s">
        <v>110</v>
      </c>
      <c r="K266" s="67">
        <f>IFERROR(INDEX(Inputs!$H$11:$U$128,MATCH($C266,Input_ForRateCalc[Cost item],0),MATCH($F266,Inputs!$H$10:$U$10,0)),"-")</f>
        <v>0.219</v>
      </c>
      <c r="L266" s="67">
        <f>IFERROR(INDEX(Inputs!$H$11:$U$128,MATCH($C266,Input_ForRateCalc[Cost item],0),MATCH($F266,Inputs!$H$10:$U$10,0)),"-")</f>
        <v>0.219</v>
      </c>
      <c r="M266" s="67">
        <f>IFERROR(INDEX(Inputs!$H$11:$U$128,MATCH($C266,Input_ForRateCalc[Cost item],0),MATCH($F266,Inputs!$H$10:$U$10,0)),"-")</f>
        <v>0.219</v>
      </c>
      <c r="N266" s="67">
        <f>IFERROR(INDEX(Inputs!$H$11:$U$128,MATCH($C266,Input_ForRateCalc[Cost item],0),MATCH($F266,Inputs!$H$10:$U$10,0)),"-")</f>
        <v>0.219</v>
      </c>
      <c r="O266" s="67">
        <f>IFERROR(INDEX(Inputs!$H$11:$U$128,MATCH($C266,Input_ForRateCalc[Cost item],0),MATCH($F266,Inputs!$H$10:$U$10,0)),"-")</f>
        <v>0.219</v>
      </c>
    </row>
    <row r="267" spans="3:15" hidden="1" outlineLevel="2" x14ac:dyDescent="0.25">
      <c r="C267" s="23" t="s">
        <v>318</v>
      </c>
      <c r="D267" s="82" t="str">
        <f>INDEX(Input_DecisionActual[[Decision]:[Decision]],MATCH(Calc_TU_values!$D$235,Input_DecisionActual[[VDO period]:[VDO period]],0),1)</f>
        <v>VDO 2021 - Final</v>
      </c>
      <c r="E267" s="23" t="s">
        <v>587</v>
      </c>
      <c r="F267" s="82" t="str">
        <f>IF($D267="-","-",INDEX(Inputs!$H$10:$U$10,1,MATCH($D267,Inputs!$H$8:$U$8,0)))</f>
        <v>F-PreviousVDO_Input</v>
      </c>
      <c r="G267" s="58"/>
      <c r="H267" s="23" t="s">
        <v>130</v>
      </c>
      <c r="I267" s="23" t="s">
        <v>282</v>
      </c>
      <c r="J267" s="59" t="s">
        <v>110</v>
      </c>
      <c r="K267" s="64">
        <f>IFERROR(K265*K266/1000,"-")</f>
        <v>8.7600000000000004E-3</v>
      </c>
      <c r="L267" s="64">
        <f t="shared" ref="L267" si="79">IFERROR(L265*L266/1000,"-")</f>
        <v>8.7600000000000004E-3</v>
      </c>
      <c r="M267" s="64">
        <f t="shared" ref="M267" si="80">IFERROR(M265*M266/1000,"-")</f>
        <v>8.7600000000000004E-3</v>
      </c>
      <c r="N267" s="64">
        <f t="shared" ref="N267" si="81">IFERROR(N265*N266/1000,"-")</f>
        <v>8.7600000000000004E-3</v>
      </c>
      <c r="O267" s="64">
        <f t="shared" ref="O267" si="82">IFERROR(O265*O266/1000,"-")</f>
        <v>8.7600000000000004E-3</v>
      </c>
    </row>
    <row r="268" spans="3:15" hidden="1" outlineLevel="2" x14ac:dyDescent="0.25">
      <c r="C268" s="23" t="s">
        <v>319</v>
      </c>
      <c r="D268" s="23"/>
      <c r="E268" s="23"/>
      <c r="F268" s="23"/>
      <c r="G268" s="23"/>
      <c r="H268" s="23" t="s">
        <v>130</v>
      </c>
      <c r="I268" s="23" t="s">
        <v>282</v>
      </c>
      <c r="J268" s="23" t="s">
        <v>110</v>
      </c>
      <c r="K268" s="128">
        <f>IFERROR(K264-K267,"-")</f>
        <v>2.7599999999999986E-3</v>
      </c>
      <c r="L268" s="128">
        <f t="shared" ref="L268" si="83">IFERROR(L264-L267,"-")</f>
        <v>2.7599999999999986E-3</v>
      </c>
      <c r="M268" s="128">
        <f t="shared" ref="M268" si="84">IFERROR(M264-M267,"-")</f>
        <v>2.7599999999999986E-3</v>
      </c>
      <c r="N268" s="128">
        <f t="shared" ref="N268" si="85">IFERROR(N264-N267,"-")</f>
        <v>2.7599999999999986E-3</v>
      </c>
      <c r="O268" s="128">
        <f t="shared" ref="O268" si="86">IFERROR(O264-O267,"-")</f>
        <v>2.7599999999999986E-3</v>
      </c>
    </row>
    <row r="269" spans="3:15" hidden="1" outlineLevel="2" x14ac:dyDescent="0.25">
      <c r="C269" s="23" t="s">
        <v>320</v>
      </c>
      <c r="D269" s="82" t="str">
        <f>INDEX(Input_DecisionActual[[Decision]:[Decision]],MATCH(Calc_TU_values!$D$235,Input_DecisionActual[[VDO period]:[VDO period]],0),1)</f>
        <v>VDO 2021 - Final</v>
      </c>
      <c r="E269" s="23" t="s">
        <v>587</v>
      </c>
      <c r="F269" s="82" t="str">
        <f>IF($D269="-","-",INDEX(Inputs!$H$10:$U$10,1,MATCH($D269,Inputs!$H$8:$U$8,0)))</f>
        <v>F-PreviousVDO_Input</v>
      </c>
      <c r="G269" s="23"/>
      <c r="H269" s="23" t="s">
        <v>130</v>
      </c>
      <c r="I269" s="23" t="s">
        <v>282</v>
      </c>
      <c r="J269" s="23" t="s">
        <v>110</v>
      </c>
      <c r="K269" s="129">
        <f>IFERROR(K268*(INDEX(Inputs!$H$11:$U$128,MATCH("Marginal loss factor - "&amp;K$15,Input_ForRateCalc[Cost item],0),MATCH($F269,Inputs!$H$10:$U$10,0))*INDEX(Inputs!$H$11:$U$128,MATCH("Distribution loss factor - "&amp;K$15,Input_ForRateCalc[Cost item],0),MATCH($F269,Inputs!$H$10:$U$10,0))-1),"-")</f>
        <v>1.8503658929999964E-4</v>
      </c>
      <c r="L269" s="129">
        <f>IFERROR(L268*(INDEX(Inputs!$H$11:$U$128,MATCH("Marginal loss factor - "&amp;L$15,Input_ForRateCalc[Cost item],0),MATCH($F269,Inputs!$H$10:$U$10,0))*INDEX(Inputs!$H$11:$U$128,MATCH("Distribution loss factor - "&amp;L$15,Input_ForRateCalc[Cost item],0),MATCH($F269,Inputs!$H$10:$U$10,0))-1),"-")</f>
        <v>1.3413194003999979E-4</v>
      </c>
      <c r="M269" s="129">
        <f>IFERROR(M268*(INDEX(Inputs!$H$11:$U$128,MATCH("Marginal loss factor - "&amp;M$15,Input_ForRateCalc[Cost item],0),MATCH($F269,Inputs!$H$10:$U$10,0))*INDEX(Inputs!$H$11:$U$128,MATCH("Distribution loss factor - "&amp;M$15,Input_ForRateCalc[Cost item],0),MATCH($F269,Inputs!$H$10:$U$10,0))-1),"-")</f>
        <v>1.0389901013333391E-4</v>
      </c>
      <c r="N269" s="129">
        <f>IFERROR(N268*(INDEX(Inputs!$H$11:$U$128,MATCH("Marginal loss factor - "&amp;N$15,Input_ForRateCalc[Cost item],0),MATCH($F269,Inputs!$H$10:$U$10,0))*INDEX(Inputs!$H$11:$U$128,MATCH("Distribution loss factor - "&amp;N$15,Input_ForRateCalc[Cost item],0),MATCH($F269,Inputs!$H$10:$U$10,0))-1),"-")</f>
        <v>1.9618591289999896E-4</v>
      </c>
      <c r="O269" s="129">
        <f>IFERROR(O268*(INDEX(Inputs!$H$11:$U$128,MATCH("Marginal loss factor - "&amp;O$15,Input_ForRateCalc[Cost item],0),MATCH($F269,Inputs!$H$10:$U$10,0))*INDEX(Inputs!$H$11:$U$128,MATCH("Distribution loss factor - "&amp;O$15,Input_ForRateCalc[Cost item],0),MATCH($F269,Inputs!$H$10:$U$10,0))-1),"-")</f>
        <v>1.4468852604000037E-4</v>
      </c>
    </row>
    <row r="270" spans="3:15" hidden="1" outlineLevel="2" x14ac:dyDescent="0.25">
      <c r="C270" s="23" t="s">
        <v>442</v>
      </c>
      <c r="D270" s="23"/>
      <c r="E270" s="23"/>
      <c r="F270" s="23"/>
      <c r="G270" s="23"/>
      <c r="H270" s="23" t="s">
        <v>130</v>
      </c>
      <c r="I270" s="23" t="s">
        <v>282</v>
      </c>
      <c r="J270" s="23" t="s">
        <v>110</v>
      </c>
      <c r="K270" s="129" t="str">
        <f>IF($D$241="Yes",SUM(K268:K269)*$D$242,"")</f>
        <v/>
      </c>
      <c r="L270" s="129" t="str">
        <f t="shared" ref="L270" si="87">IF($D$241="Yes",SUM(L268:L269)*$D$242,"")</f>
        <v/>
      </c>
      <c r="M270" s="129" t="str">
        <f t="shared" ref="M270" si="88">IF($D$241="Yes",SUM(M268:M269)*$D$242,"")</f>
        <v/>
      </c>
      <c r="N270" s="129" t="str">
        <f t="shared" ref="N270" si="89">IF($D$241="Yes",SUM(N268:N269)*$D$242,"")</f>
        <v/>
      </c>
      <c r="O270" s="129" t="str">
        <f t="shared" ref="O270" si="90">IF($D$241="Yes",SUM(O268:O269)*$D$242,"")</f>
        <v/>
      </c>
    </row>
    <row r="271" spans="3:15" hidden="1" outlineLevel="2" x14ac:dyDescent="0.25">
      <c r="C271" s="23" t="s">
        <v>321</v>
      </c>
      <c r="D271" s="82" t="str">
        <f>INDEX(Input_DecisionActual[[Decision]:[Decision]],MATCH(Calc_TU_values!$D$235,Input_DecisionActual[[VDO period]:[VDO period]],0),1)</f>
        <v>VDO 2021 - Final</v>
      </c>
      <c r="E271" s="23" t="s">
        <v>587</v>
      </c>
      <c r="F271" s="82" t="str">
        <f>IF($D271="-","-",INDEX(Inputs!$H$10:$U$10,1,MATCH($D271,Inputs!$H$8:$U$8,0)))</f>
        <v>F-PreviousVDO_Input</v>
      </c>
      <c r="G271" s="23"/>
      <c r="H271" s="23" t="s">
        <v>130</v>
      </c>
      <c r="I271" s="23" t="s">
        <v>282</v>
      </c>
      <c r="J271" s="23" t="s">
        <v>110</v>
      </c>
      <c r="K271" s="129">
        <f>IFERROR(SUM(K268:K270)*(INDEX(Inputs!$H$11:$U$128,MATCH("Retail operating margin",Input_ForRateCalc[Cost item],0),MATCH($F271,Inputs!$H$10:$U$10,0))),"-")</f>
        <v>1.7788020999371992E-4</v>
      </c>
      <c r="L271" s="129">
        <f>IFERROR(SUM(L268:L270)*(INDEX(Inputs!$H$11:$U$128,MATCH("Retail operating margin",Input_ForRateCalc[Cost item],0),MATCH($F271,Inputs!$H$10:$U$10,0))),"-")</f>
        <v>1.7480556917841592E-4</v>
      </c>
      <c r="M271" s="129">
        <f>IFERROR(SUM(M268:M270)*(INDEX(Inputs!$H$11:$U$128,MATCH("Retail operating margin",Input_ForRateCalc[Cost item],0),MATCH($F271,Inputs!$H$10:$U$10,0))),"-")</f>
        <v>1.7297950021205328E-4</v>
      </c>
      <c r="N271" s="129">
        <f>IFERROR(SUM(N268:N270)*(INDEX(Inputs!$H$11:$U$128,MATCH("Retail operating margin",Input_ForRateCalc[Cost item],0),MATCH($F271,Inputs!$H$10:$U$10,0))),"-")</f>
        <v>1.7855362913915985E-4</v>
      </c>
      <c r="O271" s="129">
        <f>IFERROR(SUM(O268:O270)*(INDEX(Inputs!$H$11:$U$128,MATCH("Retail operating margin",Input_ForRateCalc[Cost item],0),MATCH($F271,Inputs!$H$10:$U$10,0))),"-")</f>
        <v>1.7544318697281593E-4</v>
      </c>
    </row>
    <row r="272" spans="3:15" hidden="1" outlineLevel="2" x14ac:dyDescent="0.25">
      <c r="C272" s="23" t="s">
        <v>443</v>
      </c>
      <c r="D272" s="23"/>
      <c r="E272" s="23"/>
      <c r="F272" s="23"/>
      <c r="G272" s="23"/>
      <c r="H272" s="23" t="s">
        <v>130</v>
      </c>
      <c r="I272" s="23" t="s">
        <v>282</v>
      </c>
      <c r="J272" s="23" t="s">
        <v>110</v>
      </c>
      <c r="K272" s="129">
        <f>SUM(K268:K271)*GST</f>
        <v>3.1229167992937183E-4</v>
      </c>
      <c r="L272" s="129">
        <f>SUM(L268:L271)*GST</f>
        <v>3.0689375092184145E-4</v>
      </c>
      <c r="M272" s="129">
        <f>SUM(M268:M271)*GST</f>
        <v>3.036878510345386E-4</v>
      </c>
      <c r="N272" s="129">
        <f>SUM(N268:N271)*GST</f>
        <v>3.1347395420391574E-4</v>
      </c>
      <c r="O272" s="129">
        <f>SUM(O268:O271)*GST</f>
        <v>3.0801317130128153E-4</v>
      </c>
    </row>
    <row r="273" spans="2:15" hidden="1" outlineLevel="2" x14ac:dyDescent="0.25">
      <c r="C273" s="59" t="s">
        <v>324</v>
      </c>
      <c r="D273" s="59"/>
      <c r="E273" s="59"/>
      <c r="F273" s="59"/>
      <c r="H273" s="59" t="s">
        <v>130</v>
      </c>
      <c r="I273" s="59" t="s">
        <v>282</v>
      </c>
      <c r="J273" s="59" t="s">
        <v>110</v>
      </c>
      <c r="K273" s="129">
        <f>SUM(K268:K272)</f>
        <v>3.4352084792230904E-3</v>
      </c>
      <c r="L273" s="129">
        <f t="shared" ref="L273" si="91">SUM(L268:L272)</f>
        <v>3.3758312601402558E-3</v>
      </c>
      <c r="M273" s="129">
        <f t="shared" ref="M273" si="92">SUM(M268:M272)</f>
        <v>3.3405663613799248E-3</v>
      </c>
      <c r="N273" s="129">
        <f t="shared" ref="N273" si="93">SUM(N268:N272)</f>
        <v>3.448213496243073E-3</v>
      </c>
      <c r="O273" s="129">
        <f t="shared" ref="O273" si="94">SUM(O268:O272)</f>
        <v>3.3881448843140964E-3</v>
      </c>
    </row>
    <row r="274" spans="2:15" hidden="1" outlineLevel="2" x14ac:dyDescent="0.25">
      <c r="C274" s="125"/>
      <c r="D274" s="125"/>
      <c r="E274" s="125"/>
      <c r="F274" s="125"/>
      <c r="G274" s="125"/>
      <c r="H274" s="125"/>
      <c r="I274" s="125"/>
      <c r="J274" s="125"/>
      <c r="K274" s="159"/>
      <c r="L274" s="159"/>
      <c r="M274" s="159"/>
      <c r="N274" s="159"/>
      <c r="O274" s="159"/>
    </row>
    <row r="275" spans="2:15" hidden="1" outlineLevel="2" x14ac:dyDescent="0.25">
      <c r="C275" s="57" t="s">
        <v>325</v>
      </c>
      <c r="D275" s="57"/>
      <c r="E275" s="57"/>
      <c r="F275" s="57"/>
      <c r="G275" s="68" t="s">
        <v>317</v>
      </c>
      <c r="H275" s="68"/>
      <c r="I275" s="23"/>
      <c r="J275" s="23"/>
      <c r="K275" s="23"/>
      <c r="L275" s="23"/>
      <c r="M275" s="23"/>
      <c r="N275" s="23"/>
      <c r="O275" s="23"/>
    </row>
    <row r="276" spans="2:15" hidden="1" outlineLevel="2" x14ac:dyDescent="0.25">
      <c r="C276" s="23" t="s">
        <v>152</v>
      </c>
      <c r="D276" s="82" t="str">
        <f>Calc_TU_values!$D$235</f>
        <v>VDO 2022 - Final</v>
      </c>
      <c r="E276" s="23" t="s">
        <v>586</v>
      </c>
      <c r="F276" s="82" t="str">
        <f>INDEX(Inputs!$H$10:$U$10,1,MATCH($D276,Inputs!$H$8:$U$8,0))</f>
        <v>F-CurrentVDO_Input</v>
      </c>
      <c r="G276" s="58"/>
      <c r="H276" s="23" t="s">
        <v>130</v>
      </c>
      <c r="I276" s="23" t="s">
        <v>153</v>
      </c>
      <c r="J276" s="59" t="s">
        <v>110</v>
      </c>
      <c r="K276" s="65">
        <f>IFERROR(INDEX(Input_TUEnv_Actual[],MATCH($C276,Input_TUEnv_Actual[Cost item],0),MATCH($F276,Input_TUEnv_Actual[#Headers],0)),"-")</f>
        <v>32.379354863483861</v>
      </c>
      <c r="L276" s="65">
        <f>IFERROR(INDEX(Input_TUEnv_Actual[],MATCH($C276,Input_TUEnv_Actual[Cost item],0),MATCH($F276,Input_TUEnv_Actual[#Headers],0)),"-")</f>
        <v>32.379354863483861</v>
      </c>
      <c r="M276" s="65">
        <f>IFERROR(INDEX(Input_TUEnv_Actual[],MATCH($C276,Input_TUEnv_Actual[Cost item],0),MATCH($F276,Input_TUEnv_Actual[#Headers],0)),"-")</f>
        <v>32.379354863483861</v>
      </c>
      <c r="N276" s="65">
        <f>IFERROR(INDEX(Input_TUEnv_Actual[],MATCH($C276,Input_TUEnv_Actual[Cost item],0),MATCH($F276,Input_TUEnv_Actual[#Headers],0)),"-")</f>
        <v>32.379354863483861</v>
      </c>
      <c r="O276" s="65">
        <f>IFERROR(INDEX(Input_TUEnv_Actual[],MATCH($C276,Input_TUEnv_Actual[Cost item],0),MATCH($F276,Input_TUEnv_Actual[#Headers],0)),"-")</f>
        <v>32.379354863483861</v>
      </c>
    </row>
    <row r="277" spans="2:15" hidden="1" outlineLevel="2" x14ac:dyDescent="0.25">
      <c r="C277" s="23" t="s">
        <v>156</v>
      </c>
      <c r="D277" s="82" t="str">
        <f>Calc_TU_values!$D$235</f>
        <v>VDO 2022 - Final</v>
      </c>
      <c r="E277" s="23" t="s">
        <v>586</v>
      </c>
      <c r="F277" s="82" t="str">
        <f>INDEX(Inputs!$H$10:$U$10,1,MATCH($D277,Inputs!$H$8:$U$8,0))</f>
        <v>F-CurrentVDO_Input</v>
      </c>
      <c r="G277" s="58"/>
      <c r="H277" s="23" t="s">
        <v>130</v>
      </c>
      <c r="I277" s="23" t="s">
        <v>157</v>
      </c>
      <c r="J277" s="59" t="s">
        <v>110</v>
      </c>
      <c r="K277" s="67">
        <f>IFERROR(INDEX(Input_TUEnv_Actual[],MATCH($C277,Input_TUEnv_Actual[Cost item],0),MATCH($F277,Input_TUEnv_Actual[#Headers],0)),"-")</f>
        <v>0.17255000000000001</v>
      </c>
      <c r="L277" s="67">
        <f>IFERROR(INDEX(Input_TUEnv_Actual[],MATCH($C277,Input_TUEnv_Actual[Cost item],0),MATCH($F277,Input_TUEnv_Actual[#Headers],0)),"-")</f>
        <v>0.17255000000000001</v>
      </c>
      <c r="M277" s="67">
        <f>IFERROR(INDEX(Input_TUEnv_Actual[],MATCH($C277,Input_TUEnv_Actual[Cost item],0),MATCH($F277,Input_TUEnv_Actual[#Headers],0)),"-")</f>
        <v>0.17255000000000001</v>
      </c>
      <c r="N277" s="67">
        <f>IFERROR(INDEX(Input_TUEnv_Actual[],MATCH($C277,Input_TUEnv_Actual[Cost item],0),MATCH($F277,Input_TUEnv_Actual[#Headers],0)),"-")</f>
        <v>0.17255000000000001</v>
      </c>
      <c r="O277" s="67">
        <f>IFERROR(INDEX(Input_TUEnv_Actual[],MATCH($C277,Input_TUEnv_Actual[Cost item],0),MATCH($F277,Input_TUEnv_Actual[#Headers],0)),"-")</f>
        <v>0.17255000000000001</v>
      </c>
    </row>
    <row r="278" spans="2:15" hidden="1" outlineLevel="2" x14ac:dyDescent="0.25">
      <c r="C278" s="23" t="s">
        <v>318</v>
      </c>
      <c r="D278" s="82" t="str">
        <f>Calc_TU_values!$D$235</f>
        <v>VDO 2022 - Final</v>
      </c>
      <c r="E278" s="23" t="s">
        <v>586</v>
      </c>
      <c r="F278" s="82" t="str">
        <f>INDEX(Inputs!$H$10:$U$10,1,MATCH($D278,Inputs!$H$8:$U$8,0))</f>
        <v>F-CurrentVDO_Input</v>
      </c>
      <c r="G278" s="58"/>
      <c r="H278" s="23" t="s">
        <v>130</v>
      </c>
      <c r="I278" s="23" t="s">
        <v>282</v>
      </c>
      <c r="J278" s="59" t="s">
        <v>110</v>
      </c>
      <c r="K278" s="64">
        <f>K276*K277/1000</f>
        <v>5.5870576816941407E-3</v>
      </c>
      <c r="L278" s="64">
        <f t="shared" ref="L278" si="95">L276*L277/1000</f>
        <v>5.5870576816941407E-3</v>
      </c>
      <c r="M278" s="64">
        <f t="shared" ref="M278" si="96">M276*M277/1000</f>
        <v>5.5870576816941407E-3</v>
      </c>
      <c r="N278" s="64">
        <f t="shared" ref="N278" si="97">N276*N277/1000</f>
        <v>5.5870576816941407E-3</v>
      </c>
      <c r="O278" s="64">
        <f t="shared" ref="O278" si="98">O276*O277/1000</f>
        <v>5.5870576816941407E-3</v>
      </c>
    </row>
    <row r="279" spans="2:15" hidden="1" outlineLevel="2" x14ac:dyDescent="0.25">
      <c r="C279" s="23" t="s">
        <v>152</v>
      </c>
      <c r="D279" s="82" t="str">
        <f>INDEX(Input_DecisionActual[[Decision]:[Decision]],MATCH(Calc_TU_values!$D$235,Input_DecisionActual[[VDO period]:[VDO period]],0),1)</f>
        <v>VDO 2021 - Final</v>
      </c>
      <c r="E279" s="23" t="s">
        <v>587</v>
      </c>
      <c r="F279" s="82" t="str">
        <f>IF($D279="-","-",INDEX(Inputs!$H$10:$U$10,1,MATCH($D279,Inputs!$H$8:$U$8,0)))</f>
        <v>F-PreviousVDO_Input</v>
      </c>
      <c r="G279" s="58"/>
      <c r="H279" s="23" t="s">
        <v>130</v>
      </c>
      <c r="I279" s="23" t="s">
        <v>153</v>
      </c>
      <c r="J279" s="59" t="s">
        <v>110</v>
      </c>
      <c r="K279" s="66">
        <f>IFERROR(INDEX(Inputs!$H$11:$U$128,MATCH($C279,Input_ForRateCalc[Cost item],0),MATCH($F279,Inputs!$H$10:$U$10,0)),"-")</f>
        <v>32.379354863483861</v>
      </c>
      <c r="L279" s="66">
        <f>IFERROR(INDEX(Inputs!$H$11:$U$128,MATCH($C279,Input_ForRateCalc[Cost item],0),MATCH($F279,Inputs!$H$10:$U$10,0)),"-")</f>
        <v>32.379354863483861</v>
      </c>
      <c r="M279" s="66">
        <f>IFERROR(INDEX(Inputs!$H$11:$U$128,MATCH($C279,Input_ForRateCalc[Cost item],0),MATCH($F279,Inputs!$H$10:$U$10,0)),"-")</f>
        <v>32.379354863483861</v>
      </c>
      <c r="N279" s="66">
        <f>IFERROR(INDEX(Inputs!$H$11:$U$128,MATCH($C279,Input_ForRateCalc[Cost item],0),MATCH($F279,Inputs!$H$10:$U$10,0)),"-")</f>
        <v>32.379354863483861</v>
      </c>
      <c r="O279" s="66">
        <f>IFERROR(INDEX(Inputs!$H$11:$U$128,MATCH($C279,Input_ForRateCalc[Cost item],0),MATCH($F279,Inputs!$H$10:$U$10,0)),"-")</f>
        <v>32.379354863483861</v>
      </c>
    </row>
    <row r="280" spans="2:15" hidden="1" outlineLevel="2" x14ac:dyDescent="0.25">
      <c r="B280"/>
      <c r="C280" s="23" t="s">
        <v>156</v>
      </c>
      <c r="D280" s="82" t="str">
        <f>INDEX(Input_DecisionActual[[Decision]:[Decision]],MATCH(Calc_TU_values!$D$235,Input_DecisionActual[[VDO period]:[VDO period]],0),1)</f>
        <v>VDO 2021 - Final</v>
      </c>
      <c r="E280" s="23" t="s">
        <v>587</v>
      </c>
      <c r="F280" s="82" t="str">
        <f>IF($D280="-","-",INDEX(Inputs!$H$10:$U$10,1,MATCH($D280,Inputs!$H$8:$U$8,0)))</f>
        <v>F-PreviousVDO_Input</v>
      </c>
      <c r="G280" s="58"/>
      <c r="H280" s="23" t="s">
        <v>130</v>
      </c>
      <c r="I280" s="23" t="s">
        <v>157</v>
      </c>
      <c r="J280" s="59" t="s">
        <v>110</v>
      </c>
      <c r="K280" s="67">
        <f>IFERROR(INDEX(Inputs!$H$11:$U$128,MATCH($C280,Input_ForRateCalc[Cost item],0),MATCH($F280,Inputs!$H$10:$U$10,0)),"-")</f>
        <v>0.17255000000000001</v>
      </c>
      <c r="L280" s="67">
        <f>IFERROR(INDEX(Inputs!$H$11:$U$128,MATCH($C280,Input_ForRateCalc[Cost item],0),MATCH($F280,Inputs!$H$10:$U$10,0)),"-")</f>
        <v>0.17255000000000001</v>
      </c>
      <c r="M280" s="67">
        <f>IFERROR(INDEX(Inputs!$H$11:$U$128,MATCH($C280,Input_ForRateCalc[Cost item],0),MATCH($F280,Inputs!$H$10:$U$10,0)),"-")</f>
        <v>0.17255000000000001</v>
      </c>
      <c r="N280" s="67">
        <f>IFERROR(INDEX(Inputs!$H$11:$U$128,MATCH($C280,Input_ForRateCalc[Cost item],0),MATCH($F280,Inputs!$H$10:$U$10,0)),"-")</f>
        <v>0.17255000000000001</v>
      </c>
      <c r="O280" s="67">
        <f>IFERROR(INDEX(Inputs!$H$11:$U$128,MATCH($C280,Input_ForRateCalc[Cost item],0),MATCH($F280,Inputs!$H$10:$U$10,0)),"-")</f>
        <v>0.17255000000000001</v>
      </c>
    </row>
    <row r="281" spans="2:15" hidden="1" outlineLevel="2" x14ac:dyDescent="0.25">
      <c r="B281"/>
      <c r="C281" s="23" t="s">
        <v>318</v>
      </c>
      <c r="D281" s="82" t="str">
        <f>INDEX(Input_DecisionActual[[Decision]:[Decision]],MATCH(Calc_TU_values!$D$235,Input_DecisionActual[[VDO period]:[VDO period]],0),1)</f>
        <v>VDO 2021 - Final</v>
      </c>
      <c r="E281" s="23" t="s">
        <v>587</v>
      </c>
      <c r="F281" s="82" t="str">
        <f>IF($D281="-","-",INDEX(Inputs!$H$10:$U$10,1,MATCH($D281,Inputs!$H$8:$U$8,0)))</f>
        <v>F-PreviousVDO_Input</v>
      </c>
      <c r="G281" s="58"/>
      <c r="H281" s="23" t="s">
        <v>130</v>
      </c>
      <c r="I281" s="23" t="s">
        <v>282</v>
      </c>
      <c r="J281" s="59" t="s">
        <v>110</v>
      </c>
      <c r="K281" s="64">
        <f>IFERROR(K279*K280/1000,"-")</f>
        <v>5.5870576816941407E-3</v>
      </c>
      <c r="L281" s="64">
        <f t="shared" ref="L281" si="99">IFERROR(L279*L280/1000,"-")</f>
        <v>5.5870576816941407E-3</v>
      </c>
      <c r="M281" s="64">
        <f t="shared" ref="M281" si="100">IFERROR(M279*M280/1000,"-")</f>
        <v>5.5870576816941407E-3</v>
      </c>
      <c r="N281" s="64">
        <f t="shared" ref="N281" si="101">IFERROR(N279*N280/1000,"-")</f>
        <v>5.5870576816941407E-3</v>
      </c>
      <c r="O281" s="64">
        <f t="shared" ref="O281" si="102">IFERROR(O279*O280/1000,"-")</f>
        <v>5.5870576816941407E-3</v>
      </c>
    </row>
    <row r="282" spans="2:15" hidden="1" outlineLevel="2" x14ac:dyDescent="0.25">
      <c r="C282" s="23" t="s">
        <v>319</v>
      </c>
      <c r="D282" s="23"/>
      <c r="E282" s="23"/>
      <c r="F282" s="23"/>
      <c r="G282" s="23"/>
      <c r="H282" s="23" t="s">
        <v>130</v>
      </c>
      <c r="I282" s="23" t="s">
        <v>282</v>
      </c>
      <c r="J282" s="23" t="s">
        <v>110</v>
      </c>
      <c r="K282" s="128">
        <f>IFERROR(K278-K281,"-")</f>
        <v>0</v>
      </c>
      <c r="L282" s="128">
        <f t="shared" ref="L282" si="103">IFERROR(L278-L281,"-")</f>
        <v>0</v>
      </c>
      <c r="M282" s="128">
        <f t="shared" ref="M282" si="104">IFERROR(M278-M281,"-")</f>
        <v>0</v>
      </c>
      <c r="N282" s="128">
        <f t="shared" ref="N282" si="105">IFERROR(N278-N281,"-")</f>
        <v>0</v>
      </c>
      <c r="O282" s="128">
        <f t="shared" ref="O282" si="106">IFERROR(O278-O281,"-")</f>
        <v>0</v>
      </c>
    </row>
    <row r="283" spans="2:15" hidden="1" outlineLevel="2" x14ac:dyDescent="0.25">
      <c r="C283" s="23" t="s">
        <v>320</v>
      </c>
      <c r="D283" s="82" t="str">
        <f>INDEX(Input_DecisionActual[[Decision]:[Decision]],MATCH(Calc_TU_values!$D$235,Input_DecisionActual[[VDO period]:[VDO period]],0),1)</f>
        <v>VDO 2021 - Final</v>
      </c>
      <c r="E283" s="23" t="s">
        <v>587</v>
      </c>
      <c r="F283" s="82" t="str">
        <f>IF($D283="-","-",INDEX(Inputs!$H$10:$U$10,1,MATCH($D283,Inputs!$H$8:$U$8,0)))</f>
        <v>F-PreviousVDO_Input</v>
      </c>
      <c r="G283" s="23"/>
      <c r="H283" s="23" t="s">
        <v>130</v>
      </c>
      <c r="I283" s="23" t="s">
        <v>282</v>
      </c>
      <c r="J283" s="23" t="s">
        <v>110</v>
      </c>
      <c r="K283" s="129">
        <f>IFERROR(K282*(INDEX(Inputs!$H$11:$U$128,MATCH("Marginal loss factor - "&amp;K$15,Input_ForRateCalc[Cost item],0),MATCH($F283,Inputs!$H$10:$U$10,0))*INDEX(Inputs!$H$11:$U$128,MATCH("Distribution loss factor - "&amp;K$15,Input_ForRateCalc[Cost item],0),MATCH($F283,Inputs!$H$10:$U$10,0))-1),"-")</f>
        <v>0</v>
      </c>
      <c r="L283" s="129">
        <f>IFERROR(L282*(INDEX(Inputs!$H$11:$U$128,MATCH("Marginal loss factor - "&amp;L$15,Input_ForRateCalc[Cost item],0),MATCH($F283,Inputs!$H$10:$U$10,0))*INDEX(Inputs!$H$11:$U$128,MATCH("Distribution loss factor - "&amp;L$15,Input_ForRateCalc[Cost item],0),MATCH($F283,Inputs!$H$10:$U$10,0))-1),"-")</f>
        <v>0</v>
      </c>
      <c r="M283" s="129">
        <f>IFERROR(M282*(INDEX(Inputs!$H$11:$U$128,MATCH("Marginal loss factor - "&amp;M$15,Input_ForRateCalc[Cost item],0),MATCH($F283,Inputs!$H$10:$U$10,0))*INDEX(Inputs!$H$11:$U$128,MATCH("Distribution loss factor - "&amp;M$15,Input_ForRateCalc[Cost item],0),MATCH($F283,Inputs!$H$10:$U$10,0))-1),"-")</f>
        <v>0</v>
      </c>
      <c r="N283" s="129">
        <f>IFERROR(N282*(INDEX(Inputs!$H$11:$U$128,MATCH("Marginal loss factor - "&amp;N$15,Input_ForRateCalc[Cost item],0),MATCH($F283,Inputs!$H$10:$U$10,0))*INDEX(Inputs!$H$11:$U$128,MATCH("Distribution loss factor - "&amp;N$15,Input_ForRateCalc[Cost item],0),MATCH($F283,Inputs!$H$10:$U$10,0))-1),"-")</f>
        <v>0</v>
      </c>
      <c r="O283" s="129">
        <f>IFERROR(O282*(INDEX(Inputs!$H$11:$U$128,MATCH("Marginal loss factor - "&amp;O$15,Input_ForRateCalc[Cost item],0),MATCH($F283,Inputs!$H$10:$U$10,0))*INDEX(Inputs!$H$11:$U$128,MATCH("Distribution loss factor - "&amp;O$15,Input_ForRateCalc[Cost item],0),MATCH($F283,Inputs!$H$10:$U$10,0))-1),"-")</f>
        <v>0</v>
      </c>
    </row>
    <row r="284" spans="2:15" hidden="1" outlineLevel="2" x14ac:dyDescent="0.25">
      <c r="B284"/>
      <c r="C284" s="23" t="s">
        <v>442</v>
      </c>
      <c r="D284" s="23"/>
      <c r="E284" s="23"/>
      <c r="F284" s="23"/>
      <c r="G284" s="23"/>
      <c r="H284" s="23" t="s">
        <v>130</v>
      </c>
      <c r="I284" s="23" t="s">
        <v>282</v>
      </c>
      <c r="J284" s="23" t="s">
        <v>110</v>
      </c>
      <c r="K284" s="129" t="str">
        <f>IF($D$241="Yes",SUM(K282:K283)*$D$242,"")</f>
        <v/>
      </c>
      <c r="L284" s="129" t="str">
        <f t="shared" ref="L284" si="107">IF($D$241="Yes",SUM(L282:L283)*$D$242,"")</f>
        <v/>
      </c>
      <c r="M284" s="129" t="str">
        <f t="shared" ref="M284" si="108">IF($D$241="Yes",SUM(M282:M283)*$D$242,"")</f>
        <v/>
      </c>
      <c r="N284" s="129" t="str">
        <f t="shared" ref="N284" si="109">IF($D$241="Yes",SUM(N282:N283)*$D$242,"")</f>
        <v/>
      </c>
      <c r="O284" s="129" t="str">
        <f t="shared" ref="O284" si="110">IF($D$241="Yes",SUM(O282:O283)*$D$242,"")</f>
        <v/>
      </c>
    </row>
    <row r="285" spans="2:15" hidden="1" outlineLevel="2" x14ac:dyDescent="0.25">
      <c r="B285"/>
      <c r="C285" s="23" t="s">
        <v>321</v>
      </c>
      <c r="D285" s="82" t="str">
        <f>INDEX(Input_DecisionActual[[Decision]:[Decision]],MATCH(Calc_TU_values!$D$235,Input_DecisionActual[[VDO period]:[VDO period]],0),1)</f>
        <v>VDO 2021 - Final</v>
      </c>
      <c r="E285" s="23" t="s">
        <v>587</v>
      </c>
      <c r="F285" s="82" t="str">
        <f>IF($D285="-","-",INDEX(Inputs!$H$10:$U$10,1,MATCH($D285,Inputs!$H$8:$U$8,0)))</f>
        <v>F-PreviousVDO_Input</v>
      </c>
      <c r="G285" s="23"/>
      <c r="H285" s="23" t="s">
        <v>130</v>
      </c>
      <c r="I285" s="23" t="s">
        <v>282</v>
      </c>
      <c r="J285" s="23" t="s">
        <v>110</v>
      </c>
      <c r="K285" s="129">
        <f>IFERROR(SUM(K282:K284)*(INDEX(Inputs!$H$11:$U$128,MATCH("Retail operating margin",Input_ForRateCalc[Cost item],0),MATCH($F285,Inputs!$H$10:$U$10,0))),"-")</f>
        <v>0</v>
      </c>
      <c r="L285" s="129">
        <f>IFERROR(SUM(L282:L284)*(INDEX(Inputs!$H$11:$U$128,MATCH("Retail operating margin",Input_ForRateCalc[Cost item],0),MATCH($F285,Inputs!$H$10:$U$10,0))),"-")</f>
        <v>0</v>
      </c>
      <c r="M285" s="129">
        <f>IFERROR(SUM(M282:M284)*(INDEX(Inputs!$H$11:$U$128,MATCH("Retail operating margin",Input_ForRateCalc[Cost item],0),MATCH($F285,Inputs!$H$10:$U$10,0))),"-")</f>
        <v>0</v>
      </c>
      <c r="N285" s="129">
        <f>IFERROR(SUM(N282:N284)*(INDEX(Inputs!$H$11:$U$128,MATCH("Retail operating margin",Input_ForRateCalc[Cost item],0),MATCH($F285,Inputs!$H$10:$U$10,0))),"-")</f>
        <v>0</v>
      </c>
      <c r="O285" s="129">
        <f>IFERROR(SUM(O282:O284)*(INDEX(Inputs!$H$11:$U$128,MATCH("Retail operating margin",Input_ForRateCalc[Cost item],0),MATCH($F285,Inputs!$H$10:$U$10,0))),"-")</f>
        <v>0</v>
      </c>
    </row>
    <row r="286" spans="2:15" hidden="1" outlineLevel="2" x14ac:dyDescent="0.25">
      <c r="B286"/>
      <c r="C286" s="23" t="s">
        <v>443</v>
      </c>
      <c r="D286" s="23"/>
      <c r="E286" s="23"/>
      <c r="F286" s="23"/>
      <c r="G286" s="23"/>
      <c r="H286" s="23" t="s">
        <v>130</v>
      </c>
      <c r="I286" s="23" t="s">
        <v>282</v>
      </c>
      <c r="J286" s="23" t="s">
        <v>110</v>
      </c>
      <c r="K286" s="129">
        <f>SUM(K282:K285)*GST</f>
        <v>0</v>
      </c>
      <c r="L286" s="129">
        <f>SUM(L282:L285)*GST</f>
        <v>0</v>
      </c>
      <c r="M286" s="129">
        <f>SUM(M282:M285)*GST</f>
        <v>0</v>
      </c>
      <c r="N286" s="129">
        <f>SUM(N282:N285)*GST</f>
        <v>0</v>
      </c>
      <c r="O286" s="129">
        <f>SUM(O282:O285)*GST</f>
        <v>0</v>
      </c>
    </row>
    <row r="287" spans="2:15" ht="15.75" hidden="1" outlineLevel="2" x14ac:dyDescent="0.25">
      <c r="B287" s="9"/>
      <c r="C287" s="117" t="s">
        <v>326</v>
      </c>
      <c r="D287" s="117"/>
      <c r="E287" s="117"/>
      <c r="F287" s="117"/>
      <c r="G287" s="70"/>
      <c r="H287" s="23" t="s">
        <v>130</v>
      </c>
      <c r="I287" s="23" t="s">
        <v>282</v>
      </c>
      <c r="J287" s="59" t="s">
        <v>110</v>
      </c>
      <c r="K287" s="129">
        <f>SUM(K282:K286)</f>
        <v>0</v>
      </c>
      <c r="L287" s="129">
        <f t="shared" ref="L287" si="111">SUM(L282:L286)</f>
        <v>0</v>
      </c>
      <c r="M287" s="129">
        <f t="shared" ref="M287" si="112">SUM(M282:M286)</f>
        <v>0</v>
      </c>
      <c r="N287" s="129">
        <f t="shared" ref="N287" si="113">SUM(N282:N286)</f>
        <v>0</v>
      </c>
      <c r="O287" s="129">
        <f t="shared" ref="O287" si="114">SUM(O282:O286)</f>
        <v>0</v>
      </c>
    </row>
    <row r="288" spans="2:15" hidden="1" outlineLevel="2" x14ac:dyDescent="0.25">
      <c r="H288" s="108"/>
      <c r="I288" s="108"/>
      <c r="J288" s="108"/>
      <c r="K288" s="108"/>
      <c r="L288" s="108"/>
    </row>
    <row r="289" spans="2:17" hidden="1" outlineLevel="1" x14ac:dyDescent="0.25"/>
    <row r="290" spans="2:17" ht="16.5" hidden="1" outlineLevel="1" thickBot="1" x14ac:dyDescent="0.3">
      <c r="B290" s="9">
        <f ca="1">MAX(B$3:B289)+0.1</f>
        <v>13.399999999999999</v>
      </c>
      <c r="C290" s="28" t="s">
        <v>512</v>
      </c>
      <c r="D290" s="28"/>
      <c r="E290" s="28"/>
      <c r="F290" s="28"/>
      <c r="G290" s="28"/>
      <c r="H290" s="28"/>
      <c r="I290" s="28"/>
      <c r="J290" s="28"/>
      <c r="K290" s="28"/>
      <c r="L290" s="28"/>
      <c r="M290" s="28"/>
      <c r="N290" s="28"/>
      <c r="O290" s="28"/>
      <c r="P290" s="28"/>
      <c r="Q290" s="28"/>
    </row>
    <row r="291" spans="2:17" hidden="1" outlineLevel="1" collapsed="1" x14ac:dyDescent="0.25"/>
    <row r="292" spans="2:17" ht="15.75" hidden="1" outlineLevel="2" x14ac:dyDescent="0.25">
      <c r="C292" s="42" t="s">
        <v>46</v>
      </c>
      <c r="D292" s="42" t="s">
        <v>513</v>
      </c>
      <c r="G292" s="42" t="s">
        <v>315</v>
      </c>
      <c r="H292" s="42" t="s">
        <v>102</v>
      </c>
      <c r="I292" s="42" t="s">
        <v>103</v>
      </c>
      <c r="J292" s="42" t="s">
        <v>91</v>
      </c>
      <c r="K292" s="50" t="s">
        <v>268</v>
      </c>
      <c r="L292" s="50" t="s">
        <v>269</v>
      </c>
      <c r="M292" s="50" t="s">
        <v>270</v>
      </c>
      <c r="N292" s="50" t="s">
        <v>271</v>
      </c>
      <c r="O292" s="50" t="s">
        <v>272</v>
      </c>
      <c r="P292" s="50" t="s">
        <v>612</v>
      </c>
      <c r="Q292" s="42" t="s">
        <v>613</v>
      </c>
    </row>
    <row r="293" spans="2:17" hidden="1" outlineLevel="2" x14ac:dyDescent="0.25">
      <c r="C293" s="57" t="s">
        <v>525</v>
      </c>
      <c r="D293" s="57"/>
      <c r="G293" s="57"/>
      <c r="H293" s="57"/>
      <c r="I293" s="57"/>
      <c r="J293" s="59" t="s">
        <v>92</v>
      </c>
      <c r="K293" s="184">
        <f>SUM(K294:K295)</f>
        <v>11.935672304856654</v>
      </c>
      <c r="L293" s="184">
        <f>SUM(L294:L295)</f>
        <v>16.187167340424587</v>
      </c>
      <c r="M293" s="184">
        <f>SUM(M294:M295)</f>
        <v>14.087579955431812</v>
      </c>
      <c r="N293" s="184">
        <f>SUM(N294:N295)</f>
        <v>14.085074916598433</v>
      </c>
      <c r="O293" s="184">
        <f>SUM(O294:O295)</f>
        <v>6.3579032626155492</v>
      </c>
      <c r="P293" s="205">
        <f t="shared" ref="P293:P304" si="115">IFERROR(AVERAGE(K293:O293),"-")</f>
        <v>12.530679555985406</v>
      </c>
      <c r="Q293" s="205">
        <f>IFERROR(P293/ROUND($D$309/30,0),"-")</f>
        <v>6.2653397779927031</v>
      </c>
    </row>
    <row r="294" spans="2:17" hidden="1" outlineLevel="2" x14ac:dyDescent="0.25">
      <c r="C294" s="183" t="s">
        <v>108</v>
      </c>
      <c r="D294" s="59"/>
      <c r="G294" s="59"/>
      <c r="H294" s="59"/>
      <c r="I294" s="59"/>
      <c r="J294" s="59"/>
      <c r="K294" s="66">
        <f>K348</f>
        <v>1.8248234761643884</v>
      </c>
      <c r="L294" s="66">
        <f>L348</f>
        <v>-1.2662808725479466</v>
      </c>
      <c r="M294" s="66">
        <f>M348</f>
        <v>0.21319327473972866</v>
      </c>
      <c r="N294" s="66">
        <f>N348</f>
        <v>-1.4904706405479504</v>
      </c>
      <c r="O294" s="66">
        <f>O348</f>
        <v>2.823027675178083</v>
      </c>
      <c r="P294" s="208">
        <f t="shared" si="115"/>
        <v>0.42085858259726061</v>
      </c>
      <c r="Q294" s="205">
        <f t="shared" ref="Q294:Q304" si="116">IFERROR(P294/ROUND($D$309/30,0),"-")</f>
        <v>0.21042929129863031</v>
      </c>
    </row>
    <row r="295" spans="2:17" hidden="1" outlineLevel="2" x14ac:dyDescent="0.25">
      <c r="C295" s="183" t="s">
        <v>130</v>
      </c>
      <c r="D295" s="59"/>
      <c r="G295" s="59"/>
      <c r="H295" s="59"/>
      <c r="I295" s="59"/>
      <c r="J295" s="59"/>
      <c r="K295" s="66">
        <f>K363</f>
        <v>10.110848828692266</v>
      </c>
      <c r="L295" s="66">
        <f>L363</f>
        <v>17.453448212972532</v>
      </c>
      <c r="M295" s="66">
        <f>M363</f>
        <v>13.874386680692083</v>
      </c>
      <c r="N295" s="66">
        <f>N363</f>
        <v>15.575545557146384</v>
      </c>
      <c r="O295" s="66">
        <f>O363</f>
        <v>3.5348755874374662</v>
      </c>
      <c r="P295" s="208">
        <f t="shared" si="115"/>
        <v>12.109820973388148</v>
      </c>
      <c r="Q295" s="205">
        <f t="shared" si="116"/>
        <v>6.0549104866940739</v>
      </c>
    </row>
    <row r="296" spans="2:17" hidden="1" outlineLevel="2" x14ac:dyDescent="0.25">
      <c r="C296" s="57" t="s">
        <v>526</v>
      </c>
      <c r="D296" s="57"/>
      <c r="G296" s="57"/>
      <c r="H296" s="57"/>
      <c r="I296" s="57"/>
      <c r="J296" s="59" t="s">
        <v>93</v>
      </c>
      <c r="K296" s="184">
        <f>SUM(K297:K298)</f>
        <v>25.621321611765929</v>
      </c>
      <c r="L296" s="184">
        <f>SUM(L297:L298)</f>
        <v>9.2305963444484362</v>
      </c>
      <c r="M296" s="184">
        <f>SUM(M297:M298)</f>
        <v>26.520328950645411</v>
      </c>
      <c r="N296" s="184">
        <f>SUM(N297:N298)</f>
        <v>11.825496125052261</v>
      </c>
      <c r="O296" s="184">
        <f>SUM(O297:O298)</f>
        <v>-0.7330329905416626</v>
      </c>
      <c r="P296" s="205">
        <f t="shared" si="115"/>
        <v>14.492942008274076</v>
      </c>
      <c r="Q296" s="205">
        <f t="shared" si="116"/>
        <v>7.2464710041370379</v>
      </c>
    </row>
    <row r="297" spans="2:17" hidden="1" outlineLevel="2" x14ac:dyDescent="0.25">
      <c r="C297" s="183" t="s">
        <v>108</v>
      </c>
      <c r="D297" s="59"/>
      <c r="G297" s="59"/>
      <c r="H297" s="59"/>
      <c r="I297" s="59"/>
      <c r="J297" s="59"/>
      <c r="K297" s="66">
        <f>K388</f>
        <v>1.8248234761643884</v>
      </c>
      <c r="L297" s="66">
        <f>L388</f>
        <v>-1.2648939274520594</v>
      </c>
      <c r="M297" s="66">
        <f>M388</f>
        <v>0.7202207747945274</v>
      </c>
      <c r="N297" s="66">
        <f>N388</f>
        <v>-1.489678100493145</v>
      </c>
      <c r="O297" s="66">
        <f>O388</f>
        <v>6.7861242191780837</v>
      </c>
      <c r="P297" s="208">
        <f t="shared" si="115"/>
        <v>1.3153192884383589</v>
      </c>
      <c r="Q297" s="205">
        <f t="shared" si="116"/>
        <v>0.65765964421917944</v>
      </c>
    </row>
    <row r="298" spans="2:17" hidden="1" outlineLevel="2" x14ac:dyDescent="0.25">
      <c r="C298" s="183" t="s">
        <v>130</v>
      </c>
      <c r="D298" s="59"/>
      <c r="G298" s="59"/>
      <c r="H298" s="59"/>
      <c r="I298" s="59"/>
      <c r="J298" s="59"/>
      <c r="K298" s="66">
        <f>K403</f>
        <v>23.796498135601539</v>
      </c>
      <c r="L298" s="66">
        <f>L403</f>
        <v>10.495490271900495</v>
      </c>
      <c r="M298" s="66">
        <f>M403</f>
        <v>25.800108175850884</v>
      </c>
      <c r="N298" s="66">
        <f>N403</f>
        <v>13.315174225545405</v>
      </c>
      <c r="O298" s="66">
        <f>O403</f>
        <v>-7.5191572097197463</v>
      </c>
      <c r="P298" s="208">
        <f t="shared" si="115"/>
        <v>13.177622719835714</v>
      </c>
      <c r="Q298" s="205">
        <f t="shared" si="116"/>
        <v>6.588811359917857</v>
      </c>
    </row>
    <row r="299" spans="2:17" hidden="1" outlineLevel="2" x14ac:dyDescent="0.25">
      <c r="C299" s="57" t="s">
        <v>527</v>
      </c>
      <c r="D299" s="57"/>
      <c r="G299" s="57"/>
      <c r="H299" s="57"/>
      <c r="I299" s="57"/>
      <c r="J299" s="59" t="s">
        <v>92</v>
      </c>
      <c r="K299" s="184">
        <f>SUM(K300:K301)</f>
        <v>-6.3978605110119062</v>
      </c>
      <c r="L299" s="184">
        <f>SUM(L300:L301)</f>
        <v>14.826240239261159</v>
      </c>
      <c r="M299" s="184">
        <f>SUM(M300:M301)</f>
        <v>-3.7120651353853771</v>
      </c>
      <c r="N299" s="184">
        <f>SUM(N300:N301)</f>
        <v>11.216302447668697</v>
      </c>
      <c r="O299" s="184">
        <f>SUM(O300:O301)</f>
        <v>4.8909298938290036</v>
      </c>
      <c r="P299" s="205">
        <f>IFERROR(AVERAGE(K299:O299),"-")</f>
        <v>4.1647093868723157</v>
      </c>
      <c r="Q299" s="205">
        <f t="shared" si="116"/>
        <v>2.0823546934361579</v>
      </c>
    </row>
    <row r="300" spans="2:17" hidden="1" outlineLevel="2" x14ac:dyDescent="0.25">
      <c r="C300" s="183" t="s">
        <v>108</v>
      </c>
      <c r="D300" s="59"/>
      <c r="G300" s="59"/>
      <c r="H300" s="59"/>
      <c r="I300" s="59"/>
      <c r="J300" s="59"/>
      <c r="K300" s="66">
        <f>K418</f>
        <v>1.8248234761643884</v>
      </c>
      <c r="L300" s="66">
        <f>L418</f>
        <v>-1.2662808725479466</v>
      </c>
      <c r="M300" s="66">
        <f>M418</f>
        <v>0.21319327473972866</v>
      </c>
      <c r="N300" s="66">
        <f>N418</f>
        <v>-1.4904706405479504</v>
      </c>
      <c r="O300" s="66">
        <f>O418</f>
        <v>2.823027675178083</v>
      </c>
      <c r="P300" s="208">
        <f t="shared" si="115"/>
        <v>0.42085858259726061</v>
      </c>
      <c r="Q300" s="205">
        <f t="shared" si="116"/>
        <v>0.21042929129863031</v>
      </c>
    </row>
    <row r="301" spans="2:17" hidden="1" outlineLevel="2" x14ac:dyDescent="0.25">
      <c r="C301" s="183" t="s">
        <v>130</v>
      </c>
      <c r="D301" s="59"/>
      <c r="G301" s="59"/>
      <c r="H301" s="59"/>
      <c r="I301" s="59"/>
      <c r="J301" s="59"/>
      <c r="K301" s="66">
        <f>K432</f>
        <v>-8.2226839871762945</v>
      </c>
      <c r="L301" s="66">
        <f>L432</f>
        <v>16.092521111809106</v>
      </c>
      <c r="M301" s="66">
        <f>M432</f>
        <v>-3.9252584101251058</v>
      </c>
      <c r="N301" s="66">
        <f>N432</f>
        <v>12.706773088216648</v>
      </c>
      <c r="O301" s="66">
        <f>O432</f>
        <v>2.0679022186509202</v>
      </c>
      <c r="P301" s="208">
        <f t="shared" si="115"/>
        <v>3.7438508042750547</v>
      </c>
      <c r="Q301" s="205">
        <f t="shared" si="116"/>
        <v>1.8719254021375273</v>
      </c>
    </row>
    <row r="302" spans="2:17" hidden="1" outlineLevel="2" x14ac:dyDescent="0.25">
      <c r="C302" s="57" t="s">
        <v>528</v>
      </c>
      <c r="D302" s="57"/>
      <c r="G302" s="57"/>
      <c r="H302" s="57"/>
      <c r="I302" s="57"/>
      <c r="J302" s="59" t="s">
        <v>93</v>
      </c>
      <c r="K302" s="184">
        <f>SUM(K303:K304)</f>
        <v>-59.595108454241831</v>
      </c>
      <c r="L302" s="184">
        <f>SUM(L303:L304)</f>
        <v>3.64918860731686</v>
      </c>
      <c r="M302" s="184">
        <f>SUM(M303:M304)</f>
        <v>10.344808847787727</v>
      </c>
      <c r="N302" s="184">
        <f>SUM(N303:N304)</f>
        <v>5.7208803654110367</v>
      </c>
      <c r="O302" s="184">
        <f>SUM(O303:O304)</f>
        <v>-6.1969538962713306</v>
      </c>
      <c r="P302" s="205">
        <f>IFERROR(AVERAGE(K302:O302),"-")</f>
        <v>-9.2154369059995087</v>
      </c>
      <c r="Q302" s="205">
        <f t="shared" si="116"/>
        <v>-4.6077184529997544</v>
      </c>
    </row>
    <row r="303" spans="2:17" hidden="1" outlineLevel="2" x14ac:dyDescent="0.25">
      <c r="C303" s="183" t="s">
        <v>108</v>
      </c>
      <c r="D303" s="59"/>
      <c r="G303" s="59"/>
      <c r="H303" s="59"/>
      <c r="I303" s="59"/>
      <c r="J303" s="59"/>
      <c r="K303" s="66">
        <f>K446</f>
        <v>1.8248234761643884</v>
      </c>
      <c r="L303" s="66">
        <f>L446</f>
        <v>-1.2648939274520594</v>
      </c>
      <c r="M303" s="66">
        <f>M446</f>
        <v>22.051040079561648</v>
      </c>
      <c r="N303" s="66">
        <f>N446</f>
        <v>-1.489678100493145</v>
      </c>
      <c r="O303" s="66">
        <f>O446</f>
        <v>6.7861242191780837</v>
      </c>
      <c r="P303" s="208">
        <f t="shared" si="115"/>
        <v>5.5814831493917838</v>
      </c>
      <c r="Q303" s="205">
        <f t="shared" si="116"/>
        <v>2.7907415746958919</v>
      </c>
    </row>
    <row r="304" spans="2:17" hidden="1" outlineLevel="2" x14ac:dyDescent="0.25">
      <c r="C304" s="183" t="s">
        <v>130</v>
      </c>
      <c r="D304" s="59"/>
      <c r="G304" s="59"/>
      <c r="H304" s="59"/>
      <c r="I304" s="59"/>
      <c r="J304" s="59"/>
      <c r="K304" s="66">
        <f>K460</f>
        <v>-61.419931930406221</v>
      </c>
      <c r="L304" s="66">
        <f>L460</f>
        <v>4.9140825347689194</v>
      </c>
      <c r="M304" s="66">
        <f>M460</f>
        <v>-11.706231231773922</v>
      </c>
      <c r="N304" s="66">
        <f>N460</f>
        <v>7.2105584659041817</v>
      </c>
      <c r="O304" s="66">
        <f>O460</f>
        <v>-12.983078115449414</v>
      </c>
      <c r="P304" s="208">
        <f t="shared" si="115"/>
        <v>-14.796920055391292</v>
      </c>
      <c r="Q304" s="205">
        <f t="shared" si="116"/>
        <v>-7.3984600276956458</v>
      </c>
    </row>
    <row r="305" spans="2:18" hidden="1" outlineLevel="2" x14ac:dyDescent="0.25"/>
    <row r="306" spans="2:18" hidden="1" outlineLevel="2" x14ac:dyDescent="0.25">
      <c r="I306" t="s">
        <v>625</v>
      </c>
      <c r="J306" s="59" t="s">
        <v>92</v>
      </c>
      <c r="K306" s="121">
        <f>IFERROR(K299/ROUND($D$309/30,0),"-")</f>
        <v>-3.1989302555059531</v>
      </c>
      <c r="L306" s="121">
        <f t="shared" ref="L306:O306" si="117">IFERROR(L299/ROUND($D$309/30,0),"-")</f>
        <v>7.4131201196305794</v>
      </c>
      <c r="M306" s="121">
        <f t="shared" si="117"/>
        <v>-1.8560325676926885</v>
      </c>
      <c r="N306" s="121">
        <f t="shared" si="117"/>
        <v>5.6081512238343487</v>
      </c>
      <c r="O306" s="121">
        <f t="shared" si="117"/>
        <v>2.4454649469145018</v>
      </c>
      <c r="P306" s="178"/>
      <c r="Q306" s="178"/>
    </row>
    <row r="307" spans="2:18" ht="15.75" hidden="1" outlineLevel="2" x14ac:dyDescent="0.25">
      <c r="C307" s="54" t="s">
        <v>552</v>
      </c>
      <c r="D307" s="82" t="str">
        <f>INDEX(Inputs!$H$10:$U$10,1,MATCH($D$235,Inputs!$H$8:$U$8,0))</f>
        <v>F-CurrentVDO_Input</v>
      </c>
      <c r="E307" s="227">
        <f>INDEX(Input_TUNet_Dates[[F-PreviousVDO_Input]:[F-CurrentVDO_Input]],MATCH($C307,Input_TUNet_Dates[Item],0),MATCH($D307,Input_TUNet_Dates[[#Headers],[F-PreviousVDO_Input]:[F-CurrentVDO_Input]],0))</f>
        <v>44378</v>
      </c>
      <c r="I307" t="s">
        <v>625</v>
      </c>
      <c r="J307" s="59" t="s">
        <v>93</v>
      </c>
      <c r="K307" s="121">
        <f>IFERROR(K302/ROUND($D$309/30,0),"-")</f>
        <v>-29.797554227120916</v>
      </c>
      <c r="L307" s="121">
        <f t="shared" ref="L307:O307" si="118">IFERROR(L302/ROUND($D$309/30,0),"-")</f>
        <v>1.82459430365843</v>
      </c>
      <c r="M307" s="121">
        <f t="shared" si="118"/>
        <v>5.1724044238938633</v>
      </c>
      <c r="N307" s="121">
        <f t="shared" si="118"/>
        <v>2.8604401827055184</v>
      </c>
      <c r="O307" s="121">
        <f t="shared" si="118"/>
        <v>-3.0984769481356653</v>
      </c>
      <c r="P307" s="178"/>
      <c r="Q307" s="178"/>
    </row>
    <row r="308" spans="2:18" ht="15.75" hidden="1" outlineLevel="2" x14ac:dyDescent="0.25">
      <c r="C308" s="54" t="s">
        <v>553</v>
      </c>
      <c r="D308" s="82" t="str">
        <f>INDEX(Inputs!$H$10:$U$10,1,MATCH($D$235,Inputs!$H$8:$U$8,0))</f>
        <v>F-CurrentVDO_Input</v>
      </c>
      <c r="E308" s="227">
        <f>INDEX(Input_TUNet_Dates[[F-PreviousVDO_Input]:[F-CurrentVDO_Input]],MATCH($C308,Input_TUNet_Dates[Item],0),MATCH($D308,Input_TUNet_Dates[[#Headers],[F-PreviousVDO_Input]:[F-CurrentVDO_Input]],0))</f>
        <v>44439</v>
      </c>
      <c r="K308" s="121"/>
      <c r="L308" s="121"/>
      <c r="M308" s="121"/>
      <c r="N308" s="121"/>
      <c r="O308" s="121"/>
      <c r="P308" s="178"/>
      <c r="Q308" s="178"/>
      <c r="R308" s="87"/>
    </row>
    <row r="309" spans="2:18" ht="15.75" hidden="1" outlineLevel="2" x14ac:dyDescent="0.25">
      <c r="C309" s="54" t="s">
        <v>643</v>
      </c>
      <c r="D309" s="283">
        <f>IFERROR(_xlfn.DAYS(E308,E307)+1,"-")</f>
        <v>62</v>
      </c>
      <c r="K309" s="121"/>
      <c r="L309" s="121"/>
      <c r="M309" s="121"/>
      <c r="N309" s="121"/>
      <c r="O309" s="121"/>
      <c r="P309" s="178"/>
      <c r="Q309" s="178"/>
      <c r="R309" s="87"/>
    </row>
    <row r="310" spans="2:18" ht="15.75" hidden="1" outlineLevel="2" x14ac:dyDescent="0.25">
      <c r="B310"/>
      <c r="C310" s="54" t="s">
        <v>515</v>
      </c>
      <c r="D310" s="196">
        <f>IFERROR(D309/DiY,"-")</f>
        <v>0.16986301369863013</v>
      </c>
      <c r="G310" s="178"/>
    </row>
    <row r="311" spans="2:18" ht="15.75" hidden="1" outlineLevel="2" x14ac:dyDescent="0.25">
      <c r="B311"/>
      <c r="C311" s="54" t="s">
        <v>442</v>
      </c>
      <c r="D311" s="195" t="s">
        <v>317</v>
      </c>
    </row>
    <row r="312" spans="2:18" ht="15.75" hidden="1" outlineLevel="2" x14ac:dyDescent="0.25">
      <c r="B312"/>
      <c r="C312" s="54" t="s">
        <v>558</v>
      </c>
      <c r="D312" s="196">
        <f>(1+WACC)^(1/2)-1</f>
        <v>3.2230594392551382E-2</v>
      </c>
    </row>
    <row r="313" spans="2:18" hidden="1" outlineLevel="2" x14ac:dyDescent="0.25">
      <c r="B313"/>
    </row>
    <row r="314" spans="2:18" ht="15.75" hidden="1" outlineLevel="2" x14ac:dyDescent="0.25">
      <c r="B314"/>
      <c r="C314" s="29" t="s">
        <v>652</v>
      </c>
    </row>
    <row r="315" spans="2:18" ht="15.75" hidden="1" outlineLevel="2" x14ac:dyDescent="0.25">
      <c r="B315"/>
      <c r="C315" s="217" t="s">
        <v>6</v>
      </c>
      <c r="D315" s="217" t="s">
        <v>101</v>
      </c>
      <c r="E315" s="217" t="s">
        <v>91</v>
      </c>
      <c r="F315" s="217" t="s">
        <v>638</v>
      </c>
    </row>
    <row r="316" spans="2:18" hidden="1" outlineLevel="2" x14ac:dyDescent="0.25">
      <c r="B316"/>
      <c r="C316" s="59" t="s">
        <v>631</v>
      </c>
      <c r="D316" s="82" t="str">
        <f>INDEX(Inputs!$H$10:$U$10,1,MATCH($D$235,Inputs!$H$8:$U$8,0))</f>
        <v>F-CurrentVDO_Input</v>
      </c>
      <c r="E316" s="59" t="s">
        <v>92</v>
      </c>
      <c r="F316" s="221">
        <f>SUMIFS(
INDEX(Input_TUNet_Actual[[F-PreviousVDO_Input]:[F-CurrentVDO_Input]],0,MATCH(TUNet_Usage_Actual_2[[#This Row],[VDO decision]],Input_TUNet_Actual[[#Headers],[F-PreviousVDO_Input]:[F-CurrentVDO_Input]],0)),
Input_TUNet_Actual[Customer type],Calc_TU_values!E316,Input_TUNet_Actual[Item],Calc_TU_values!C316)</f>
        <v>2569719112.2439995</v>
      </c>
    </row>
    <row r="317" spans="2:18" hidden="1" outlineLevel="2" x14ac:dyDescent="0.25">
      <c r="B317"/>
      <c r="C317" s="23" t="s">
        <v>627</v>
      </c>
      <c r="D317" s="82" t="str">
        <f>INDEX(Inputs!$H$10:$U$10,1,MATCH($D$235,Inputs!$H$8:$U$8,0))</f>
        <v>F-CurrentVDO_Input</v>
      </c>
      <c r="E317" s="59" t="s">
        <v>92</v>
      </c>
      <c r="F317" s="221">
        <f>SUMIFS(
INDEX(Input_TUNet_Actual[[F-PreviousVDO_Input]:[F-CurrentVDO_Input]],0,MATCH(TUNet_Usage_Actual_2[[#This Row],[VDO decision]],Input_TUNet_Actual[[#Headers],[F-PreviousVDO_Input]:[F-CurrentVDO_Input]],0)),
Input_TUNet_Actual[Customer type],Calc_TU_values!E317,Input_TUNet_Actual[Item],Calc_TU_values!C317)</f>
        <v>2713463</v>
      </c>
    </row>
    <row r="318" spans="2:18" hidden="1" outlineLevel="2" x14ac:dyDescent="0.25">
      <c r="B318"/>
      <c r="C318" s="59" t="s">
        <v>637</v>
      </c>
      <c r="D318" s="82" t="str">
        <f>INDEX(Inputs!$H$10:$U$10,1,MATCH($D$235,Inputs!$H$8:$U$8,0))</f>
        <v>F-CurrentVDO_Input</v>
      </c>
      <c r="E318" s="59" t="s">
        <v>92</v>
      </c>
      <c r="F318" s="222">
        <f>IFERROR(F316/F317,"-")</f>
        <v>947.02566876496917</v>
      </c>
    </row>
    <row r="319" spans="2:18" hidden="1" outlineLevel="2" x14ac:dyDescent="0.25">
      <c r="B319"/>
      <c r="C319" s="59" t="s">
        <v>631</v>
      </c>
      <c r="D319" s="82" t="str">
        <f>INDEX(Inputs!$H$10:$U$10,1,MATCH($D$235,Inputs!$H$8:$U$8,0))</f>
        <v>F-CurrentVDO_Input</v>
      </c>
      <c r="E319" s="59" t="s">
        <v>93</v>
      </c>
      <c r="F319" s="221">
        <f>SUMIFS(
INDEX(Input_TUNet_Actual[[F-PreviousVDO_Input]:[F-CurrentVDO_Input]],0,MATCH(TUNet_Usage_Actual_2[[#This Row],[VDO decision]],Input_TUNet_Actual[[#Headers],[F-PreviousVDO_Input]:[F-CurrentVDO_Input]],0)),
Input_TUNet_Actual[Customer type],Calc_TU_values!E319,Input_TUNet_Actual[Item],Calc_TU_values!C319)</f>
        <v>394181124.54900002</v>
      </c>
    </row>
    <row r="320" spans="2:18" hidden="1" outlineLevel="2" x14ac:dyDescent="0.25">
      <c r="B320"/>
      <c r="C320" s="23" t="s">
        <v>627</v>
      </c>
      <c r="D320" s="82" t="str">
        <f>INDEX(Inputs!$H$10:$U$10,1,MATCH($D$235,Inputs!$H$8:$U$8,0))</f>
        <v>F-CurrentVDO_Input</v>
      </c>
      <c r="E320" s="59" t="s">
        <v>93</v>
      </c>
      <c r="F320" s="221">
        <f>SUMIFS(
INDEX(Input_TUNet_Actual[[F-PreviousVDO_Input]:[F-CurrentVDO_Input]],0,MATCH(TUNet_Usage_Actual_2[[#This Row],[VDO decision]],Input_TUNet_Actual[[#Headers],[F-PreviousVDO_Input]:[F-CurrentVDO_Input]],0)),
Input_TUNet_Actual[Customer type],Calc_TU_values!E320,Input_TUNet_Actual[Item],Calc_TU_values!C320)</f>
        <v>293515</v>
      </c>
    </row>
    <row r="321" spans="2:15" hidden="1" outlineLevel="2" x14ac:dyDescent="0.25">
      <c r="B321"/>
      <c r="C321" s="59" t="s">
        <v>637</v>
      </c>
      <c r="D321" s="82" t="str">
        <f>INDEX(Inputs!$H$10:$U$10,1,MATCH($D$235,Inputs!$H$8:$U$8,0))</f>
        <v>F-CurrentVDO_Input</v>
      </c>
      <c r="E321" s="223" t="s">
        <v>93</v>
      </c>
      <c r="F321" s="222">
        <f>IFERROR(F319/F320,"-")</f>
        <v>1342.9675640052469</v>
      </c>
    </row>
    <row r="322" spans="2:15" hidden="1" outlineLevel="2" x14ac:dyDescent="0.25">
      <c r="B322"/>
      <c r="C322" s="223" t="s">
        <v>792</v>
      </c>
      <c r="D322" s="82" t="str">
        <f>INDEX(Inputs!$H$10:$U$10,1,MATCH($D$235,Inputs!$H$8:$U$8,0))</f>
        <v>F-CurrentVDO_Input</v>
      </c>
      <c r="E322" s="59" t="s">
        <v>92</v>
      </c>
      <c r="F322" s="196">
        <f>SUMIFS(
INDEX(Input_TUNet_Actual[[F-PreviousVDO_Input]:[F-CurrentVDO_Input]],0,MATCH(TUNet_Usage_Actual_2[[#This Row],[VDO decision]],Input_TUNet_Actual[[#Headers],[F-PreviousVDO_Input]:[F-CurrentVDO_Input]],0)),
Input_TUNet_Actual[Item],"Total usage - Controlled load",Input_TUNet_Actual[Customer type],TUNet_Usage_Actual_2[[#This Row],[Customer type]],Input_TUNet_Actual[Month],"July 2020 to August 2020")
/SUMIFS(
INDEX(Input_TUNet_Actual[[F-PreviousVDO_Input]:[F-CurrentVDO_Input]],0,MATCH(TUNet_Usage_Actual_2[[#This Row],[VDO decision]],Input_TUNet_Actual[[#Headers],[F-PreviousVDO_Input]:[F-CurrentVDO_Input]],0)),
Input_TUNet_Actual[Item],"Total usage - Controlled load",Input_TUNet_Actual[Customer type],TUNet_Usage_Actual_2[[#This Row],[Customer type]],Input_TUNet_Actual[Month],"July 2020 to June 2021")</f>
        <v>0.24272794067310086</v>
      </c>
    </row>
    <row r="323" spans="2:15" hidden="1" outlineLevel="2" x14ac:dyDescent="0.25">
      <c r="B323"/>
    </row>
    <row r="324" spans="2:15" ht="15.75" hidden="1" outlineLevel="2" x14ac:dyDescent="0.25">
      <c r="B324"/>
      <c r="C324" s="29" t="s">
        <v>666</v>
      </c>
    </row>
    <row r="325" spans="2:15" ht="15.75" hidden="1" outlineLevel="2" x14ac:dyDescent="0.25">
      <c r="B325"/>
      <c r="C325" s="217" t="s">
        <v>6</v>
      </c>
      <c r="D325" s="217" t="s">
        <v>101</v>
      </c>
      <c r="E325" s="217" t="s">
        <v>91</v>
      </c>
      <c r="F325" s="217" t="s">
        <v>268</v>
      </c>
      <c r="G325" s="60" t="s">
        <v>269</v>
      </c>
      <c r="H325" s="60" t="s">
        <v>270</v>
      </c>
      <c r="I325" s="60" t="s">
        <v>271</v>
      </c>
      <c r="J325" s="60" t="s">
        <v>272</v>
      </c>
    </row>
    <row r="326" spans="2:15" hidden="1" outlineLevel="2" x14ac:dyDescent="0.25">
      <c r="B326"/>
      <c r="C326" s="59" t="s">
        <v>661</v>
      </c>
      <c r="D326" s="82" t="str">
        <f>INDEX(Inputs!$H$10:$U$10,1,MATCH($D$235,Inputs!$H$8:$U$8,0))</f>
        <v>F-CurrentVDO_Input</v>
      </c>
      <c r="E326" s="59" t="s">
        <v>92</v>
      </c>
      <c r="F326" s="226">
        <f>IF(SUMIFS(
INDEX(Input_TUNet_Actual[[F-PreviousVDO_Input]:[F-CurrentVDO_Input]],0,MATCH(TUNet_Usage_PerRate_2[[#This Row],[VDO decision]],Input_TUNet_Actual[[#Headers],[F-PreviousVDO_Input]:[F-CurrentVDO_Input]],0)),
Input_TUNet_Actual[Customer type],$E326,Input_TUNet_Actual[Item],$C326&amp;" - "&amp;F$325)=0,"-",MIN(SUMIFS(TUNet_Usage_Actual_2[Value],TUNet_Usage_Actual_2[Customer type],$E326,TUNet_Usage_Actual_2[Description],"Usage per customer"),SUMIFS(
INDEX(Input_TUNet_Actual[[F-PreviousVDO_Input]:[F-CurrentVDO_Input]],0,MATCH(TUNet_Usage_PerRate_2[[#This Row],[VDO decision]],Input_TUNet_Actual[[#Headers],[F-PreviousVDO_Input]:[F-CurrentVDO_Input]],0)),
Input_TUNet_Actual[Customer type],$E326,Input_TUNet_Actual[Item],$C326&amp;" - "&amp;F$325)))</f>
        <v>947.02566876496917</v>
      </c>
      <c r="G326" s="226" t="str">
        <f>IF(SUMIFS(
INDEX(Input_TUNet_Actual[[F-PreviousVDO_Input]:[F-CurrentVDO_Input]],0,MATCH(TUNet_Usage_PerRate_2[[#This Row],[VDO decision]],Input_TUNet_Actual[[#Headers],[F-PreviousVDO_Input]:[F-CurrentVDO_Input]],0)),
Input_TUNet_Actual[Customer type],$E326,Input_TUNet_Actual[Item],$C326&amp;" - "&amp;G$325)=0,"-",MIN(SUMIFS(TUNet_Usage_Actual_2[Value],TUNet_Usage_Actual_2[Customer type],$E326,TUNet_Usage_Actual_2[Description],"Usage per customer"),SUMIFS(
INDEX(Input_TUNet_Actual[[F-PreviousVDO_Input]:[F-CurrentVDO_Input]],0,MATCH(TUNet_Usage_PerRate_2[[#This Row],[VDO decision]],Input_TUNet_Actual[[#Headers],[F-PreviousVDO_Input]:[F-CurrentVDO_Input]],0)),
Input_TUNet_Actual[Customer type],$E326,Input_TUNet_Actual[Item],$C326&amp;" - "&amp;G$325)))</f>
        <v>-</v>
      </c>
      <c r="H326" s="226" t="str">
        <f>IF(SUMIFS(
INDEX(Input_TUNet_Actual[[F-PreviousVDO_Input]:[F-CurrentVDO_Input]],0,MATCH(TUNet_Usage_PerRate_2[[#This Row],[VDO decision]],Input_TUNet_Actual[[#Headers],[F-PreviousVDO_Input]:[F-CurrentVDO_Input]],0)),
Input_TUNet_Actual[Customer type],$E326,Input_TUNet_Actual[Item],$C326&amp;" - "&amp;H$325)=0,"-",MIN(SUMIFS(TUNet_Usage_Actual_2[Value],TUNet_Usage_Actual_2[Customer type],$E326,TUNet_Usage_Actual_2[Description],"Usage per customer"),SUMIFS(
INDEX(Input_TUNet_Actual[[F-PreviousVDO_Input]:[F-CurrentVDO_Input]],0,MATCH(TUNet_Usage_PerRate_2[[#This Row],[VDO decision]],Input_TUNet_Actual[[#Headers],[F-PreviousVDO_Input]:[F-CurrentVDO_Input]],0)),
Input_TUNet_Actual[Customer type],$E326,Input_TUNet_Actual[Item],$C326&amp;" - "&amp;H$325)))</f>
        <v>-</v>
      </c>
      <c r="I326" s="226" t="str">
        <f>IF(SUMIFS(
INDEX(Input_TUNet_Actual[[F-PreviousVDO_Input]:[F-CurrentVDO_Input]],0,MATCH(TUNet_Usage_PerRate_2[[#This Row],[VDO decision]],Input_TUNet_Actual[[#Headers],[F-PreviousVDO_Input]:[F-CurrentVDO_Input]],0)),
Input_TUNet_Actual[Customer type],$E326,Input_TUNet_Actual[Item],$C326&amp;" - "&amp;I$325)=0,"-",MIN(SUMIFS(TUNet_Usage_Actual_2[Value],TUNet_Usage_Actual_2[Customer type],$E326,TUNet_Usage_Actual_2[Description],"Usage per customer"),SUMIFS(
INDEX(Input_TUNet_Actual[[F-PreviousVDO_Input]:[F-CurrentVDO_Input]],0,MATCH(TUNet_Usage_PerRate_2[[#This Row],[VDO decision]],Input_TUNet_Actual[[#Headers],[F-PreviousVDO_Input]:[F-CurrentVDO_Input]],0)),
Input_TUNet_Actual[Customer type],$E326,Input_TUNet_Actual[Item],$C326&amp;" - "&amp;I$325)))</f>
        <v>-</v>
      </c>
      <c r="J326" s="226" t="str">
        <f>IF(SUMIFS(
INDEX(Input_TUNet_Actual[[F-PreviousVDO_Input]:[F-CurrentVDO_Input]],0,MATCH(TUNet_Usage_PerRate_2[[#This Row],[VDO decision]],Input_TUNet_Actual[[#Headers],[F-PreviousVDO_Input]:[F-CurrentVDO_Input]],0)),
Input_TUNet_Actual[Customer type],$E326,Input_TUNet_Actual[Item],$C326&amp;" - "&amp;J$325)=0,"-",MIN(SUMIFS(TUNet_Usage_Actual_2[Value],TUNet_Usage_Actual_2[Customer type],$E326,TUNet_Usage_Actual_2[Description],"Usage per customer"),SUMIFS(
INDEX(Input_TUNet_Actual[[F-PreviousVDO_Input]:[F-CurrentVDO_Input]],0,MATCH(TUNet_Usage_PerRate_2[[#This Row],[VDO decision]],Input_TUNet_Actual[[#Headers],[F-PreviousVDO_Input]:[F-CurrentVDO_Input]],0)),
Input_TUNet_Actual[Customer type],$E326,Input_TUNet_Actual[Item],$C326&amp;" - "&amp;J$325)))</f>
        <v>-</v>
      </c>
    </row>
    <row r="327" spans="2:15" hidden="1" outlineLevel="2" x14ac:dyDescent="0.25">
      <c r="B327"/>
      <c r="C327" s="59" t="s">
        <v>661</v>
      </c>
      <c r="D327" s="82" t="str">
        <f>INDEX(Inputs!$H$10:$U$10,1,MATCH($D$235,Inputs!$H$8:$U$8,0))</f>
        <v>F-CurrentVDO_Input</v>
      </c>
      <c r="E327" s="59" t="s">
        <v>93</v>
      </c>
      <c r="F327" s="226">
        <f>IF(SUMIFS(
INDEX(Input_TUNet_Actual[[F-PreviousVDO_Input]:[F-CurrentVDO_Input]],0,MATCH(TUNet_Usage_PerRate_2[[#This Row],[VDO decision]],Input_TUNet_Actual[[#Headers],[F-PreviousVDO_Input]:[F-CurrentVDO_Input]],0)),
Input_TUNet_Actual[Customer type],$E327,Input_TUNet_Actual[Item],$C327&amp;" - "&amp;F$325)=0,"-",MIN(SUMIFS(TUNet_Usage_Actual_2[Value],TUNet_Usage_Actual_2[Customer type],$E327,TUNet_Usage_Actual_2[Description],"Usage per customer"),SUMIFS(
INDEX(Input_TUNet_Actual[[F-PreviousVDO_Input]:[F-CurrentVDO_Input]],0,MATCH(TUNet_Usage_PerRate_2[[#This Row],[VDO decision]],Input_TUNet_Actual[[#Headers],[F-PreviousVDO_Input]:[F-CurrentVDO_Input]],0)),
Input_TUNet_Actual[Customer type],$E327,Input_TUNet_Actual[Item],$C327&amp;" - "&amp;F$325)))</f>
        <v>1020</v>
      </c>
      <c r="G327" s="226" t="str">
        <f>IF(SUMIFS(
INDEX(Input_TUNet_Actual[[F-PreviousVDO_Input]:[F-CurrentVDO_Input]],0,MATCH(TUNet_Usage_PerRate_2[[#This Row],[VDO decision]],Input_TUNet_Actual[[#Headers],[F-PreviousVDO_Input]:[F-CurrentVDO_Input]],0)),
Input_TUNet_Actual[Customer type],$E327,Input_TUNet_Actual[Item],$C327&amp;" - "&amp;G$325)=0,"-",MIN(SUMIFS(TUNet_Usage_Actual_2[Value],TUNet_Usage_Actual_2[Customer type],$E327,TUNet_Usage_Actual_2[Description],"Usage per customer"),SUMIFS(
INDEX(Input_TUNet_Actual[[F-PreviousVDO_Input]:[F-CurrentVDO_Input]],0,MATCH(TUNet_Usage_PerRate_2[[#This Row],[VDO decision]],Input_TUNet_Actual[[#Headers],[F-PreviousVDO_Input]:[F-CurrentVDO_Input]],0)),
Input_TUNet_Actual[Customer type],$E327,Input_TUNet_Actual[Item],$C327&amp;" - "&amp;G$325)))</f>
        <v>-</v>
      </c>
      <c r="H327" s="226" t="str">
        <f>IF(SUMIFS(
INDEX(Input_TUNet_Actual[[F-PreviousVDO_Input]:[F-CurrentVDO_Input]],0,MATCH(TUNet_Usage_PerRate_2[[#This Row],[VDO decision]],Input_TUNet_Actual[[#Headers],[F-PreviousVDO_Input]:[F-CurrentVDO_Input]],0)),
Input_TUNet_Actual[Customer type],$E327,Input_TUNet_Actual[Item],$C327&amp;" - "&amp;H$325)=0,"-",MIN(SUMIFS(TUNet_Usage_Actual_2[Value],TUNet_Usage_Actual_2[Customer type],$E327,TUNet_Usage_Actual_2[Description],"Usage per customer"),SUMIFS(
INDEX(Input_TUNet_Actual[[F-PreviousVDO_Input]:[F-CurrentVDO_Input]],0,MATCH(TUNet_Usage_PerRate_2[[#This Row],[VDO decision]],Input_TUNet_Actual[[#Headers],[F-PreviousVDO_Input]:[F-CurrentVDO_Input]],0)),
Input_TUNet_Actual[Customer type],$E327,Input_TUNet_Actual[Item],$C327&amp;" - "&amp;H$325)))</f>
        <v>-</v>
      </c>
      <c r="I327" s="226" t="str">
        <f>IF(SUMIFS(
INDEX(Input_TUNet_Actual[[F-PreviousVDO_Input]:[F-CurrentVDO_Input]],0,MATCH(TUNet_Usage_PerRate_2[[#This Row],[VDO decision]],Input_TUNet_Actual[[#Headers],[F-PreviousVDO_Input]:[F-CurrentVDO_Input]],0)),
Input_TUNet_Actual[Customer type],$E327,Input_TUNet_Actual[Item],$C327&amp;" - "&amp;I$325)=0,"-",MIN(SUMIFS(TUNet_Usage_Actual_2[Value],TUNet_Usage_Actual_2[Customer type],$E327,TUNet_Usage_Actual_2[Description],"Usage per customer"),SUMIFS(
INDEX(Input_TUNet_Actual[[F-PreviousVDO_Input]:[F-CurrentVDO_Input]],0,MATCH(TUNet_Usage_PerRate_2[[#This Row],[VDO decision]],Input_TUNet_Actual[[#Headers],[F-PreviousVDO_Input]:[F-CurrentVDO_Input]],0)),
Input_TUNet_Actual[Customer type],$E327,Input_TUNet_Actual[Item],$C327&amp;" - "&amp;I$325)))</f>
        <v>-</v>
      </c>
      <c r="J327" s="226" t="str">
        <f>IF(SUMIFS(
INDEX(Input_TUNet_Actual[[F-PreviousVDO_Input]:[F-CurrentVDO_Input]],0,MATCH(TUNet_Usage_PerRate_2[[#This Row],[VDO decision]],Input_TUNet_Actual[[#Headers],[F-PreviousVDO_Input]:[F-CurrentVDO_Input]],0)),
Input_TUNet_Actual[Customer type],$E327,Input_TUNet_Actual[Item],$C327&amp;" - "&amp;J$325)=0,"-",MIN(SUMIFS(TUNet_Usage_Actual_2[Value],TUNet_Usage_Actual_2[Customer type],$E327,TUNet_Usage_Actual_2[Description],"Usage per customer"),SUMIFS(
INDEX(Input_TUNet_Actual[[F-PreviousVDO_Input]:[F-CurrentVDO_Input]],0,MATCH(TUNet_Usage_PerRate_2[[#This Row],[VDO decision]],Input_TUNet_Actual[[#Headers],[F-PreviousVDO_Input]:[F-CurrentVDO_Input]],0)),
Input_TUNet_Actual[Customer type],$E327,Input_TUNet_Actual[Item],$C327&amp;" - "&amp;J$325)))</f>
        <v>-</v>
      </c>
    </row>
    <row r="328" spans="2:15" hidden="1" outlineLevel="2" x14ac:dyDescent="0.25">
      <c r="B328"/>
      <c r="C328" s="223" t="s">
        <v>662</v>
      </c>
      <c r="D328" s="225" t="str">
        <f>INDEX(Inputs!$H$10:$U$10,1,MATCH($D$235,Inputs!$H$8:$U$8,0))</f>
        <v>F-CurrentVDO_Input</v>
      </c>
      <c r="E328" s="59" t="s">
        <v>92</v>
      </c>
      <c r="F328" s="226">
        <f>IF(SUMIFS(F$326:F$327,$E$326:$E$327,$E328,$C$326:$C$327,"Usage per customer - Block 1")=0,"-",SUMIFS(TUNet_Usage_Actual_2[Value],TUNet_Usage_Actual_2[Customer type],$E328,TUNet_Usage_Actual_2[Description],"Usage per customer")-SUMIFS(F$326:F$327,$E$326:$E$327,$E328,$C$326:$C$327,"Usage per customer - Block 1"))</f>
        <v>0</v>
      </c>
      <c r="G328" s="226" t="str">
        <f>IF(SUMIFS(G$326:G$327,$E$326:$E$327,$E328,$C$326:$C$327,"Usage per customer - Block 1")=0,"-",SUMIFS(TUNet_Usage_Actual_2[Value],TUNet_Usage_Actual_2[Customer type],$E328,TUNet_Usage_Actual_2[Description],"Usage per customer")-SUMIFS(G$326:G$327,$E$326:$E$327,$E328,$C$326:$C$327,"Usage per customer - Block 1"))</f>
        <v>-</v>
      </c>
      <c r="H328" s="226" t="str">
        <f>IF(SUMIFS(H$326:H$327,$E$326:$E$327,$E328,$C$326:$C$327,"Usage per customer - Block 1")=0,"-",SUMIFS(TUNet_Usage_Actual_2[Value],TUNet_Usage_Actual_2[Customer type],$E328,TUNet_Usage_Actual_2[Description],"Usage per customer")-SUMIFS(H$326:H$327,$E$326:$E$327,$E328,$C$326:$C$327,"Usage per customer - Block 1"))</f>
        <v>-</v>
      </c>
      <c r="I328" s="226" t="str">
        <f>IF(SUMIFS(I$326:I$327,$E$326:$E$327,$E328,$C$326:$C$327,"Usage per customer - Block 1")=0,"-",SUMIFS(TUNet_Usage_Actual_2[Value],TUNet_Usage_Actual_2[Customer type],$E328,TUNet_Usage_Actual_2[Description],"Usage per customer")-SUMIFS(I$326:I$327,$E$326:$E$327,$E328,$C$326:$C$327,"Usage per customer - Block 1"))</f>
        <v>-</v>
      </c>
      <c r="J328" s="226" t="str">
        <f>IF(SUMIFS(J$326:J$327,$E$326:$E$327,$E328,$C$326:$C$327,"Usage per customer - Block 1")=0,"-",SUMIFS(TUNet_Usage_Actual_2[Value],TUNet_Usage_Actual_2[Customer type],$E328,TUNet_Usage_Actual_2[Description],"Usage per customer")-SUMIFS(J$326:J$327,$E$326:$E$327,$E328,$C$326:$C$327,"Usage per customer - Block 1"))</f>
        <v>-</v>
      </c>
    </row>
    <row r="329" spans="2:15" hidden="1" outlineLevel="2" x14ac:dyDescent="0.25">
      <c r="B329"/>
      <c r="C329" s="223" t="s">
        <v>662</v>
      </c>
      <c r="D329" s="225" t="str">
        <f>INDEX(Inputs!$H$10:$U$10,1,MATCH($D$235,Inputs!$H$8:$U$8,0))</f>
        <v>F-CurrentVDO_Input</v>
      </c>
      <c r="E329" s="59" t="s">
        <v>93</v>
      </c>
      <c r="F329" s="226">
        <f>IF(SUMIFS(F$326:F$327,$E$326:$E$327,$E329,$C$326:$C$327,"Usage per customer - Block 1")=0,"-",SUMIFS(TUNet_Usage_Actual_2[Value],TUNet_Usage_Actual_2[Customer type],$E329,TUNet_Usage_Actual_2[Description],"Usage per customer")-SUMIFS(F$326:F$327,$E$326:$E$327,$E329,$C$326:$C$327,"Usage per customer - Block 1"))</f>
        <v>322.96756400524691</v>
      </c>
      <c r="G329" s="226" t="str">
        <f>IF(SUMIFS(G$326:G$327,$E$326:$E$327,$E329,$C$326:$C$327,"Usage per customer - Block 1")=0,"-",SUMIFS(TUNet_Usage_Actual_2[Value],TUNet_Usage_Actual_2[Customer type],$E329,TUNet_Usage_Actual_2[Description],"Usage per customer")-SUMIFS(G$326:G$327,$E$326:$E$327,$E329,$C$326:$C$327,"Usage per customer - Block 1"))</f>
        <v>-</v>
      </c>
      <c r="H329" s="226" t="str">
        <f>IF(SUMIFS(H$326:H$327,$E$326:$E$327,$E329,$C$326:$C$327,"Usage per customer - Block 1")=0,"-",SUMIFS(TUNet_Usage_Actual_2[Value],TUNet_Usage_Actual_2[Customer type],$E329,TUNet_Usage_Actual_2[Description],"Usage per customer")-SUMIFS(H$326:H$327,$E$326:$E$327,$E329,$C$326:$C$327,"Usage per customer - Block 1"))</f>
        <v>-</v>
      </c>
      <c r="I329" s="226" t="str">
        <f>IF(SUMIFS(I$326:I$327,$E$326:$E$327,$E329,$C$326:$C$327,"Usage per customer - Block 1")=0,"-",SUMIFS(TUNet_Usage_Actual_2[Value],TUNet_Usage_Actual_2[Customer type],$E329,TUNet_Usage_Actual_2[Description],"Usage per customer")-SUMIFS(I$326:I$327,$E$326:$E$327,$E329,$C$326:$C$327,"Usage per customer - Block 1"))</f>
        <v>-</v>
      </c>
      <c r="J329" s="226" t="str">
        <f>IF(SUMIFS(J$326:J$327,$E$326:$E$327,$E329,$C$326:$C$327,"Usage per customer - Block 1")=0,"-",SUMIFS(TUNet_Usage_Actual_2[Value],TUNet_Usage_Actual_2[Customer type],$E329,TUNet_Usage_Actual_2[Description],"Usage per customer")-SUMIFS(J$326:J$327,$E$326:$E$327,$E329,$C$326:$C$327,"Usage per customer - Block 1"))</f>
        <v>-</v>
      </c>
    </row>
    <row r="330" spans="2:15" hidden="1" outlineLevel="2" x14ac:dyDescent="0.25">
      <c r="B330"/>
      <c r="C330" s="223" t="s">
        <v>663</v>
      </c>
      <c r="D330" s="225" t="str">
        <f>INDEX(Inputs!$H$10:$U$10,1,MATCH($D$235,Inputs!$H$8:$U$8,0))</f>
        <v>F-CurrentVDO_Input</v>
      </c>
      <c r="E330" s="59" t="s">
        <v>92</v>
      </c>
      <c r="F330" s="226" t="str">
        <f>IF(SUMIFS(
INDEX(Input_TUNet_Actual[[F-PreviousVDO_Input]:[F-CurrentVDO_Input]],0,MATCH(TUNet_Usage_PerRate_2[[#This Row],[VDO decision]],Input_TUNet_Actual[[#Headers],[F-PreviousVDO_Input]:[F-CurrentVDO_Input]],0)),
Input_TUNet_Actual[Customer type],$E330,Input_TUNet_Actual[Item],"Usage per customer - Block 1 - "&amp;F$325)=0,SUMIFS(TUNet_Usage_Actual_2[Value],TUNet_Usage_Actual_2[Customer type],$E330,TUNet_Usage_Actual_2[Description],"Usage per customer"),"-")</f>
        <v>-</v>
      </c>
      <c r="G330" s="226">
        <f>IF(SUMIFS(
INDEX(Input_TUNet_Actual[[F-PreviousVDO_Input]:[F-CurrentVDO_Input]],0,MATCH(TUNet_Usage_PerRate_2[[#This Row],[VDO decision]],Input_TUNet_Actual[[#Headers],[F-PreviousVDO_Input]:[F-CurrentVDO_Input]],0)),
Input_TUNet_Actual[Customer type],$E330,Input_TUNet_Actual[Item],"Usage per customer - Block 1 - "&amp;G$325)=0,SUMIFS(TUNet_Usage_Actual_2[Value],TUNet_Usage_Actual_2[Customer type],$E330,TUNet_Usage_Actual_2[Description],"Usage per customer"),"-")</f>
        <v>947.02566876496917</v>
      </c>
      <c r="H330" s="226">
        <f>IF(SUMIFS(
INDEX(Input_TUNet_Actual[[F-PreviousVDO_Input]:[F-CurrentVDO_Input]],0,MATCH(TUNet_Usage_PerRate_2[[#This Row],[VDO decision]],Input_TUNet_Actual[[#Headers],[F-PreviousVDO_Input]:[F-CurrentVDO_Input]],0)),
Input_TUNet_Actual[Customer type],$E330,Input_TUNet_Actual[Item],"Usage per customer - Block 1 - "&amp;H$325)=0,SUMIFS(TUNet_Usage_Actual_2[Value],TUNet_Usage_Actual_2[Customer type],$E330,TUNet_Usage_Actual_2[Description],"Usage per customer"),"-")</f>
        <v>947.02566876496917</v>
      </c>
      <c r="I330" s="226">
        <f>IF(SUMIFS(
INDEX(Input_TUNet_Actual[[F-PreviousVDO_Input]:[F-CurrentVDO_Input]],0,MATCH(TUNet_Usage_PerRate_2[[#This Row],[VDO decision]],Input_TUNet_Actual[[#Headers],[F-PreviousVDO_Input]:[F-CurrentVDO_Input]],0)),
Input_TUNet_Actual[Customer type],$E330,Input_TUNet_Actual[Item],"Usage per customer - Block 1 - "&amp;I$325)=0,SUMIFS(TUNet_Usage_Actual_2[Value],TUNet_Usage_Actual_2[Customer type],$E330,TUNet_Usage_Actual_2[Description],"Usage per customer"),"-")</f>
        <v>947.02566876496917</v>
      </c>
      <c r="J330" s="226">
        <f>IF(SUMIFS(
INDEX(Input_TUNet_Actual[[F-PreviousVDO_Input]:[F-CurrentVDO_Input]],0,MATCH(TUNet_Usage_PerRate_2[[#This Row],[VDO decision]],Input_TUNet_Actual[[#Headers],[F-PreviousVDO_Input]:[F-CurrentVDO_Input]],0)),
Input_TUNet_Actual[Customer type],$E330,Input_TUNet_Actual[Item],"Usage per customer - Block 1 - "&amp;J$325)=0,SUMIFS(TUNet_Usage_Actual_2[Value],TUNet_Usage_Actual_2[Customer type],$E330,TUNet_Usage_Actual_2[Description],"Usage per customer"),"-")</f>
        <v>947.02566876496917</v>
      </c>
    </row>
    <row r="331" spans="2:15" hidden="1" outlineLevel="2" x14ac:dyDescent="0.25">
      <c r="B331"/>
      <c r="C331" s="181" t="s">
        <v>663</v>
      </c>
      <c r="D331" s="225" t="str">
        <f>INDEX(Inputs!$H$10:$U$10,1,MATCH($D$235,Inputs!$H$8:$U$8,0))</f>
        <v>F-CurrentVDO_Input</v>
      </c>
      <c r="E331" s="59" t="s">
        <v>93</v>
      </c>
      <c r="F331" s="229" t="str">
        <f>IF(SUMIFS(
INDEX(Input_TUNet_Actual[[F-PreviousVDO_Input]:[F-CurrentVDO_Input]],0,MATCH(TUNet_Usage_PerRate_2[[#This Row],[VDO decision]],Input_TUNet_Actual[[#Headers],[F-PreviousVDO_Input]:[F-CurrentVDO_Input]],0)),
Input_TUNet_Actual[Customer type],$E331,Input_TUNet_Actual[Item],"Usage per customer - Block 1 - "&amp;F$325)=0,SUMIFS(TUNet_Usage_Actual_2[Value],TUNet_Usage_Actual_2[Customer type],$E331,TUNet_Usage_Actual_2[Description],"Usage per customer"),"-")</f>
        <v>-</v>
      </c>
      <c r="G331" s="229">
        <f>IF(SUMIFS(
INDEX(Input_TUNet_Actual[[F-PreviousVDO_Input]:[F-CurrentVDO_Input]],0,MATCH(TUNet_Usage_PerRate_2[[#This Row],[VDO decision]],Input_TUNet_Actual[[#Headers],[F-PreviousVDO_Input]:[F-CurrentVDO_Input]],0)),
Input_TUNet_Actual[Customer type],$E331,Input_TUNet_Actual[Item],"Usage per customer - Block 1 - "&amp;G$325)=0,SUMIFS(TUNet_Usage_Actual_2[Value],TUNet_Usage_Actual_2[Customer type],$E331,TUNet_Usage_Actual_2[Description],"Usage per customer"),"-")</f>
        <v>1342.9675640052469</v>
      </c>
      <c r="H331" s="229">
        <f>IF(SUMIFS(
INDEX(Input_TUNet_Actual[[F-PreviousVDO_Input]:[F-CurrentVDO_Input]],0,MATCH(TUNet_Usage_PerRate_2[[#This Row],[VDO decision]],Input_TUNet_Actual[[#Headers],[F-PreviousVDO_Input]:[F-CurrentVDO_Input]],0)),
Input_TUNet_Actual[Customer type],$E331,Input_TUNet_Actual[Item],"Usage per customer - Block 1 - "&amp;H$325)=0,SUMIFS(TUNet_Usage_Actual_2[Value],TUNet_Usage_Actual_2[Customer type],$E331,TUNet_Usage_Actual_2[Description],"Usage per customer"),"-")</f>
        <v>1342.9675640052469</v>
      </c>
      <c r="I331" s="229">
        <f>IF(SUMIFS(
INDEX(Input_TUNet_Actual[[F-PreviousVDO_Input]:[F-CurrentVDO_Input]],0,MATCH(TUNet_Usage_PerRate_2[[#This Row],[VDO decision]],Input_TUNet_Actual[[#Headers],[F-PreviousVDO_Input]:[F-CurrentVDO_Input]],0)),
Input_TUNet_Actual[Customer type],$E331,Input_TUNet_Actual[Item],"Usage per customer - Block 1 - "&amp;I$325)=0,SUMIFS(TUNet_Usage_Actual_2[Value],TUNet_Usage_Actual_2[Customer type],$E331,TUNet_Usage_Actual_2[Description],"Usage per customer"),"-")</f>
        <v>1342.9675640052469</v>
      </c>
      <c r="J331" s="229">
        <f>IF(SUMIFS(
INDEX(Input_TUNet_Actual[[F-PreviousVDO_Input]:[F-CurrentVDO_Input]],0,MATCH(TUNet_Usage_PerRate_2[[#This Row],[VDO decision]],Input_TUNet_Actual[[#Headers],[F-PreviousVDO_Input]:[F-CurrentVDO_Input]],0)),
Input_TUNet_Actual[Customer type],$E331,Input_TUNet_Actual[Item],"Usage per customer - Block 1 - "&amp;J$325)=0,SUMIFS(TUNet_Usage_Actual_2[Value],TUNet_Usage_Actual_2[Customer type],$E331,TUNet_Usage_Actual_2[Description],"Usage per customer"),"-")</f>
        <v>1342.9675640052469</v>
      </c>
    </row>
    <row r="332" spans="2:15" hidden="1" outlineLevel="2" x14ac:dyDescent="0.25">
      <c r="B332"/>
      <c r="C332" s="182"/>
      <c r="F332" s="228"/>
    </row>
    <row r="333" spans="2:15" ht="15.75" hidden="1" outlineLevel="2" x14ac:dyDescent="0.25">
      <c r="B333"/>
      <c r="C333" s="29" t="s">
        <v>651</v>
      </c>
    </row>
    <row r="334" spans="2:15" ht="15.75" hidden="1" outlineLevel="2" x14ac:dyDescent="0.25">
      <c r="C334" s="43" t="s">
        <v>46</v>
      </c>
      <c r="D334" s="43" t="s">
        <v>101</v>
      </c>
      <c r="E334" s="43" t="s">
        <v>585</v>
      </c>
      <c r="F334" s="43" t="s">
        <v>588</v>
      </c>
      <c r="G334" s="43" t="s">
        <v>315</v>
      </c>
      <c r="H334" s="43" t="s">
        <v>102</v>
      </c>
      <c r="I334" s="43" t="s">
        <v>103</v>
      </c>
      <c r="J334" s="42" t="s">
        <v>91</v>
      </c>
      <c r="K334" s="60" t="s">
        <v>268</v>
      </c>
      <c r="L334" s="60" t="s">
        <v>269</v>
      </c>
      <c r="M334" s="60" t="s">
        <v>270</v>
      </c>
      <c r="N334" s="60" t="s">
        <v>271</v>
      </c>
      <c r="O334" s="60" t="s">
        <v>272</v>
      </c>
    </row>
    <row r="335" spans="2:15" hidden="1" outlineLevel="2" x14ac:dyDescent="0.25">
      <c r="C335" s="59"/>
      <c r="D335" s="59"/>
      <c r="E335" s="59"/>
      <c r="F335" s="59"/>
      <c r="G335" s="59"/>
      <c r="H335" s="59"/>
      <c r="I335" s="59"/>
      <c r="J335" s="59"/>
      <c r="K335" s="66"/>
      <c r="L335" s="59"/>
      <c r="M335" s="59"/>
      <c r="N335" s="59"/>
      <c r="O335" s="59"/>
    </row>
    <row r="336" spans="2:15" ht="15.75" hidden="1" outlineLevel="2" x14ac:dyDescent="0.25">
      <c r="C336" s="1" t="s">
        <v>525</v>
      </c>
      <c r="D336" s="59"/>
      <c r="E336" s="59"/>
      <c r="F336" s="59"/>
      <c r="G336" s="68" t="s">
        <v>639</v>
      </c>
      <c r="H336" s="59"/>
      <c r="I336" s="59"/>
      <c r="J336" s="59"/>
      <c r="K336" s="66"/>
      <c r="L336" s="59"/>
      <c r="M336" s="59"/>
      <c r="N336" s="59"/>
      <c r="O336" s="59"/>
    </row>
    <row r="337" spans="3:15" hidden="1" outlineLevel="2" x14ac:dyDescent="0.25">
      <c r="C337" s="57" t="s">
        <v>539</v>
      </c>
      <c r="D337" s="57"/>
      <c r="E337" s="57"/>
      <c r="F337" s="57"/>
      <c r="G337" s="68"/>
      <c r="H337" s="68"/>
      <c r="I337" s="23"/>
      <c r="J337" s="23"/>
      <c r="K337" s="65"/>
      <c r="L337" s="23"/>
      <c r="M337" s="23"/>
      <c r="N337" s="23"/>
      <c r="O337" s="23"/>
    </row>
    <row r="338" spans="3:15" hidden="1" outlineLevel="2" x14ac:dyDescent="0.25">
      <c r="C338" s="59" t="s">
        <v>514</v>
      </c>
      <c r="D338" s="82" t="str">
        <f>Calc_TU_values!$D$235</f>
        <v>VDO 2022 - Final</v>
      </c>
      <c r="E338" s="23" t="s">
        <v>586</v>
      </c>
      <c r="F338" s="82" t="str">
        <f>INDEX(Inputs!$H$10:$U$10,1,MATCH($D338,Inputs!$H$8:$U$8,0))</f>
        <v>F-CurrentVDO_Input</v>
      </c>
      <c r="G338" s="58"/>
      <c r="H338" s="23" t="s">
        <v>108</v>
      </c>
      <c r="I338" s="23" t="s">
        <v>109</v>
      </c>
      <c r="J338" s="59" t="s">
        <v>92</v>
      </c>
      <c r="K338" s="66" cm="1">
        <f t="array" ref="K338">IFERROR(INDEX(Input_ForRateCalc[],MATCH($C338&amp;" - "&amp;K$334,Input_ForRateCalc[[Cost item]:[Cost item]],0),MATCH(Calc_TUV_Net_2[[#This Row],[Decision ref]:[Decision ref]],Input_ForRateCalc[#Headers],0)),"-")*TUProp_Days_2</f>
        <v>18.873479452054795</v>
      </c>
      <c r="L338" s="66" cm="1">
        <f t="array" ref="L338">IFERROR(INDEX(Input_ForRateCalc[],MATCH($C338&amp;" - "&amp;L$334,Input_ForRateCalc[[Cost item]:[Cost item]],0),MATCH(Calc_TUV_Net_2[[#This Row],[Decision ref]:[Decision ref]],Input_ForRateCalc[#Headers],0)),"-")*TUProp_Days_2</f>
        <v>15.289199999999999</v>
      </c>
      <c r="M338" s="66" cm="1">
        <f t="array" ref="M338">IFERROR(INDEX(Input_ForRateCalc[],MATCH($C338&amp;" - "&amp;M$334,Input_ForRateCalc[[Cost item]:[Cost item]],0),MATCH(Calc_TUV_Net_2[[#This Row],[Decision ref]:[Decision ref]],Input_ForRateCalc[#Headers],0)),"-")*TUProp_Days_2</f>
        <v>13.962060273972602</v>
      </c>
      <c r="N338" s="66" cm="1">
        <f t="array" ref="N338">IFERROR(INDEX(Input_ForRateCalc[],MATCH($C338&amp;" - "&amp;N$334,Input_ForRateCalc[[Cost item]:[Cost item]],0),MATCH(Calc_TUV_Net_2[[#This Row],[Decision ref]:[Decision ref]],Input_ForRateCalc[#Headers],0)),"-")*TUProp_Days_2</f>
        <v>23.776999999999997</v>
      </c>
      <c r="O338" s="66" cm="1">
        <f t="array" ref="O338">IFERROR(INDEX(Input_ForRateCalc[],MATCH($C338&amp;" - "&amp;O$334,Input_ForRateCalc[[Cost item]:[Cost item]],0),MATCH(Calc_TUV_Net_2[[#This Row],[Decision ref]:[Decision ref]],Input_ForRateCalc[#Headers],0)),"-")*TUProp_Days_2</f>
        <v>13.590399999999999</v>
      </c>
    </row>
    <row r="339" spans="3:15" hidden="1" outlineLevel="2" x14ac:dyDescent="0.25">
      <c r="C339" s="59" t="s">
        <v>275</v>
      </c>
      <c r="D339" s="82" t="str">
        <f>Calc_TU_values!$D$235</f>
        <v>VDO 2022 - Final</v>
      </c>
      <c r="E339" s="23" t="s">
        <v>586</v>
      </c>
      <c r="F339" s="82" t="str">
        <f>INDEX(Inputs!$H$10:$U$10,1,MATCH($D339,Inputs!$H$8:$U$8,0))</f>
        <v>F-CurrentVDO_Input</v>
      </c>
      <c r="G339" s="58"/>
      <c r="H339" s="23" t="s">
        <v>108</v>
      </c>
      <c r="I339" s="23" t="s">
        <v>109</v>
      </c>
      <c r="J339" s="59" t="s">
        <v>92</v>
      </c>
      <c r="K339" s="66" cm="1">
        <f t="array" ref="K339">IFERROR(INDEX(Input_ForRateCalc[],MATCH($C339&amp;" - "&amp;K$334,Input_ForRateCalc[[Cost item]:[Cost item]],0),MATCH(Calc_TUV_Net_2[[#This Row],[Decision ref]:[Decision ref]],Input_ForRateCalc[#Headers],0)),"-")*TUProp_Days_2</f>
        <v>10.82027397260274</v>
      </c>
      <c r="L339" s="66" cm="1">
        <f t="array" ref="L339">IFERROR(INDEX(Input_ForRateCalc[],MATCH($C339&amp;" - "&amp;L$334,Input_ForRateCalc[[Cost item]:[Cost item]],0),MATCH(Calc_TUV_Net_2[[#This Row],[Decision ref]:[Decision ref]],Input_ForRateCalc[#Headers],0)),"-")*TUProp_Days_2</f>
        <v>10.089863013698629</v>
      </c>
      <c r="M339" s="66" cm="1">
        <f t="array" ref="M339">IFERROR(INDEX(Input_ForRateCalc[],MATCH($C339&amp;" - "&amp;M$334,Input_ForRateCalc[[Cost item]:[Cost item]],0),MATCH(Calc_TUV_Net_2[[#This Row],[Decision ref]:[Decision ref]],Input_ForRateCalc[#Headers],0)),"-")*TUProp_Days_2</f>
        <v>9.2048767123287671</v>
      </c>
      <c r="N339" s="66" cm="1">
        <f t="array" ref="N339">IFERROR(INDEX(Input_ForRateCalc[],MATCH($C339&amp;" - "&amp;N$334,Input_ForRateCalc[[Cost item]:[Cost item]],0),MATCH(Calc_TUV_Net_2[[#This Row],[Decision ref]:[Decision ref]],Input_ForRateCalc[#Headers],0)),"-")*TUProp_Days_2</f>
        <v>9.8520547945205479</v>
      </c>
      <c r="O339" s="66" cm="1">
        <f t="array" ref="O339">IFERROR(INDEX(Input_ForRateCalc[],MATCH($C339&amp;" - "&amp;O$334,Input_ForRateCalc[[Cost item]:[Cost item]],0),MATCH(Calc_TUV_Net_2[[#This Row],[Decision ref]:[Decision ref]],Input_ForRateCalc[#Headers],0)),"-")*TUProp_Days_2</f>
        <v>7.2905205479452055</v>
      </c>
    </row>
    <row r="340" spans="3:15" hidden="1" outlineLevel="2" x14ac:dyDescent="0.25">
      <c r="C340" s="59" t="s">
        <v>318</v>
      </c>
      <c r="D340" s="82" t="str">
        <f>Calc_TU_values!$D$235</f>
        <v>VDO 2022 - Final</v>
      </c>
      <c r="E340" s="23" t="s">
        <v>586</v>
      </c>
      <c r="F340" s="82" t="str">
        <f>INDEX(Inputs!$H$10:$U$10,1,MATCH($D340,Inputs!$H$8:$U$8,0))</f>
        <v>F-CurrentVDO_Input</v>
      </c>
      <c r="G340" s="58"/>
      <c r="H340" s="23" t="s">
        <v>108</v>
      </c>
      <c r="I340" s="23" t="s">
        <v>109</v>
      </c>
      <c r="J340" s="59" t="s">
        <v>92</v>
      </c>
      <c r="K340" s="64">
        <f>IFERROR(SUM(K338:K339),"-")</f>
        <v>29.693753424657537</v>
      </c>
      <c r="L340" s="64">
        <f>IFERROR(SUM(L338:L339),"-")</f>
        <v>25.379063013698627</v>
      </c>
      <c r="M340" s="64">
        <f>IFERROR(SUM(M338:M339),"-")</f>
        <v>23.166936986301369</v>
      </c>
      <c r="N340" s="64">
        <f>IFERROR(SUM(N338:N339),"-")</f>
        <v>33.629054794520542</v>
      </c>
      <c r="O340" s="64">
        <f>IFERROR(SUM(O338:O339),"-")</f>
        <v>20.880920547945205</v>
      </c>
    </row>
    <row r="341" spans="3:15" hidden="1" outlineLevel="2" x14ac:dyDescent="0.25">
      <c r="C341" s="59" t="s">
        <v>514</v>
      </c>
      <c r="D341" s="82" t="str">
        <f>INDEX(Input_DecisionActual[[Decision]:[Decision]],MATCH(Calc_TU_values!$D$235,Input_DecisionActual[[VDO period]:[VDO period]],0),1)</f>
        <v>VDO 2021 - Final</v>
      </c>
      <c r="E341" s="23" t="s">
        <v>587</v>
      </c>
      <c r="F341" s="82" t="str">
        <f>IF($D341="-","-",INDEX(Inputs!$H$10:$U$10,1,MATCH($D341,Inputs!$H$8:$U$8,0)))</f>
        <v>F-PreviousVDO_Input</v>
      </c>
      <c r="G341" s="58"/>
      <c r="H341" s="23" t="s">
        <v>108</v>
      </c>
      <c r="I341" s="23" t="s">
        <v>109</v>
      </c>
      <c r="J341" s="59" t="s">
        <v>92</v>
      </c>
      <c r="K341" s="66" cm="1">
        <f t="array" ref="K341">IFERROR(INDEX(Input_ForRateCalc[],MATCH($C341&amp;" - "&amp;K$334,Input_ForRateCalc[[Cost item]:[Cost item]],0),MATCH(Calc_TUV_Net_2[[#This Row],[Decision ref]:[Decision ref]],Input_ForRateCalc[#Headers],0)),"-")*TUProp_Days_2</f>
        <v>18.005479452054793</v>
      </c>
      <c r="L341" s="66" cm="1">
        <f t="array" ref="L341">IFERROR(INDEX(Input_ForRateCalc[],MATCH($C341&amp;" - "&amp;L$334,Input_ForRateCalc[[Cost item]:[Cost item]],0),MATCH(Calc_TUV_Net_2[[#This Row],[Decision ref]:[Decision ref]],Input_ForRateCalc[#Headers],0)),"-")*TUProp_Days_2</f>
        <v>15.287671232876711</v>
      </c>
      <c r="M341" s="66" cm="1">
        <f t="array" ref="M341">IFERROR(INDEX(Input_ForRateCalc[],MATCH($C341&amp;" - "&amp;M$334,Input_ForRateCalc[[Cost item]:[Cost item]],0),MATCH(Calc_TUV_Net_2[[#This Row],[Decision ref]:[Decision ref]],Input_ForRateCalc[#Headers],0)),"-")*TUProp_Days_2</f>
        <v>11.725643835616438</v>
      </c>
      <c r="N341" s="66" cm="1">
        <f t="array" ref="N341">IFERROR(INDEX(Input_ForRateCalc[],MATCH($C341&amp;" - "&amp;N$334,Input_ForRateCalc[[Cost item]:[Cost item]],0),MATCH(Calc_TUV_Net_2[[#This Row],[Decision ref]:[Decision ref]],Input_ForRateCalc[#Headers],0)),"-")*TUProp_Days_2</f>
        <v>23.780821917808218</v>
      </c>
      <c r="O341" s="66" cm="1">
        <f t="array" ref="O341">IFERROR(INDEX(Input_ForRateCalc[],MATCH($C341&amp;" - "&amp;O$334,Input_ForRateCalc[[Cost item]:[Cost item]],0),MATCH(Calc_TUV_Net_2[[#This Row],[Decision ref]:[Decision ref]],Input_ForRateCalc[#Headers],0)),"-")*TUProp_Days_2</f>
        <v>10.167999999999999</v>
      </c>
    </row>
    <row r="342" spans="3:15" hidden="1" outlineLevel="2" x14ac:dyDescent="0.25">
      <c r="C342" s="59" t="s">
        <v>275</v>
      </c>
      <c r="D342" s="82" t="str">
        <f>INDEX(Input_DecisionActual[[Decision]:[Decision]],MATCH(Calc_TU_values!$D$235,Input_DecisionActual[[VDO period]:[VDO period]],0),1)</f>
        <v>VDO 2021 - Final</v>
      </c>
      <c r="E342" s="23" t="s">
        <v>587</v>
      </c>
      <c r="F342" s="82" t="str">
        <f>IF($D342="-","-",INDEX(Inputs!$H$10:$U$10,1,MATCH($D342,Inputs!$H$8:$U$8,0)))</f>
        <v>F-PreviousVDO_Input</v>
      </c>
      <c r="G342" s="58"/>
      <c r="H342" s="23" t="s">
        <v>108</v>
      </c>
      <c r="I342" s="23" t="s">
        <v>109</v>
      </c>
      <c r="J342" s="59" t="s">
        <v>92</v>
      </c>
      <c r="K342" s="66" cm="1">
        <f t="array" ref="K342">IFERROR(INDEX(Input_ForRateCalc[],MATCH($C342&amp;" - "&amp;K$334,Input_ForRateCalc[[Cost item]:[Cost item]],0),MATCH(Calc_TUV_Net_2[[#This Row],[Decision ref]:[Decision ref]],Input_ForRateCalc[#Headers],0)),"-")*TUProp_Days_2</f>
        <v>10.123835616438356</v>
      </c>
      <c r="L342" s="66" cm="1">
        <f t="array" ref="L342">IFERROR(INDEX(Input_ForRateCalc[],MATCH($C342&amp;" - "&amp;L$334,Input_ForRateCalc[[Cost item]:[Cost item]],0),MATCH(Calc_TUV_Net_2[[#This Row],[Decision ref]:[Decision ref]],Input_ForRateCalc[#Headers],0)),"-")*TUProp_Days_2</f>
        <v>11.176986301369862</v>
      </c>
      <c r="M342" s="66" cm="1">
        <f t="array" ref="M342">IFERROR(INDEX(Input_ForRateCalc[],MATCH($C342&amp;" - "&amp;M$334,Input_ForRateCalc[[Cost item]:[Cost item]],0),MATCH(Calc_TUV_Net_2[[#This Row],[Decision ref]:[Decision ref]],Input_ForRateCalc[#Headers],0)),"-")*TUProp_Days_2</f>
        <v>11.258520547945205</v>
      </c>
      <c r="N342" s="66" cm="1">
        <f t="array" ref="N342">IFERROR(INDEX(Input_ForRateCalc[],MATCH($C342&amp;" - "&amp;N$334,Input_ForRateCalc[[Cost item]:[Cost item]],0),MATCH(Calc_TUV_Net_2[[#This Row],[Decision ref]:[Decision ref]],Input_ForRateCalc[#Headers],0)),"-")*TUProp_Days_2</f>
        <v>11.126027397260273</v>
      </c>
      <c r="O342" s="66" cm="1">
        <f t="array" ref="O342">IFERROR(INDEX(Input_ForRateCalc[],MATCH($C342&amp;" - "&amp;O$334,Input_ForRateCalc[[Cost item]:[Cost item]],0),MATCH(Calc_TUV_Net_2[[#This Row],[Decision ref]:[Decision ref]],Input_ForRateCalc[#Headers],0)),"-")*TUProp_Days_2</f>
        <v>8.2927123287671236</v>
      </c>
    </row>
    <row r="343" spans="3:15" hidden="1" outlineLevel="2" x14ac:dyDescent="0.25">
      <c r="C343" s="59" t="s">
        <v>318</v>
      </c>
      <c r="D343" s="82" t="str">
        <f>INDEX(Input_DecisionActual[[Decision]:[Decision]],MATCH(Calc_TU_values!$D$235,Input_DecisionActual[[VDO period]:[VDO period]],0),1)</f>
        <v>VDO 2021 - Final</v>
      </c>
      <c r="E343" s="23" t="s">
        <v>587</v>
      </c>
      <c r="F343" s="82" t="str">
        <f>IF($D343="-","-",INDEX(Inputs!$H$10:$U$10,1,MATCH($D343,Inputs!$H$8:$U$8,0)))</f>
        <v>F-PreviousVDO_Input</v>
      </c>
      <c r="G343" s="58"/>
      <c r="H343" s="23" t="s">
        <v>108</v>
      </c>
      <c r="I343" s="23" t="s">
        <v>109</v>
      </c>
      <c r="J343" s="59" t="s">
        <v>92</v>
      </c>
      <c r="K343" s="65">
        <f>SUM(K341:K342)</f>
        <v>28.129315068493149</v>
      </c>
      <c r="L343" s="65">
        <f>SUM(L341:L342)</f>
        <v>26.464657534246573</v>
      </c>
      <c r="M343" s="65">
        <f>SUM(M341:M342)</f>
        <v>22.984164383561641</v>
      </c>
      <c r="N343" s="65">
        <f>SUM(N341:N342)</f>
        <v>34.906849315068492</v>
      </c>
      <c r="O343" s="65">
        <f>SUM(O341:O342)</f>
        <v>18.460712328767123</v>
      </c>
    </row>
    <row r="344" spans="3:15" hidden="1" outlineLevel="2" x14ac:dyDescent="0.25">
      <c r="C344" s="59" t="s">
        <v>319</v>
      </c>
      <c r="D344" s="23"/>
      <c r="E344" s="23"/>
      <c r="F344" s="23"/>
      <c r="G344" s="23"/>
      <c r="H344" s="23" t="s">
        <v>108</v>
      </c>
      <c r="I344" s="23" t="s">
        <v>109</v>
      </c>
      <c r="J344" s="59" t="s">
        <v>92</v>
      </c>
      <c r="K344" s="65">
        <f>IF(K343=0,"-",K340-K343)</f>
        <v>1.5644383561643878</v>
      </c>
      <c r="L344" s="65">
        <f t="shared" ref="L344" si="119">IF(L343=0,"-",L340-L343)</f>
        <v>-1.0855945205479465</v>
      </c>
      <c r="M344" s="65">
        <f t="shared" ref="M344" si="120">IF(M343=0,"-",M340-M343)</f>
        <v>0.18277260273972828</v>
      </c>
      <c r="N344" s="65">
        <f t="shared" ref="N344" si="121">IF(N343=0,"-",N340-N343)</f>
        <v>-1.2777945205479497</v>
      </c>
      <c r="O344" s="65">
        <f t="shared" ref="O344" si="122">IF(O343=0,"-",O340-O343)</f>
        <v>2.4202082191780825</v>
      </c>
    </row>
    <row r="345" spans="3:15" hidden="1" outlineLevel="2" x14ac:dyDescent="0.25">
      <c r="C345" s="59" t="s">
        <v>442</v>
      </c>
      <c r="D345" s="23"/>
      <c r="E345" s="23"/>
      <c r="F345" s="23"/>
      <c r="G345" s="23"/>
      <c r="H345" s="23" t="s">
        <v>108</v>
      </c>
      <c r="I345" s="23" t="s">
        <v>109</v>
      </c>
      <c r="J345" s="59" t="s">
        <v>92</v>
      </c>
      <c r="K345" s="66" t="str">
        <f>IFERROR(IF($D$311="Yes",K344*(1+WACC_adj_2),""),"-")</f>
        <v/>
      </c>
      <c r="L345" s="66" t="str">
        <f>IFERROR(IF($D$311="Yes",L344*(1+WACC_adj_2),""),"-")</f>
        <v/>
      </c>
      <c r="M345" s="66" t="str">
        <f>IFERROR(IF($D$311="Yes",M344*(1+WACC_adj_2),""),"-")</f>
        <v/>
      </c>
      <c r="N345" s="66" t="str">
        <f>IFERROR(IF($D$311="Yes",N344*(1+WACC_adj_2),""),"-")</f>
        <v/>
      </c>
      <c r="O345" s="66" t="str">
        <f>IFERROR(IF($D$311="Yes",O344*(1+WACC_adj_2),""),"-")</f>
        <v/>
      </c>
    </row>
    <row r="346" spans="3:15" hidden="1" outlineLevel="2" x14ac:dyDescent="0.25">
      <c r="C346" s="59" t="s">
        <v>321</v>
      </c>
      <c r="D346" s="82" t="str">
        <f>INDEX(Input_DecisionActual[[Decision]:[Decision]],MATCH(Calc_TU_values!$D$235,Input_DecisionActual[[VDO period]:[VDO period]],0),1)</f>
        <v>VDO 2021 - Final</v>
      </c>
      <c r="E346" s="23" t="s">
        <v>587</v>
      </c>
      <c r="F346" s="82" t="str">
        <f>IF($D346="-","-",INDEX(Inputs!$H$10:$U$10,1,MATCH($D346,Inputs!$H$8:$U$8,0)))</f>
        <v>F-PreviousVDO_Input</v>
      </c>
      <c r="G346" s="23"/>
      <c r="H346" s="23" t="s">
        <v>108</v>
      </c>
      <c r="I346" s="23" t="s">
        <v>109</v>
      </c>
      <c r="J346" s="59" t="s">
        <v>92</v>
      </c>
      <c r="K346" s="66" cm="1">
        <f t="array" ref="K346">IFERROR(SUM(K344:K345)*(INDEX(Inputs!$H$11:$U$128,MATCH("Retail operating margin",Input_ForRateCalc[[Cost item]:[Cost item]],0),MATCH(Calc_TUV_Net_2[[#This Row],[Decision ref]:[Decision ref]],Inputs!$H$10:$U$10,0))),"-")</f>
        <v>9.4492076712329023E-2</v>
      </c>
      <c r="L346" s="66" cm="1">
        <f t="array" ref="L346">IFERROR(SUM(L344:L345)*(INDEX(Inputs!$H$11:$U$128,MATCH("Retail operating margin",Input_ForRateCalc[[Cost item]:[Cost item]],0),MATCH(Calc_TUV_Net_2[[#This Row],[Decision ref]:[Decision ref]],Inputs!$H$10:$U$10,0))),"-")</f>
        <v>-6.556990904109597E-2</v>
      </c>
      <c r="M346" s="66" cm="1">
        <f t="array" ref="M346">IFERROR(SUM(M344:M345)*(INDEX(Inputs!$H$11:$U$128,MATCH("Retail operating margin",Input_ForRateCalc[[Cost item]:[Cost item]],0),MATCH(Calc_TUV_Net_2[[#This Row],[Decision ref]:[Decision ref]],Inputs!$H$10:$U$10,0))),"-")</f>
        <v>1.1039465205479588E-2</v>
      </c>
      <c r="N346" s="66" cm="1">
        <f t="array" ref="N346">IFERROR(SUM(N344:N345)*(INDEX(Inputs!$H$11:$U$128,MATCH("Retail operating margin",Input_ForRateCalc[[Cost item]:[Cost item]],0),MATCH(Calc_TUV_Net_2[[#This Row],[Decision ref]:[Decision ref]],Inputs!$H$10:$U$10,0))),"-")</f>
        <v>-7.7178789041096166E-2</v>
      </c>
      <c r="O346" s="66" cm="1">
        <f t="array" ref="O346">IFERROR(SUM(O344:O345)*(INDEX(Inputs!$H$11:$U$128,MATCH("Retail operating margin",Input_ForRateCalc[[Cost item]:[Cost item]],0),MATCH(Calc_TUV_Net_2[[#This Row],[Decision ref]:[Decision ref]],Inputs!$H$10:$U$10,0))),"-")</f>
        <v>0.14618057643835619</v>
      </c>
    </row>
    <row r="347" spans="3:15" hidden="1" outlineLevel="2" x14ac:dyDescent="0.25">
      <c r="C347" s="59" t="s">
        <v>443</v>
      </c>
      <c r="D347" s="23"/>
      <c r="E347" s="23"/>
      <c r="F347" s="23"/>
      <c r="G347" s="23"/>
      <c r="H347" s="23" t="s">
        <v>108</v>
      </c>
      <c r="I347" s="23" t="s">
        <v>109</v>
      </c>
      <c r="J347" s="59" t="s">
        <v>92</v>
      </c>
      <c r="K347" s="66">
        <f>IF(K343=0,"-",SUM(K344:K346)*GST)</f>
        <v>0.16589304328767168</v>
      </c>
      <c r="L347" s="66">
        <f>IF(L343=0,"-",SUM(L344:L346)*GST)</f>
        <v>-0.11511644295890425</v>
      </c>
      <c r="M347" s="66">
        <f>IF(M343=0,"-",SUM(M344:M346)*GST)</f>
        <v>1.9381206794520787E-2</v>
      </c>
      <c r="N347" s="66">
        <f>IF(N343=0,"-",SUM(N344:N346)*GST)</f>
        <v>-0.13549733095890459</v>
      </c>
      <c r="O347" s="66">
        <f>IF(O343=0,"-",SUM(O344:O346)*GST)</f>
        <v>0.25663887956164388</v>
      </c>
    </row>
    <row r="348" spans="3:15" hidden="1" outlineLevel="2" x14ac:dyDescent="0.25">
      <c r="C348" s="23" t="s">
        <v>535</v>
      </c>
      <c r="D348" s="23"/>
      <c r="E348" s="23"/>
      <c r="F348" s="23"/>
      <c r="G348" s="23"/>
      <c r="H348" s="23" t="s">
        <v>108</v>
      </c>
      <c r="I348" s="23" t="s">
        <v>109</v>
      </c>
      <c r="J348" s="59" t="s">
        <v>92</v>
      </c>
      <c r="K348" s="66">
        <f>IF(K343=0,"-",SUM(K344:K347))</f>
        <v>1.8248234761643884</v>
      </c>
      <c r="L348" s="66">
        <f>IF(L343=0,"-",SUM(L344:L347))</f>
        <v>-1.2662808725479466</v>
      </c>
      <c r="M348" s="66">
        <f>IF(M343=0,"-",SUM(M344:M347))</f>
        <v>0.21319327473972866</v>
      </c>
      <c r="N348" s="66">
        <f>IF(N343=0,"-",SUM(N344:N347))</f>
        <v>-1.4904706405479504</v>
      </c>
      <c r="O348" s="66">
        <f>IF(O343=0,"-",SUM(O344:O347))</f>
        <v>2.823027675178083</v>
      </c>
    </row>
    <row r="349" spans="3:15" hidden="1" outlineLevel="2" x14ac:dyDescent="0.25">
      <c r="C349" s="59"/>
      <c r="D349" s="116"/>
      <c r="E349" s="116"/>
      <c r="F349" s="116"/>
      <c r="H349" s="23"/>
      <c r="I349" s="23"/>
      <c r="J349" s="23"/>
      <c r="K349" s="128"/>
      <c r="L349" s="128"/>
      <c r="M349" s="128"/>
      <c r="N349" s="128"/>
      <c r="O349" s="128"/>
    </row>
    <row r="350" spans="3:15" hidden="1" outlineLevel="2" x14ac:dyDescent="0.25">
      <c r="C350" s="57" t="s">
        <v>540</v>
      </c>
      <c r="D350" s="23"/>
      <c r="E350" s="23"/>
      <c r="F350" s="23"/>
      <c r="G350" s="68"/>
      <c r="H350" s="23"/>
      <c r="I350" s="23"/>
      <c r="J350" s="23"/>
      <c r="K350" s="129"/>
      <c r="L350" s="129"/>
      <c r="M350" s="129"/>
      <c r="N350" s="129"/>
      <c r="O350" s="129"/>
    </row>
    <row r="351" spans="3:15" hidden="1" outlineLevel="2" x14ac:dyDescent="0.25">
      <c r="C351" s="59" t="s">
        <v>517</v>
      </c>
      <c r="D351" s="82" t="str">
        <f>Calc_TU_values!$D$235</f>
        <v>VDO 2022 - Final</v>
      </c>
      <c r="E351" s="23" t="s">
        <v>586</v>
      </c>
      <c r="F351" s="82" t="str">
        <f>INDEX(Inputs!$H$10:$U$10,1,MATCH($D351,Inputs!$H$8:$U$8,0))</f>
        <v>F-CurrentVDO_Input</v>
      </c>
      <c r="G351" s="23"/>
      <c r="H351" s="23" t="s">
        <v>130</v>
      </c>
      <c r="I351" s="23" t="s">
        <v>165</v>
      </c>
      <c r="J351" s="59" t="s">
        <v>92</v>
      </c>
      <c r="K351" s="66" cm="1">
        <f t="array" ref="K351">IFERROR(INDEX(Input_ForRateCalc[],MATCH($C351&amp;" - "&amp;K$334,Input_ForRateCalc[[Cost item]:[Cost item]],0),MATCH(Calc_TUV_Net_2[[#This Row],[Decision ref]:[Decision ref]],Input_ForRateCalc[#Headers],0)),"-")</f>
        <v>11.4503</v>
      </c>
      <c r="L351" s="66" t="str" cm="1">
        <f t="array" ref="L351">IFERROR(INDEX(Input_ForRateCalc[],MATCH($C351&amp;" - "&amp;L$334,Input_ForRateCalc[[Cost item]:[Cost item]],0),MATCH(Calc_TUV_Net_2[[#This Row],[Decision ref]:[Decision ref]],Input_ForRateCalc[#Headers],0)),"-")</f>
        <v>-</v>
      </c>
      <c r="M351" s="66" t="str" cm="1">
        <f t="array" ref="M351">IFERROR(INDEX(Input_ForRateCalc[],MATCH($C351&amp;" - "&amp;M$334,Input_ForRateCalc[[Cost item]:[Cost item]],0),MATCH(Calc_TUV_Net_2[[#This Row],[Decision ref]:[Decision ref]],Input_ForRateCalc[#Headers],0)),"-")</f>
        <v>-</v>
      </c>
      <c r="N351" s="66" t="str" cm="1">
        <f t="array" ref="N351">IFERROR(INDEX(Input_ForRateCalc[],MATCH($C351&amp;" - "&amp;N$334,Input_ForRateCalc[[Cost item]:[Cost item]],0),MATCH(Calc_TUV_Net_2[[#This Row],[Decision ref]:[Decision ref]],Input_ForRateCalc[#Headers],0)),"-")</f>
        <v>-</v>
      </c>
      <c r="O351" s="66" t="str" cm="1">
        <f t="array" ref="O351">IFERROR(INDEX(Input_ForRateCalc[],MATCH($C351&amp;" - "&amp;O$334,Input_ForRateCalc[[Cost item]:[Cost item]],0),MATCH(Calc_TUV_Net_2[[#This Row],[Decision ref]:[Decision ref]],Input_ForRateCalc[#Headers],0)),"-")</f>
        <v>-</v>
      </c>
    </row>
    <row r="352" spans="3:15" hidden="1" outlineLevel="2" x14ac:dyDescent="0.25">
      <c r="C352" s="59" t="s">
        <v>518</v>
      </c>
      <c r="D352" s="82" t="str">
        <f>Calc_TU_values!$D$235</f>
        <v>VDO 2022 - Final</v>
      </c>
      <c r="E352" s="23" t="s">
        <v>586</v>
      </c>
      <c r="F352" s="82" t="str">
        <f>INDEX(Inputs!$H$10:$U$10,1,MATCH($D352,Inputs!$H$8:$U$8,0))</f>
        <v>F-CurrentVDO_Input</v>
      </c>
      <c r="G352" s="68"/>
      <c r="H352" s="23" t="s">
        <v>130</v>
      </c>
      <c r="I352" s="23" t="s">
        <v>165</v>
      </c>
      <c r="J352" s="59" t="s">
        <v>92</v>
      </c>
      <c r="K352" s="66" cm="1">
        <f t="array" ref="K352">IFERROR(INDEX(Input_ForRateCalc[],MATCH($C352&amp;" - "&amp;K$334,Input_ForRateCalc[[Cost item]:[Cost item]],0),MATCH(Calc_TUV_Net_2[[#This Row],[Decision ref]:[Decision ref]],Input_ForRateCalc[#Headers],0)),"-")</f>
        <v>12.838200000000001</v>
      </c>
      <c r="L352" s="66" t="str" cm="1">
        <f t="array" ref="L352">IFERROR(INDEX(Input_ForRateCalc[],MATCH($C352&amp;" - "&amp;L$334,Input_ForRateCalc[[Cost item]:[Cost item]],0),MATCH(Calc_TUV_Net_2[[#This Row],[Decision ref]:[Decision ref]],Input_ForRateCalc[#Headers],0)),"-")</f>
        <v>-</v>
      </c>
      <c r="M352" s="66" t="str" cm="1">
        <f t="array" ref="M352">IFERROR(INDEX(Input_ForRateCalc[],MATCH($C352&amp;" - "&amp;M$334,Input_ForRateCalc[[Cost item]:[Cost item]],0),MATCH(Calc_TUV_Net_2[[#This Row],[Decision ref]:[Decision ref]],Input_ForRateCalc[#Headers],0)),"-")</f>
        <v>-</v>
      </c>
      <c r="N352" s="66" t="str" cm="1">
        <f t="array" ref="N352">IFERROR(INDEX(Input_ForRateCalc[],MATCH($C352&amp;" - "&amp;N$334,Input_ForRateCalc[[Cost item]:[Cost item]],0),MATCH(Calc_TUV_Net_2[[#This Row],[Decision ref]:[Decision ref]],Input_ForRateCalc[#Headers],0)),"-")</f>
        <v>-</v>
      </c>
      <c r="O352" s="66" t="str" cm="1">
        <f t="array" ref="O352">IFERROR(INDEX(Input_ForRateCalc[],MATCH($C352&amp;" - "&amp;O$334,Input_ForRateCalc[[Cost item]:[Cost item]],0),MATCH(Calc_TUV_Net_2[[#This Row],[Decision ref]:[Decision ref]],Input_ForRateCalc[#Headers],0)),"-")</f>
        <v>-</v>
      </c>
    </row>
    <row r="353" spans="3:15" hidden="1" outlineLevel="2" x14ac:dyDescent="0.25">
      <c r="C353" s="59" t="s">
        <v>519</v>
      </c>
      <c r="D353" s="82" t="str">
        <f>Calc_TU_values!$D$235</f>
        <v>VDO 2022 - Final</v>
      </c>
      <c r="E353" s="23" t="s">
        <v>586</v>
      </c>
      <c r="F353" s="82" t="str">
        <f>INDEX(Inputs!$H$10:$U$10,1,MATCH($D353,Inputs!$H$8:$U$8,0))</f>
        <v>F-CurrentVDO_Input</v>
      </c>
      <c r="G353" s="58"/>
      <c r="H353" s="23" t="s">
        <v>130</v>
      </c>
      <c r="I353" s="23" t="s">
        <v>165</v>
      </c>
      <c r="J353" s="59" t="s">
        <v>92</v>
      </c>
      <c r="K353" s="66" t="str" cm="1">
        <f t="array" ref="K353">IFERROR(INDEX(Input_ForRateCalc[],MATCH($C353&amp;" - "&amp;K$334,Input_ForRateCalc[[Cost item]:[Cost item]],0),MATCH(Calc_TUV_Net_2[[#This Row],[Decision ref]:[Decision ref]],Input_ForRateCalc[#Headers],0)),"-")</f>
        <v>-</v>
      </c>
      <c r="L353" s="66" cm="1">
        <f t="array" ref="L353">IFERROR(INDEX(Input_ForRateCalc[],MATCH($C353&amp;" - "&amp;L$334,Input_ForRateCalc[[Cost item]:[Cost item]],0),MATCH(Calc_TUV_Net_2[[#This Row],[Decision ref]:[Decision ref]],Input_ForRateCalc[#Headers],0)),"-")</f>
        <v>8.0500000000000007</v>
      </c>
      <c r="M353" s="66" cm="1">
        <f t="array" ref="M353">IFERROR(INDEX(Input_ForRateCalc[],MATCH($C353&amp;" - "&amp;M$334,Input_ForRateCalc[[Cost item]:[Cost item]],0),MATCH(Calc_TUV_Net_2[[#This Row],[Decision ref]:[Decision ref]],Input_ForRateCalc[#Headers],0)),"-")</f>
        <v>8.67</v>
      </c>
      <c r="N353" s="66" cm="1">
        <f t="array" ref="N353">IFERROR(INDEX(Input_ForRateCalc[],MATCH($C353&amp;" - "&amp;N$334,Input_ForRateCalc[[Cost item]:[Cost item]],0),MATCH(Calc_TUV_Net_2[[#This Row],[Decision ref]:[Decision ref]],Input_ForRateCalc[#Headers],0)),"-")</f>
        <v>8.15</v>
      </c>
      <c r="O353" s="66" cm="1">
        <f t="array" ref="O353">IFERROR(INDEX(Input_ForRateCalc[],MATCH($C353&amp;" - "&amp;O$334,Input_ForRateCalc[[Cost item]:[Cost item]],0),MATCH(Calc_TUV_Net_2[[#This Row],[Decision ref]:[Decision ref]],Input_ForRateCalc[#Headers],0)),"-")</f>
        <v>7.99</v>
      </c>
    </row>
    <row r="354" spans="3:15" hidden="1" outlineLevel="2" x14ac:dyDescent="0.25">
      <c r="C354" s="59" t="s">
        <v>318</v>
      </c>
      <c r="D354" s="82" t="str">
        <f>Calc_TU_values!$D$235</f>
        <v>VDO 2022 - Final</v>
      </c>
      <c r="E354" s="23" t="s">
        <v>586</v>
      </c>
      <c r="F354" s="82" t="str">
        <f>INDEX(Inputs!$H$10:$U$10,1,MATCH($D354,Inputs!$H$8:$U$8,0))</f>
        <v>F-CurrentVDO_Input</v>
      </c>
      <c r="G354" s="58"/>
      <c r="H354" s="23" t="s">
        <v>130</v>
      </c>
      <c r="I354" s="23" t="s">
        <v>109</v>
      </c>
      <c r="J354" s="59" t="s">
        <v>92</v>
      </c>
      <c r="K354" s="67">
        <f>SUM(
IFERROR(K351/100*SUMIFS(INDEX(TUNet_Usage_PerRate_2[],0,MATCH(K$334,TUNet_Usage_PerRate_2[#Headers],0)),TUNet_Usage_PerRate_2[Customer type],Calc_TUV_Net_2[[#This Row],[Customer type]],TUNet_Usage_PerRate_2[Description],"Usage per customer - Block 1"),0),
IFERROR(K352/100*SUMIFS(INDEX(TUNet_Usage_PerRate_2[],0,MATCH(K$334,TUNet_Usage_PerRate_2[#Headers],0)),TUNet_Usage_PerRate_2[Customer type],Calc_TUV_Net_2[[#This Row],[Customer type]],TUNet_Usage_PerRate_2[Description],"Usage per customer - Balance"),0),
IFERROR(K353/100*SUMIFS(INDEX(TUNet_Usage_PerRate_2[],0,MATCH(K$334,TUNet_Usage_PerRate_2[#Headers],0)),TUNet_Usage_PerRate_2[Customer type],Calc_TUV_Net_2[[#This Row],[Customer type]],TUNet_Usage_PerRate_2[Description],"Usage per customer - Single rate"),0))</f>
        <v>108.43728015059527</v>
      </c>
      <c r="L354" s="67">
        <f>SUM(
IFERROR(L351/100*SUMIFS(INDEX(TUNet_Usage_PerRate_2[],0,MATCH(L$334,TUNet_Usage_PerRate_2[#Headers],0)),TUNet_Usage_PerRate_2[Customer type],Calc_TUV_Net_2[[#This Row],[Customer type]],TUNet_Usage_PerRate_2[Description],"Usage per customer - Block 1"),0),
IFERROR(L352/100*SUMIFS(INDEX(TUNet_Usage_PerRate_2[],0,MATCH(L$334,TUNet_Usage_PerRate_2[#Headers],0)),TUNet_Usage_PerRate_2[Customer type],Calc_TUV_Net_2[[#This Row],[Customer type]],TUNet_Usage_PerRate_2[Description],"Usage per customer - Balance"),0),
IFERROR(L353/100*SUMIFS(INDEX(TUNet_Usage_PerRate_2[],0,MATCH(L$334,TUNet_Usage_PerRate_2[#Headers],0)),TUNet_Usage_PerRate_2[Customer type],Calc_TUV_Net_2[[#This Row],[Customer type]],TUNet_Usage_PerRate_2[Description],"Usage per customer - Single rate"),0))</f>
        <v>76.235566335580017</v>
      </c>
      <c r="M354" s="67">
        <f>SUM(
IFERROR(M351/100*SUMIFS(INDEX(TUNet_Usage_PerRate_2[],0,MATCH(M$334,TUNet_Usage_PerRate_2[#Headers],0)),TUNet_Usage_PerRate_2[Customer type],Calc_TUV_Net_2[[#This Row],[Customer type]],TUNet_Usage_PerRate_2[Description],"Usage per customer - Block 1"),0),
IFERROR(M352/100*SUMIFS(INDEX(TUNet_Usage_PerRate_2[],0,MATCH(M$334,TUNet_Usage_PerRate_2[#Headers],0)),TUNet_Usage_PerRate_2[Customer type],Calc_TUV_Net_2[[#This Row],[Customer type]],TUNet_Usage_PerRate_2[Description],"Usage per customer - Balance"),0),
IFERROR(M353/100*SUMIFS(INDEX(TUNet_Usage_PerRate_2[],0,MATCH(M$334,TUNet_Usage_PerRate_2[#Headers],0)),TUNet_Usage_PerRate_2[Customer type],Calc_TUV_Net_2[[#This Row],[Customer type]],TUNet_Usage_PerRate_2[Description],"Usage per customer - Single rate"),0))</f>
        <v>82.107125481922822</v>
      </c>
      <c r="N354" s="67">
        <f>SUM(
IFERROR(N351/100*SUMIFS(INDEX(TUNet_Usage_PerRate_2[],0,MATCH(N$334,TUNet_Usage_PerRate_2[#Headers],0)),TUNet_Usage_PerRate_2[Customer type],Calc_TUV_Net_2[[#This Row],[Customer type]],TUNet_Usage_PerRate_2[Description],"Usage per customer - Block 1"),0),
IFERROR(N352/100*SUMIFS(INDEX(TUNet_Usage_PerRate_2[],0,MATCH(N$334,TUNet_Usage_PerRate_2[#Headers],0)),TUNet_Usage_PerRate_2[Customer type],Calc_TUV_Net_2[[#This Row],[Customer type]],TUNet_Usage_PerRate_2[Description],"Usage per customer - Balance"),0),
IFERROR(N353/100*SUMIFS(INDEX(TUNet_Usage_PerRate_2[],0,MATCH(N$334,TUNet_Usage_PerRate_2[#Headers],0)),TUNet_Usage_PerRate_2[Customer type],Calc_TUV_Net_2[[#This Row],[Customer type]],TUNet_Usage_PerRate_2[Description],"Usage per customer - Single rate"),0))</f>
        <v>77.182592004344997</v>
      </c>
      <c r="O354" s="67">
        <f>SUM(
IFERROR(O351/100*SUMIFS(INDEX(TUNet_Usage_PerRate_2[],0,MATCH(O$334,TUNet_Usage_PerRate_2[#Headers],0)),TUNet_Usage_PerRate_2[Customer type],Calc_TUV_Net_2[[#This Row],[Customer type]],TUNet_Usage_PerRate_2[Description],"Usage per customer - Block 1"),0),
IFERROR(O352/100*SUMIFS(INDEX(TUNet_Usage_PerRate_2[],0,MATCH(O$334,TUNet_Usage_PerRate_2[#Headers],0)),TUNet_Usage_PerRate_2[Customer type],Calc_TUV_Net_2[[#This Row],[Customer type]],TUNet_Usage_PerRate_2[Description],"Usage per customer - Balance"),0),
IFERROR(O353/100*SUMIFS(INDEX(TUNet_Usage_PerRate_2[],0,MATCH(O$334,TUNet_Usage_PerRate_2[#Headers],0)),TUNet_Usage_PerRate_2[Customer type],Calc_TUV_Net_2[[#This Row],[Customer type]],TUNet_Usage_PerRate_2[Description],"Usage per customer - Single rate"),0))</f>
        <v>75.667350934321036</v>
      </c>
    </row>
    <row r="355" spans="3:15" hidden="1" outlineLevel="2" x14ac:dyDescent="0.25">
      <c r="C355" s="59" t="s">
        <v>517</v>
      </c>
      <c r="D355" s="82" t="str">
        <f>INDEX(Input_DecisionActual[[Decision]:[Decision]],MATCH(Calc_TU_values!$D$235,Input_DecisionActual[[VDO period]:[VDO period]],0),1)</f>
        <v>VDO 2021 - Final</v>
      </c>
      <c r="E355" s="23" t="s">
        <v>587</v>
      </c>
      <c r="F355" s="82" t="str">
        <f>IF($D355="-","-",INDEX(Inputs!$H$10:$U$10,1,MATCH($D355,Inputs!$H$8:$U$8,0)))</f>
        <v>F-PreviousVDO_Input</v>
      </c>
      <c r="G355" s="58"/>
      <c r="H355" s="23" t="s">
        <v>130</v>
      </c>
      <c r="I355" s="23" t="s">
        <v>165</v>
      </c>
      <c r="J355" s="59" t="s">
        <v>92</v>
      </c>
      <c r="K355" s="66" cm="1">
        <f t="array" ref="K355">IFERROR(INDEX(Input_ForRateCalc[],MATCH($C355&amp;" - "&amp;K$334,Input_ForRateCalc[[Cost item]:[Cost item]],0),MATCH(Calc_TUV_Net_2[[#This Row],[Decision ref]:[Decision ref]],Input_ForRateCalc[#Headers],0)),"-")</f>
        <v>10.535</v>
      </c>
      <c r="L355" s="66" t="str" cm="1">
        <f t="array" ref="L355">IFERROR(INDEX(Input_ForRateCalc[],MATCH($C355&amp;" - "&amp;L$334,Input_ForRateCalc[[Cost item]:[Cost item]],0),MATCH(Calc_TUV_Net_2[[#This Row],[Decision ref]:[Decision ref]],Input_ForRateCalc[#Headers],0)),"-")</f>
        <v>-</v>
      </c>
      <c r="M355" s="66" t="str" cm="1">
        <f t="array" ref="M355">IFERROR(INDEX(Input_ForRateCalc[],MATCH($C355&amp;" - "&amp;M$334,Input_ForRateCalc[[Cost item]:[Cost item]],0),MATCH(Calc_TUV_Net_2[[#This Row],[Decision ref]:[Decision ref]],Input_ForRateCalc[#Headers],0)),"-")</f>
        <v>-</v>
      </c>
      <c r="N355" s="66" t="str" cm="1">
        <f t="array" ref="N355">IFERROR(INDEX(Input_ForRateCalc[],MATCH($C355&amp;" - "&amp;N$334,Input_ForRateCalc[[Cost item]:[Cost item]],0),MATCH(Calc_TUV_Net_2[[#This Row],[Decision ref]:[Decision ref]],Input_ForRateCalc[#Headers],0)),"-")</f>
        <v>-</v>
      </c>
      <c r="O355" s="66" t="str" cm="1">
        <f t="array" ref="O355">IFERROR(INDEX(Input_ForRateCalc[],MATCH($C355&amp;" - "&amp;O$334,Input_ForRateCalc[[Cost item]:[Cost item]],0),MATCH(Calc_TUV_Net_2[[#This Row],[Decision ref]:[Decision ref]],Input_ForRateCalc[#Headers],0)),"-")</f>
        <v>-</v>
      </c>
    </row>
    <row r="356" spans="3:15" hidden="1" outlineLevel="2" x14ac:dyDescent="0.25">
      <c r="C356" s="59" t="s">
        <v>518</v>
      </c>
      <c r="D356" s="82" t="str">
        <f>INDEX(Input_DecisionActual[[Decision]:[Decision]],MATCH(Calc_TU_values!$D$235,Input_DecisionActual[[VDO period]:[VDO period]],0),1)</f>
        <v>VDO 2021 - Final</v>
      </c>
      <c r="E356" s="23" t="s">
        <v>587</v>
      </c>
      <c r="F356" s="82" t="str">
        <f>IF($D356="-","-",INDEX(Inputs!$H$10:$U$10,1,MATCH($D356,Inputs!$H$8:$U$8,0)))</f>
        <v>F-PreviousVDO_Input</v>
      </c>
      <c r="G356" s="58"/>
      <c r="H356" s="23" t="s">
        <v>130</v>
      </c>
      <c r="I356" s="23" t="s">
        <v>165</v>
      </c>
      <c r="J356" s="59" t="s">
        <v>92</v>
      </c>
      <c r="K356" s="66" cm="1">
        <f t="array" ref="K356">IFERROR(INDEX(Input_ForRateCalc[],MATCH($C356&amp;" - "&amp;K$334,Input_ForRateCalc[[Cost item]:[Cost item]],0),MATCH(Calc_TUV_Net_2[[#This Row],[Decision ref]:[Decision ref]],Input_ForRateCalc[#Headers],0)),"-")</f>
        <v>12.073700000000001</v>
      </c>
      <c r="L356" s="66" t="str" cm="1">
        <f t="array" ref="L356">IFERROR(INDEX(Input_ForRateCalc[],MATCH($C356&amp;" - "&amp;L$334,Input_ForRateCalc[[Cost item]:[Cost item]],0),MATCH(Calc_TUV_Net_2[[#This Row],[Decision ref]:[Decision ref]],Input_ForRateCalc[#Headers],0)),"-")</f>
        <v>-</v>
      </c>
      <c r="M356" s="66" t="str" cm="1">
        <f t="array" ref="M356">IFERROR(INDEX(Input_ForRateCalc[],MATCH($C356&amp;" - "&amp;M$334,Input_ForRateCalc[[Cost item]:[Cost item]],0),MATCH(Calc_TUV_Net_2[[#This Row],[Decision ref]:[Decision ref]],Input_ForRateCalc[#Headers],0)),"-")</f>
        <v>-</v>
      </c>
      <c r="N356" s="66" t="str" cm="1">
        <f t="array" ref="N356">IFERROR(INDEX(Input_ForRateCalc[],MATCH($C356&amp;" - "&amp;N$334,Input_ForRateCalc[[Cost item]:[Cost item]],0),MATCH(Calc_TUV_Net_2[[#This Row],[Decision ref]:[Decision ref]],Input_ForRateCalc[#Headers],0)),"-")</f>
        <v>-</v>
      </c>
      <c r="O356" s="66" t="str" cm="1">
        <f t="array" ref="O356">IFERROR(INDEX(Input_ForRateCalc[],MATCH($C356&amp;" - "&amp;O$334,Input_ForRateCalc[[Cost item]:[Cost item]],0),MATCH(Calc_TUV_Net_2[[#This Row],[Decision ref]:[Decision ref]],Input_ForRateCalc[#Headers],0)),"-")</f>
        <v>-</v>
      </c>
    </row>
    <row r="357" spans="3:15" hidden="1" outlineLevel="2" x14ac:dyDescent="0.25">
      <c r="C357" s="59" t="s">
        <v>519</v>
      </c>
      <c r="D357" s="82" t="str">
        <f>INDEX(Input_DecisionActual[[Decision]:[Decision]],MATCH(Calc_TU_values!$D$235,Input_DecisionActual[[VDO period]:[VDO period]],0),1)</f>
        <v>VDO 2021 - Final</v>
      </c>
      <c r="E357" s="23" t="s">
        <v>587</v>
      </c>
      <c r="F357" s="82" t="str">
        <f>IF($D357="-","-",INDEX(Inputs!$H$10:$U$10,1,MATCH($D357,Inputs!$H$8:$U$8,0)))</f>
        <v>F-PreviousVDO_Input</v>
      </c>
      <c r="G357" s="58"/>
      <c r="H357" s="23" t="s">
        <v>130</v>
      </c>
      <c r="I357" s="23" t="s">
        <v>165</v>
      </c>
      <c r="J357" s="59" t="s">
        <v>92</v>
      </c>
      <c r="K357" s="66" t="str" cm="1">
        <f t="array" ref="K357">IFERROR(INDEX(Input_ForRateCalc[],MATCH($C357&amp;" - "&amp;K$334,Input_ForRateCalc[[Cost item]:[Cost item]],0),MATCH(Calc_TUV_Net_2[[#This Row],[Decision ref]:[Decision ref]],Input_ForRateCalc[#Headers],0)),"-")</f>
        <v>-</v>
      </c>
      <c r="L357" s="66" cm="1">
        <f t="array" ref="L357">IFERROR(INDEX(Input_ForRateCalc[],MATCH($C357&amp;" - "&amp;L$334,Input_ForRateCalc[[Cost item]:[Cost item]],0),MATCH(Calc_TUV_Net_2[[#This Row],[Decision ref]:[Decision ref]],Input_ForRateCalc[#Headers],0)),"-")</f>
        <v>6.47</v>
      </c>
      <c r="M357" s="66" cm="1">
        <f t="array" ref="M357">IFERROR(INDEX(Input_ForRateCalc[],MATCH($C357&amp;" - "&amp;M$334,Input_ForRateCalc[[Cost item]:[Cost item]],0),MATCH(Calc_TUV_Net_2[[#This Row],[Decision ref]:[Decision ref]],Input_ForRateCalc[#Headers],0)),"-")</f>
        <v>7.4139999999999997</v>
      </c>
      <c r="N357" s="66" cm="1">
        <f t="array" ref="N357">IFERROR(INDEX(Input_ForRateCalc[],MATCH($C357&amp;" - "&amp;N$334,Input_ForRateCalc[[Cost item]:[Cost item]],0),MATCH(Calc_TUV_Net_2[[#This Row],[Decision ref]:[Decision ref]],Input_ForRateCalc[#Headers],0)),"-")</f>
        <v>6.74</v>
      </c>
      <c r="O357" s="66" cm="1">
        <f t="array" ref="O357">IFERROR(INDEX(Input_ForRateCalc[],MATCH($C357&amp;" - "&amp;O$334,Input_ForRateCalc[[Cost item]:[Cost item]],0),MATCH(Calc_TUV_Net_2[[#This Row],[Decision ref]:[Decision ref]],Input_ForRateCalc[#Headers],0)),"-")</f>
        <v>7.67</v>
      </c>
    </row>
    <row r="358" spans="3:15" hidden="1" outlineLevel="2" x14ac:dyDescent="0.25">
      <c r="C358" s="59" t="s">
        <v>318</v>
      </c>
      <c r="D358" s="82" t="str">
        <f>INDEX(Input_DecisionActual[[Decision]:[Decision]],MATCH(Calc_TU_values!$D$235,Input_DecisionActual[[VDO period]:[VDO period]],0),1)</f>
        <v>VDO 2021 - Final</v>
      </c>
      <c r="E358" s="23" t="s">
        <v>587</v>
      </c>
      <c r="F358" s="82" t="str">
        <f>IF($D358="-","-",INDEX(Inputs!$H$10:$U$10,1,MATCH($D358,Inputs!$H$8:$U$8,0)))</f>
        <v>F-PreviousVDO_Input</v>
      </c>
      <c r="G358" s="58"/>
      <c r="H358" s="23" t="s">
        <v>130</v>
      </c>
      <c r="I358" s="23" t="s">
        <v>109</v>
      </c>
      <c r="J358" s="59" t="s">
        <v>92</v>
      </c>
      <c r="K358" s="67">
        <f>SUM(
IFERROR(K355/100*SUMIFS(INDEX(TUNet_Usage_PerRate_2[],0,MATCH(K$334,TUNet_Usage_PerRate_2[#Headers],0)),TUNet_Usage_PerRate_2[Customer type],Calc_TUV_Net_2[[#This Row],[Customer type]],TUNet_Usage_PerRate_2[Description],"Usage per customer - Block 1"),0),
IFERROR(K356/100*SUMIFS(INDEX(TUNet_Usage_PerRate_2[],0,MATCH(K$334,TUNet_Usage_PerRate_2[#Headers],0)),TUNet_Usage_PerRate_2[Customer type],Calc_TUV_Net_2[[#This Row],[Customer type]],TUNet_Usage_PerRate_2[Description],"Usage per customer - Balance"),0),
IFERROR(K357/100*SUMIFS(INDEX(TUNet_Usage_PerRate_2[],0,MATCH(K$334,TUNet_Usage_PerRate_2[#Headers],0)),TUNet_Usage_PerRate_2[Customer type],Calc_TUV_Net_2[[#This Row],[Customer type]],TUNet_Usage_PerRate_2[Description],"Usage per customer - Single rate"),0))</f>
        <v>99.769154204389494</v>
      </c>
      <c r="L358" s="67">
        <f>SUM(
IFERROR(L355/100*SUMIFS(INDEX(TUNet_Usage_PerRate_2[],0,MATCH(L$334,TUNet_Usage_PerRate_2[#Headers],0)),TUNet_Usage_PerRate_2[Customer type],Calc_TUV_Net_2[[#This Row],[Customer type]],TUNet_Usage_PerRate_2[Description],"Usage per customer - Block 1"),0),
IFERROR(L356/100*SUMIFS(INDEX(TUNet_Usage_PerRate_2[],0,MATCH(L$334,TUNet_Usage_PerRate_2[#Headers],0)),TUNet_Usage_PerRate_2[Customer type],Calc_TUV_Net_2[[#This Row],[Customer type]],TUNet_Usage_PerRate_2[Description],"Usage per customer - Balance"),0),
IFERROR(L357/100*SUMIFS(INDEX(TUNet_Usage_PerRate_2[],0,MATCH(L$334,TUNet_Usage_PerRate_2[#Headers],0)),TUNet_Usage_PerRate_2[Customer type],Calc_TUV_Net_2[[#This Row],[Customer type]],TUNet_Usage_PerRate_2[Description],"Usage per customer - Single rate"),0))</f>
        <v>61.272560769093502</v>
      </c>
      <c r="M358" s="67">
        <f>SUM(
IFERROR(M355/100*SUMIFS(INDEX(TUNet_Usage_PerRate_2[],0,MATCH(M$334,TUNet_Usage_PerRate_2[#Headers],0)),TUNet_Usage_PerRate_2[Customer type],Calc_TUV_Net_2[[#This Row],[Customer type]],TUNet_Usage_PerRate_2[Description],"Usage per customer - Block 1"),0),
IFERROR(M356/100*SUMIFS(INDEX(TUNet_Usage_PerRate_2[],0,MATCH(M$334,TUNet_Usage_PerRate_2[#Headers],0)),TUNet_Usage_PerRate_2[Customer type],Calc_TUV_Net_2[[#This Row],[Customer type]],TUNet_Usage_PerRate_2[Description],"Usage per customer - Balance"),0),
IFERROR(M357/100*SUMIFS(INDEX(TUNet_Usage_PerRate_2[],0,MATCH(M$334,TUNet_Usage_PerRate_2[#Headers],0)),TUNet_Usage_PerRate_2[Customer type],Calc_TUV_Net_2[[#This Row],[Customer type]],TUNet_Usage_PerRate_2[Description],"Usage per customer - Single rate"),0))</f>
        <v>70.212483082234812</v>
      </c>
      <c r="N358" s="67">
        <f>SUM(
IFERROR(N355/100*SUMIFS(INDEX(TUNet_Usage_PerRate_2[],0,MATCH(N$334,TUNet_Usage_PerRate_2[#Headers],0)),TUNet_Usage_PerRate_2[Customer type],Calc_TUV_Net_2[[#This Row],[Customer type]],TUNet_Usage_PerRate_2[Description],"Usage per customer - Block 1"),0),
IFERROR(N356/100*SUMIFS(INDEX(TUNet_Usage_PerRate_2[],0,MATCH(N$334,TUNet_Usage_PerRate_2[#Headers],0)),TUNet_Usage_PerRate_2[Customer type],Calc_TUV_Net_2[[#This Row],[Customer type]],TUNet_Usage_PerRate_2[Description],"Usage per customer - Balance"),0),
IFERROR(N357/100*SUMIFS(INDEX(TUNet_Usage_PerRate_2[],0,MATCH(N$334,TUNet_Usage_PerRate_2[#Headers],0)),TUNet_Usage_PerRate_2[Customer type],Calc_TUV_Net_2[[#This Row],[Customer type]],TUNet_Usage_PerRate_2[Description],"Usage per customer - Single rate"),0))</f>
        <v>63.829530074758921</v>
      </c>
      <c r="O358" s="67">
        <f>SUM(
IFERROR(O355/100*SUMIFS(INDEX(TUNet_Usage_PerRate_2[],0,MATCH(O$334,TUNet_Usage_PerRate_2[#Headers],0)),TUNet_Usage_PerRate_2[Customer type],Calc_TUV_Net_2[[#This Row],[Customer type]],TUNet_Usage_PerRate_2[Description],"Usage per customer - Block 1"),0),
IFERROR(O356/100*SUMIFS(INDEX(TUNet_Usage_PerRate_2[],0,MATCH(O$334,TUNet_Usage_PerRate_2[#Headers],0)),TUNet_Usage_PerRate_2[Customer type],Calc_TUV_Net_2[[#This Row],[Customer type]],TUNet_Usage_PerRate_2[Description],"Usage per customer - Balance"),0),
IFERROR(O357/100*SUMIFS(INDEX(TUNet_Usage_PerRate_2[],0,MATCH(O$334,TUNet_Usage_PerRate_2[#Headers],0)),TUNet_Usage_PerRate_2[Customer type],Calc_TUV_Net_2[[#This Row],[Customer type]],TUNet_Usage_PerRate_2[Description],"Usage per customer - Single rate"),0))</f>
        <v>72.636868794273141</v>
      </c>
    </row>
    <row r="359" spans="3:15" hidden="1" outlineLevel="2" x14ac:dyDescent="0.25">
      <c r="C359" s="59" t="s">
        <v>319</v>
      </c>
      <c r="D359" s="23"/>
      <c r="E359" s="23"/>
      <c r="F359" s="23"/>
      <c r="G359" s="23"/>
      <c r="H359" s="23" t="s">
        <v>130</v>
      </c>
      <c r="I359" s="23" t="s">
        <v>109</v>
      </c>
      <c r="J359" s="59" t="s">
        <v>92</v>
      </c>
      <c r="K359" s="65">
        <f>IF(K358=0,"-",K354-K358)</f>
        <v>8.6681259462057767</v>
      </c>
      <c r="L359" s="65">
        <f t="shared" ref="L359" si="123">IF(L358=0,"-",L354-L358)</f>
        <v>14.963005566486515</v>
      </c>
      <c r="M359" s="65">
        <f t="shared" ref="M359" si="124">IF(M358=0,"-",M354-M358)</f>
        <v>11.89464239968801</v>
      </c>
      <c r="N359" s="65">
        <f t="shared" ref="N359" si="125">IF(N358=0,"-",N354-N358)</f>
        <v>13.353061929586076</v>
      </c>
      <c r="O359" s="65">
        <f t="shared" ref="O359" si="126">IF(O358=0,"-",O354-O358)</f>
        <v>3.0304821400478943</v>
      </c>
    </row>
    <row r="360" spans="3:15" hidden="1" outlineLevel="2" x14ac:dyDescent="0.25">
      <c r="C360" s="59" t="s">
        <v>442</v>
      </c>
      <c r="D360" s="23"/>
      <c r="E360" s="23"/>
      <c r="F360" s="23"/>
      <c r="G360" s="23"/>
      <c r="H360" s="23" t="s">
        <v>130</v>
      </c>
      <c r="I360" s="23" t="s">
        <v>109</v>
      </c>
      <c r="J360" s="59" t="s">
        <v>92</v>
      </c>
      <c r="K360" s="66" t="str">
        <f>IF($D$311="Yes",K359*(1+WACC_adj_2),"")</f>
        <v/>
      </c>
      <c r="L360" s="66" t="str">
        <f>IF($D$311="Yes",L359*(1+WACC_adj_2),"")</f>
        <v/>
      </c>
      <c r="M360" s="66" t="str">
        <f>IF($D$311="Yes",M359*(1+WACC_adj_2),"")</f>
        <v/>
      </c>
      <c r="N360" s="66" t="str">
        <f>IF($D$311="Yes",N359*(1+WACC_adj_2),"")</f>
        <v/>
      </c>
      <c r="O360" s="66" t="str">
        <f>IF($D$311="Yes",O359*(1+WACC_adj_2),"")</f>
        <v/>
      </c>
    </row>
    <row r="361" spans="3:15" hidden="1" outlineLevel="2" x14ac:dyDescent="0.25">
      <c r="C361" s="59" t="s">
        <v>321</v>
      </c>
      <c r="D361" s="82" t="str">
        <f>INDEX(Input_DecisionActual[[Decision]:[Decision]],MATCH(Calc_TU_values!$D$235,Input_DecisionActual[[VDO period]:[VDO period]],0),1)</f>
        <v>VDO 2021 - Final</v>
      </c>
      <c r="E361" s="23" t="s">
        <v>587</v>
      </c>
      <c r="F361" s="82" t="str">
        <f>IF($D361="-","-",INDEX(Inputs!$H$10:$U$10,1,MATCH($D361,Inputs!$H$8:$U$8,0)))</f>
        <v>F-PreviousVDO_Input</v>
      </c>
      <c r="G361" s="23"/>
      <c r="H361" s="23" t="s">
        <v>130</v>
      </c>
      <c r="I361" s="23" t="s">
        <v>109</v>
      </c>
      <c r="J361" s="59" t="s">
        <v>92</v>
      </c>
      <c r="K361" s="66" cm="1">
        <f t="array" ref="K361">IFERROR(SUM(K359:K360)*(INDEX(Inputs!$H$11:$U$128,MATCH("Retail operating margin",Input_ForRateCalc[[Cost item]:[Cost item]],0),MATCH(Calc_TUV_Net_2[[#This Row],[Decision ref]:[Decision ref]],Inputs!$H$10:$U$10,0))),"-")</f>
        <v>0.52355480715082892</v>
      </c>
      <c r="L361" s="66" cm="1">
        <f t="array" ref="L361">IFERROR(SUM(L359:L360)*(INDEX(Inputs!$H$11:$U$128,MATCH("Retail operating margin",Input_ForRateCalc[[Cost item]:[Cost item]],0),MATCH(Calc_TUV_Net_2[[#This Row],[Decision ref]:[Decision ref]],Inputs!$H$10:$U$10,0))),"-")</f>
        <v>0.90376553621578559</v>
      </c>
      <c r="M361" s="66" cm="1">
        <f t="array" ref="M361">IFERROR(SUM(M359:M360)*(INDEX(Inputs!$H$11:$U$128,MATCH("Retail operating margin",Input_ForRateCalc[[Cost item]:[Cost item]],0),MATCH(Calc_TUV_Net_2[[#This Row],[Decision ref]:[Decision ref]],Inputs!$H$10:$U$10,0))),"-")</f>
        <v>0.71843640094115579</v>
      </c>
      <c r="N361" s="66" cm="1">
        <f t="array" ref="N361">IFERROR(SUM(N359:N360)*(INDEX(Inputs!$H$11:$U$128,MATCH("Retail operating margin",Input_ForRateCalc[[Cost item]:[Cost item]],0),MATCH(Calc_TUV_Net_2[[#This Row],[Decision ref]:[Decision ref]],Inputs!$H$10:$U$10,0))),"-")</f>
        <v>0.80652494054699897</v>
      </c>
      <c r="O361" s="66" cm="1">
        <f t="array" ref="O361">IFERROR(SUM(O359:O360)*(INDEX(Inputs!$H$11:$U$128,MATCH("Retail operating margin",Input_ForRateCalc[[Cost item]:[Cost item]],0),MATCH(Calc_TUV_Net_2[[#This Row],[Decision ref]:[Decision ref]],Inputs!$H$10:$U$10,0))),"-")</f>
        <v>0.18304112125889282</v>
      </c>
    </row>
    <row r="362" spans="3:15" hidden="1" outlineLevel="2" x14ac:dyDescent="0.25">
      <c r="C362" s="59" t="s">
        <v>443</v>
      </c>
      <c r="D362" s="23"/>
      <c r="E362" s="23"/>
      <c r="F362" s="23"/>
      <c r="G362" s="23"/>
      <c r="H362" s="23" t="s">
        <v>130</v>
      </c>
      <c r="I362" s="23" t="s">
        <v>109</v>
      </c>
      <c r="J362" s="59" t="s">
        <v>92</v>
      </c>
      <c r="K362" s="66">
        <f>IF(K358=0,"-",SUM(K359:K361)*GST)</f>
        <v>0.91916807533566058</v>
      </c>
      <c r="L362" s="66">
        <f>IF(L358=0,"-",SUM(L359:L361)*GST)</f>
        <v>1.5866771102702302</v>
      </c>
      <c r="M362" s="66">
        <f>IF(M358=0,"-",SUM(M359:M361)*GST)</f>
        <v>1.2613078800629167</v>
      </c>
      <c r="N362" s="66">
        <f>IF(N358=0,"-",SUM(N359:N361)*GST)</f>
        <v>1.4159586870133076</v>
      </c>
      <c r="O362" s="66">
        <f>IF(O358=0,"-",SUM(O359:O361)*GST)</f>
        <v>0.32135232613067877</v>
      </c>
    </row>
    <row r="363" spans="3:15" hidden="1" outlineLevel="2" x14ac:dyDescent="0.25">
      <c r="C363" s="59" t="s">
        <v>536</v>
      </c>
      <c r="D363" s="116"/>
      <c r="E363" s="116"/>
      <c r="F363" s="116"/>
      <c r="H363" s="23" t="s">
        <v>130</v>
      </c>
      <c r="I363" s="23" t="s">
        <v>109</v>
      </c>
      <c r="J363" s="59" t="s">
        <v>92</v>
      </c>
      <c r="K363" s="66">
        <f>IF(K358=0,"-",SUM(K359:K362))</f>
        <v>10.110848828692266</v>
      </c>
      <c r="L363" s="66">
        <f t="shared" ref="L363:O363" si="127">IF(L358=0,"-",SUM(L359:L362))</f>
        <v>17.453448212972532</v>
      </c>
      <c r="M363" s="66">
        <f t="shared" si="127"/>
        <v>13.874386680692083</v>
      </c>
      <c r="N363" s="66">
        <f t="shared" si="127"/>
        <v>15.575545557146384</v>
      </c>
      <c r="O363" s="66">
        <f t="shared" si="127"/>
        <v>3.5348755874374662</v>
      </c>
    </row>
    <row r="364" spans="3:15" hidden="1" outlineLevel="2" x14ac:dyDescent="0.25">
      <c r="C364" s="59"/>
      <c r="D364" s="125"/>
      <c r="E364" s="125"/>
      <c r="F364" s="125"/>
      <c r="G364" s="125"/>
      <c r="H364" s="125"/>
      <c r="I364" s="125"/>
      <c r="J364" s="125"/>
      <c r="K364" s="159"/>
      <c r="L364" s="159"/>
      <c r="M364" s="159"/>
      <c r="N364" s="159"/>
      <c r="O364" s="159"/>
    </row>
    <row r="365" spans="3:15" hidden="1" outlineLevel="2" x14ac:dyDescent="0.25">
      <c r="C365" s="57" t="s">
        <v>618</v>
      </c>
      <c r="D365" s="23"/>
      <c r="E365" s="23"/>
      <c r="F365" s="23"/>
      <c r="G365" s="68" t="s">
        <v>639</v>
      </c>
      <c r="H365" s="23"/>
      <c r="I365" s="23"/>
      <c r="J365" s="23"/>
      <c r="K365" s="159"/>
      <c r="L365" s="159"/>
      <c r="M365" s="159"/>
      <c r="N365" s="159"/>
      <c r="O365" s="159"/>
    </row>
    <row r="366" spans="3:15" hidden="1" outlineLevel="2" x14ac:dyDescent="0.25">
      <c r="C366" s="59" t="s">
        <v>617</v>
      </c>
      <c r="D366" s="82" t="str">
        <f>Calc_TU_values!$D$235</f>
        <v>VDO 2022 - Final</v>
      </c>
      <c r="E366" s="23" t="s">
        <v>586</v>
      </c>
      <c r="F366" s="82" t="str">
        <f>INDEX(Inputs!$H$10:$U$10,1,MATCH($D366,Inputs!$H$8:$U$8,0))</f>
        <v>F-CurrentVDO_Input</v>
      </c>
      <c r="G366" s="23"/>
      <c r="H366" s="23" t="s">
        <v>130</v>
      </c>
      <c r="I366" s="23" t="s">
        <v>165</v>
      </c>
      <c r="J366" s="59" t="s">
        <v>92</v>
      </c>
      <c r="K366" s="66" cm="1">
        <f t="array" ref="K366">IFERROR(INDEX(Input_ForRateCalc[],MATCH($C366&amp;" - "&amp;K$334,Input_ForRateCalc[[Cost item]:[Cost item]],0),MATCH(Calc_TUV_Net_2[[#This Row],[Decision ref]:[Decision ref]],Input_ForRateCalc[#Headers],0)),"-")</f>
        <v>4.2622999999999998</v>
      </c>
      <c r="L366" s="66" cm="1">
        <f t="array" ref="L366">IFERROR(INDEX(Input_ForRateCalc[],MATCH($C366&amp;" - "&amp;L$334,Input_ForRateCalc[[Cost item]:[Cost item]],0),MATCH(Calc_TUV_Net_2[[#This Row],[Decision ref]:[Decision ref]],Input_ForRateCalc[#Headers],0)),"-")</f>
        <v>2.4700000000000002</v>
      </c>
      <c r="M366" s="66" cm="1">
        <f t="array" ref="M366">IFERROR(INDEX(Input_ForRateCalc[],MATCH($C366&amp;" - "&amp;M$334,Input_ForRateCalc[[Cost item]:[Cost item]],0),MATCH(Calc_TUV_Net_2[[#This Row],[Decision ref]:[Decision ref]],Input_ForRateCalc[#Headers],0)),"-")</f>
        <v>3.5990000000000002</v>
      </c>
      <c r="N366" s="66" cm="1">
        <f t="array" ref="N366">IFERROR(INDEX(Input_ForRateCalc[],MATCH($C366&amp;" - "&amp;N$334,Input_ForRateCalc[[Cost item]:[Cost item]],0),MATCH(Calc_TUV_Net_2[[#This Row],[Decision ref]:[Decision ref]],Input_ForRateCalc[#Headers],0)),"-")</f>
        <v>2.39</v>
      </c>
      <c r="O366" s="66" cm="1">
        <f t="array" ref="O366">IFERROR(INDEX(Input_ForRateCalc[],MATCH($C366&amp;" - "&amp;O$334,Input_ForRateCalc[[Cost item]:[Cost item]],0),MATCH(Calc_TUV_Net_2[[#This Row],[Decision ref]:[Decision ref]],Input_ForRateCalc[#Headers],0)),"-")</f>
        <v>2.17</v>
      </c>
    </row>
    <row r="367" spans="3:15" hidden="1" outlineLevel="2" x14ac:dyDescent="0.25">
      <c r="C367" s="59" t="s">
        <v>318</v>
      </c>
      <c r="D367" s="82" t="str">
        <f>Calc_TU_values!$D$235</f>
        <v>VDO 2022 - Final</v>
      </c>
      <c r="E367" s="23" t="s">
        <v>586</v>
      </c>
      <c r="F367" s="82" t="str">
        <f>INDEX(Inputs!$H$10:$U$10,1,MATCH($D367,Inputs!$H$8:$U$8,0))</f>
        <v>F-CurrentVDO_Input</v>
      </c>
      <c r="G367" s="125"/>
      <c r="H367" s="23" t="s">
        <v>130</v>
      </c>
      <c r="I367" s="23" t="s">
        <v>109</v>
      </c>
      <c r="J367" s="59" t="s">
        <v>92</v>
      </c>
      <c r="K367" s="67" cm="1">
        <f t="array" ref="K367">TUProp_CLLoad_2*SUM(
IFERROR(K366/100*INDEX(Input_Usage[#All],MATCH(Calc_TUV_Net_2[[#This Row],[Customer type]:[Customer type]]&amp;" - medium - controlled load",Input_Usage[[#All],[Ref]],0),MATCH($F367,Input_Usage[#Headers],0)),0))</f>
        <v>20.691586030619156</v>
      </c>
      <c r="L367" s="67" cm="1">
        <f t="array" ref="L367">TUProp_CLLoad_2*SUM(
IFERROR(L366/100*INDEX(Input_Usage[#All],MATCH(Calc_TUV_Net_2[[#This Row],[Customer type]:[Customer type]]&amp;" - medium - controlled load",Input_Usage[[#All],[Ref]],0),MATCH($F367,Input_Usage[#Headers],0)),0))</f>
        <v>11.990760269251183</v>
      </c>
      <c r="M367" s="67" cm="1">
        <f t="array" ref="M367">TUProp_CLLoad_2*SUM(
IFERROR(M366/100*INDEX(Input_Usage[#All],MATCH(Calc_TUV_Net_2[[#This Row],[Customer type]:[Customer type]]&amp;" - medium - controlled load",Input_Usage[[#All],[Ref]],0),MATCH($F367,Input_Usage[#Headers],0)),0))</f>
        <v>17.471557169649799</v>
      </c>
      <c r="N367" s="67" cm="1">
        <f t="array" ref="N367">TUProp_CLLoad_2*SUM(
IFERROR(N366/100*INDEX(Input_Usage[#All],MATCH(Calc_TUV_Net_2[[#This Row],[Customer type]:[Customer type]]&amp;" - medium - controlled load",Input_Usage[[#All],[Ref]],0),MATCH($F367,Input_Usage[#Headers],0)),0))</f>
        <v>11.602395564174222</v>
      </c>
      <c r="O367" s="67" cm="1">
        <f t="array" ref="O367">TUProp_CLLoad_2*SUM(
IFERROR(O366/100*INDEX(Input_Usage[#All],MATCH(Calc_TUV_Net_2[[#This Row],[Customer type]:[Customer type]]&amp;" - medium - controlled load",Input_Usage[[#All],[Ref]],0),MATCH($F367,Input_Usage[#Headers],0)),0))</f>
        <v>10.534392625212577</v>
      </c>
    </row>
    <row r="368" spans="3:15" hidden="1" outlineLevel="2" x14ac:dyDescent="0.25">
      <c r="C368" s="59" t="s">
        <v>617</v>
      </c>
      <c r="D368" s="82" t="str">
        <f>INDEX(Input_DecisionActual[[Decision]:[Decision]],MATCH(Calc_TU_values!$D$235,Input_DecisionActual[[VDO period]:[VDO period]],0),1)</f>
        <v>VDO 2021 - Final</v>
      </c>
      <c r="E368" s="23" t="s">
        <v>587</v>
      </c>
      <c r="F368" s="82" t="str">
        <f>IF($D368="-","-",INDEX(Inputs!$H$10:$U$10,1,MATCH($D368,Inputs!$H$8:$U$8,0)))</f>
        <v>F-PreviousVDO_Input</v>
      </c>
      <c r="G368" s="125"/>
      <c r="H368" s="23" t="s">
        <v>130</v>
      </c>
      <c r="I368" s="23" t="s">
        <v>165</v>
      </c>
      <c r="J368" s="59" t="s">
        <v>92</v>
      </c>
      <c r="K368" s="66">
        <f>IFERROR(INDEX(Input_ForRateCalc[],MATCH($C368&amp;" - "&amp;K$334,Input_ForRateCalc[[Cost item]:[Cost item]],0),MATCH($F368,Input_ForRateCalc[#Headers],0)),"-")</f>
        <v>3.8612000000000002</v>
      </c>
      <c r="L368" s="66">
        <f>IFERROR(INDEX(Input_ForRateCalc[],MATCH($C368&amp;" - "&amp;L$334,Input_ForRateCalc[[Cost item]:[Cost item]],0),MATCH($F368,Input_ForRateCalc[#Headers],0)),"-")</f>
        <v>2.09</v>
      </c>
      <c r="M368" s="66">
        <f>IFERROR(INDEX(Input_ForRateCalc[],MATCH($C368&amp;" - "&amp;M$334,Input_ForRateCalc[[Cost item]:[Cost item]],0),MATCH($F368,Input_ForRateCalc[#Headers],0)),"-")</f>
        <v>2.9159999999999999</v>
      </c>
      <c r="N368" s="66">
        <f>IFERROR(INDEX(Input_ForRateCalc[],MATCH($C368&amp;" - "&amp;N$334,Input_ForRateCalc[[Cost item]:[Cost item]],0),MATCH($F368,Input_ForRateCalc[#Headers],0)),"-")</f>
        <v>2.14</v>
      </c>
      <c r="O368" s="66">
        <f>IFERROR(INDEX(Input_ForRateCalc[],MATCH($C368&amp;" - "&amp;O$334,Input_ForRateCalc[[Cost item]:[Cost item]],0),MATCH($F368,Input_ForRateCalc[#Headers],0)),"-")</f>
        <v>1.73</v>
      </c>
    </row>
    <row r="369" spans="3:15" hidden="1" outlineLevel="2" x14ac:dyDescent="0.25">
      <c r="C369" s="59" t="s">
        <v>318</v>
      </c>
      <c r="D369" s="82" t="str">
        <f>INDEX(Input_DecisionActual[[Decision]:[Decision]],MATCH(Calc_TU_values!$D$235,Input_DecisionActual[[VDO period]:[VDO period]],0),1)</f>
        <v>VDO 2021 - Final</v>
      </c>
      <c r="E369" s="23" t="s">
        <v>587</v>
      </c>
      <c r="F369" s="82" t="str">
        <f>IF($D369="-","-",INDEX(Inputs!$H$10:$U$10,1,MATCH($D369,Inputs!$H$8:$U$8,0)))</f>
        <v>F-PreviousVDO_Input</v>
      </c>
      <c r="G369" s="125"/>
      <c r="H369" s="23" t="s">
        <v>130</v>
      </c>
      <c r="I369" s="23" t="s">
        <v>109</v>
      </c>
      <c r="J369" s="59" t="s">
        <v>92</v>
      </c>
      <c r="K369" s="67" cm="1">
        <f t="array" ref="K369">TUProp_CLLoad_2*SUM(
IFERROR(K368/100*INDEX(Input_Usage[#All],MATCH(Calc_TUV_Net_2[[#This Row],[Customer type]:[Customer type]]&amp;" - medium - controlled load",Input_Usage[[#All],[Ref]],0),MATCH($F369,Input_Usage[#Headers],0)),0))</f>
        <v>18.744422490539542</v>
      </c>
      <c r="L369" s="67" cm="1">
        <f t="array" ref="L369">TUProp_CLLoad_2*SUM(
IFERROR(L368/100*INDEX(Input_Usage[#All],MATCH(Calc_TUV_Net_2[[#This Row],[Customer type]:[Customer type]]&amp;" - medium - controlled load",Input_Usage[[#All],[Ref]],0),MATCH($F369,Input_Usage[#Headers],0)),0))</f>
        <v>10.146027920135616</v>
      </c>
      <c r="M369" s="67" cm="1">
        <f t="array" ref="M369">TUProp_CLLoad_2*SUM(
IFERROR(M368/100*INDEX(Input_Usage[#All],MATCH(Calc_TUV_Net_2[[#This Row],[Customer type]:[Customer type]]&amp;" - medium - controlled load",Input_Usage[[#All],[Ref]],0),MATCH($F369,Input_Usage[#Headers],0)),0))</f>
        <v>14.155893500055242</v>
      </c>
      <c r="N369" s="67" cm="1">
        <f t="array" ref="N369">TUProp_CLLoad_2*SUM(
IFERROR(N368/100*INDEX(Input_Usage[#All],MATCH(Calc_TUV_Net_2[[#This Row],[Customer type]:[Customer type]]&amp;" - medium - controlled load",Input_Usage[[#All],[Ref]],0),MATCH($F369,Input_Usage[#Headers],0)),0))</f>
        <v>10.388755860808718</v>
      </c>
      <c r="O369" s="67" cm="1">
        <f t="array" ref="O369">TUProp_CLLoad_2*SUM(
IFERROR(O368/100*INDEX(Input_Usage[#All],MATCH(Calc_TUV_Net_2[[#This Row],[Customer type]:[Customer type]]&amp;" - medium - controlled load",Input_Usage[[#All],[Ref]],0),MATCH($F369,Input_Usage[#Headers],0)),0))</f>
        <v>8.3983867472892904</v>
      </c>
    </row>
    <row r="370" spans="3:15" hidden="1" outlineLevel="2" x14ac:dyDescent="0.25">
      <c r="C370" s="59" t="s">
        <v>319</v>
      </c>
      <c r="D370" s="23"/>
      <c r="E370" s="23"/>
      <c r="F370" s="23"/>
      <c r="G370" s="23"/>
      <c r="H370" s="23" t="s">
        <v>130</v>
      </c>
      <c r="I370" s="23" t="s">
        <v>109</v>
      </c>
      <c r="J370" s="59" t="s">
        <v>92</v>
      </c>
      <c r="K370" s="65">
        <f>IF(K369=0,"-",K367-K369)</f>
        <v>1.9471635400796146</v>
      </c>
      <c r="L370" s="65">
        <f t="shared" ref="L370:O370" si="128">IF(L369=0,"-",L367-L369)</f>
        <v>1.8447323491155672</v>
      </c>
      <c r="M370" s="65">
        <f t="shared" si="128"/>
        <v>3.3156636695945565</v>
      </c>
      <c r="N370" s="65">
        <f t="shared" si="128"/>
        <v>1.2136397033655033</v>
      </c>
      <c r="O370" s="65">
        <f t="shared" si="128"/>
        <v>2.1360058779232869</v>
      </c>
    </row>
    <row r="371" spans="3:15" hidden="1" outlineLevel="2" x14ac:dyDescent="0.25">
      <c r="C371" s="59" t="s">
        <v>442</v>
      </c>
      <c r="D371" s="23"/>
      <c r="E371" s="23"/>
      <c r="F371" s="23"/>
      <c r="G371" s="23"/>
      <c r="H371" s="23" t="s">
        <v>130</v>
      </c>
      <c r="I371" s="23" t="s">
        <v>109</v>
      </c>
      <c r="J371" s="59" t="s">
        <v>92</v>
      </c>
      <c r="K371" s="66" t="str">
        <f>IF($D$311="Yes",K370*(1+WACC_adj_2),"")</f>
        <v/>
      </c>
      <c r="L371" s="66" t="str">
        <f>IF($D$311="Yes",L370*(1+WACC_adj_2),"")</f>
        <v/>
      </c>
      <c r="M371" s="66" t="str">
        <f>IF($D$311="Yes",M370*(1+WACC_adj_2),"")</f>
        <v/>
      </c>
      <c r="N371" s="66" t="str">
        <f>IF($D$311="Yes",N370*(1+WACC_adj_2),"")</f>
        <v/>
      </c>
      <c r="O371" s="66" t="str">
        <f>IF($D$311="Yes",O370*(1+WACC_adj_2),"")</f>
        <v/>
      </c>
    </row>
    <row r="372" spans="3:15" hidden="1" outlineLevel="2" x14ac:dyDescent="0.25">
      <c r="C372" s="59" t="s">
        <v>321</v>
      </c>
      <c r="D372" s="82" t="str">
        <f>INDEX(Input_DecisionActual[[Decision]:[Decision]],MATCH(Calc_TU_values!$D$235,Input_DecisionActual[[VDO period]:[VDO period]],0),1)</f>
        <v>VDO 2021 - Final</v>
      </c>
      <c r="E372" s="23" t="s">
        <v>587</v>
      </c>
      <c r="F372" s="82" t="str">
        <f>IF($D372="-","-",INDEX(Inputs!$H$10:$U$10,1,MATCH($D372,Inputs!$H$8:$U$8,0)))</f>
        <v>F-PreviousVDO_Input</v>
      </c>
      <c r="G372" s="23"/>
      <c r="H372" s="23" t="s">
        <v>130</v>
      </c>
      <c r="I372" s="23" t="s">
        <v>109</v>
      </c>
      <c r="J372" s="59" t="s">
        <v>92</v>
      </c>
      <c r="K372" s="66" cm="1">
        <f t="array" ref="K372">IFERROR(SUM(K370:K371)*(INDEX(Inputs!$H$11:$U$128,MATCH("Retail operating margin",Input_ForRateCalc[[Cost item]:[Cost item]],0),MATCH(Calc_TUV_Net_2[[#This Row],[Decision ref]:[Decision ref]],Inputs!$H$10:$U$10,0))),"-")</f>
        <v>0.11760867782080872</v>
      </c>
      <c r="L372" s="66" cm="1">
        <f t="array" ref="L372">IFERROR(SUM(L370:L371)*(INDEX(Inputs!$H$11:$U$128,MATCH("Retail operating margin",Input_ForRateCalc[[Cost item]:[Cost item]],0),MATCH(Calc_TUV_Net_2[[#This Row],[Decision ref]:[Decision ref]],Inputs!$H$10:$U$10,0))),"-")</f>
        <v>0.11142183388658027</v>
      </c>
      <c r="M372" s="66" cm="1">
        <f t="array" ref="M372">IFERROR(SUM(M370:M371)*(INDEX(Inputs!$H$11:$U$128,MATCH("Retail operating margin",Input_ForRateCalc[[Cost item]:[Cost item]],0),MATCH(Calc_TUV_Net_2[[#This Row],[Decision ref]:[Decision ref]],Inputs!$H$10:$U$10,0))),"-")</f>
        <v>0.20026608564351123</v>
      </c>
      <c r="N372" s="66" cm="1">
        <f t="array" ref="N372">IFERROR(SUM(N370:N371)*(INDEX(Inputs!$H$11:$U$128,MATCH("Retail operating margin",Input_ForRateCalc[[Cost item]:[Cost item]],0),MATCH(Calc_TUV_Net_2[[#This Row],[Decision ref]:[Decision ref]],Inputs!$H$10:$U$10,0))),"-")</f>
        <v>7.3303838083276396E-2</v>
      </c>
      <c r="O372" s="66" cm="1">
        <f t="array" ref="O372">IFERROR(SUM(O370:O371)*(INDEX(Inputs!$H$11:$U$128,MATCH("Retail operating margin",Input_ForRateCalc[[Cost item]:[Cost item]],0),MATCH(Calc_TUV_Net_2[[#This Row],[Decision ref]:[Decision ref]],Inputs!$H$10:$U$10,0))),"-")</f>
        <v>0.12901475502656654</v>
      </c>
    </row>
    <row r="373" spans="3:15" hidden="1" outlineLevel="2" x14ac:dyDescent="0.25">
      <c r="C373" s="59" t="s">
        <v>443</v>
      </c>
      <c r="D373" s="23"/>
      <c r="E373" s="23"/>
      <c r="F373" s="23"/>
      <c r="G373" s="23"/>
      <c r="H373" s="23" t="s">
        <v>130</v>
      </c>
      <c r="I373" s="23" t="s">
        <v>109</v>
      </c>
      <c r="J373" s="59" t="s">
        <v>92</v>
      </c>
      <c r="K373" s="66">
        <f>IF(K369=0,"-",SUM(K370:K372)*GST)</f>
        <v>0.20647722179004233</v>
      </c>
      <c r="L373" s="66">
        <f>IF(L369=0,"-",SUM(L370:L372)*GST)</f>
        <v>0.19561541830021476</v>
      </c>
      <c r="M373" s="66">
        <f>IF(M369=0,"-",SUM(M370:M372)*GST)</f>
        <v>0.35159297552380675</v>
      </c>
      <c r="N373" s="66">
        <f>IF(N369=0,"-",SUM(N370:N372)*GST)</f>
        <v>0.12869435414487798</v>
      </c>
      <c r="O373" s="66">
        <f>IF(O369=0,"-",SUM(O370:O372)*GST)</f>
        <v>0.22650206329498535</v>
      </c>
    </row>
    <row r="374" spans="3:15" hidden="1" outlineLevel="2" x14ac:dyDescent="0.25">
      <c r="C374" s="59" t="s">
        <v>640</v>
      </c>
      <c r="D374" s="116"/>
      <c r="E374" s="116"/>
      <c r="F374" s="116"/>
      <c r="H374" s="23" t="s">
        <v>130</v>
      </c>
      <c r="I374" s="23" t="s">
        <v>109</v>
      </c>
      <c r="J374" s="59" t="s">
        <v>92</v>
      </c>
      <c r="K374" s="66">
        <f>IF(K369=0,"-",SUM(K370:K373))</f>
        <v>2.2712494396904654</v>
      </c>
      <c r="L374" s="66">
        <f>IF(L369=0,"-",SUM(L370:L373))</f>
        <v>2.1517696013023619</v>
      </c>
      <c r="M374" s="66">
        <f>IF(M369=0,"-",SUM(M370:M373))</f>
        <v>3.8675227307618743</v>
      </c>
      <c r="N374" s="66">
        <f>IF(N369=0,"-",SUM(N370:N373))</f>
        <v>1.4156378955936577</v>
      </c>
      <c r="O374" s="66">
        <f>IF(O369=0,"-",SUM(O370:O373))</f>
        <v>2.4915226962448385</v>
      </c>
    </row>
    <row r="375" spans="3:15" hidden="1" outlineLevel="2" x14ac:dyDescent="0.25">
      <c r="C375" s="59"/>
      <c r="D375" s="125"/>
      <c r="E375" s="125"/>
      <c r="F375" s="125"/>
      <c r="G375" s="125"/>
      <c r="H375" s="125"/>
      <c r="I375" s="125"/>
      <c r="J375" s="125"/>
      <c r="K375" s="159"/>
      <c r="L375" s="159"/>
      <c r="M375" s="159"/>
      <c r="N375" s="159"/>
      <c r="O375" s="159"/>
    </row>
    <row r="376" spans="3:15" ht="15.75" hidden="1" outlineLevel="2" x14ac:dyDescent="0.25">
      <c r="C376" s="185" t="s">
        <v>526</v>
      </c>
      <c r="D376" s="23"/>
      <c r="E376" s="23"/>
      <c r="F376" s="23"/>
      <c r="G376" s="68" t="s">
        <v>639</v>
      </c>
      <c r="H376" s="23"/>
      <c r="I376" s="23"/>
      <c r="J376" s="23"/>
      <c r="K376" s="65"/>
      <c r="L376" s="23"/>
      <c r="M376" s="23"/>
      <c r="N376" s="23"/>
      <c r="O376" s="23"/>
    </row>
    <row r="377" spans="3:15" hidden="1" outlineLevel="2" x14ac:dyDescent="0.25">
      <c r="C377" s="57" t="s">
        <v>541</v>
      </c>
      <c r="D377" s="57"/>
      <c r="E377" s="57"/>
      <c r="F377" s="57"/>
      <c r="G377" s="68"/>
      <c r="H377" s="68"/>
      <c r="I377" s="23"/>
      <c r="J377" s="23"/>
      <c r="K377" s="65"/>
      <c r="L377" s="23"/>
      <c r="M377" s="23"/>
      <c r="N377" s="23"/>
      <c r="O377" s="23"/>
    </row>
    <row r="378" spans="3:15" hidden="1" outlineLevel="2" x14ac:dyDescent="0.25">
      <c r="C378" s="59" t="s">
        <v>521</v>
      </c>
      <c r="D378" s="82" t="str">
        <f>Calc_TU_values!$D$235</f>
        <v>VDO 2022 - Final</v>
      </c>
      <c r="E378" s="23" t="s">
        <v>586</v>
      </c>
      <c r="F378" s="82" t="str">
        <f>INDEX(Inputs!$H$10:$U$10,1,MATCH($D378,Inputs!$H$8:$U$8,0))</f>
        <v>F-CurrentVDO_Input</v>
      </c>
      <c r="G378" s="58"/>
      <c r="H378" s="23" t="s">
        <v>108</v>
      </c>
      <c r="I378" s="23" t="s">
        <v>109</v>
      </c>
      <c r="J378" s="59" t="s">
        <v>93</v>
      </c>
      <c r="K378" s="66" cm="1">
        <f t="array" ref="K378">IFERROR(INDEX(Input_ForRateCalc[],MATCH($C378&amp;" - "&amp;K$334,Input_ForRateCalc[[Cost item]:[Cost item]],0),MATCH(Calc_TUV_Net_2[[#This Row],[Decision ref]:[Decision ref]],Input_ForRateCalc[#Headers],0)),"-")*TUProp_Days_2</f>
        <v>18.873479452054795</v>
      </c>
      <c r="L378" s="66" cm="1">
        <f t="array" ref="L378">IFERROR(INDEX(Input_ForRateCalc[],MATCH($C378&amp;" - "&amp;L$334,Input_ForRateCalc[[Cost item]:[Cost item]],0),MATCH(Calc_TUV_Net_2[[#This Row],[Decision ref]:[Decision ref]],Input_ForRateCalc[#Headers],0)),"-")*TUProp_Days_2</f>
        <v>27.180799999999998</v>
      </c>
      <c r="M378" s="66" cm="1">
        <f t="array" ref="M378">IFERROR(INDEX(Input_ForRateCalc[],MATCH($C378&amp;" - "&amp;M$334,Input_ForRateCalc[[Cost item]:[Cost item]],0),MATCH(Calc_TUV_Net_2[[#This Row],[Decision ref]:[Decision ref]],Input_ForRateCalc[#Headers],0)),"-")*TUProp_Days_2</f>
        <v>22.840800000000002</v>
      </c>
      <c r="N378" s="66" cm="1">
        <f t="array" ref="N378">IFERROR(INDEX(Input_ForRateCalc[],MATCH($C378&amp;" - "&amp;N$334,Input_ForRateCalc[[Cost item]:[Cost item]],0),MATCH(Calc_TUV_Net_2[[#This Row],[Decision ref]:[Decision ref]],Input_ForRateCalc[#Headers],0)),"-")*TUProp_Days_2</f>
        <v>30.572200000000002</v>
      </c>
      <c r="O378" s="66" cm="1">
        <f t="array" ref="O378">IFERROR(INDEX(Input_ForRateCalc[],MATCH($C378&amp;" - "&amp;O$334,Input_ForRateCalc[[Cost item]:[Cost item]],0),MATCH(Calc_TUV_Net_2[[#This Row],[Decision ref]:[Decision ref]],Input_ForRateCalc[#Headers],0)),"-")*TUProp_Days_2</f>
        <v>20.385599999999997</v>
      </c>
    </row>
    <row r="379" spans="3:15" hidden="1" outlineLevel="2" x14ac:dyDescent="0.25">
      <c r="C379" s="59" t="s">
        <v>275</v>
      </c>
      <c r="D379" s="82" t="str">
        <f>Calc_TU_values!$D$235</f>
        <v>VDO 2022 - Final</v>
      </c>
      <c r="E379" s="23" t="s">
        <v>586</v>
      </c>
      <c r="F379" s="82" t="str">
        <f>INDEX(Inputs!$H$10:$U$10,1,MATCH($D379,Inputs!$H$8:$U$8,0))</f>
        <v>F-CurrentVDO_Input</v>
      </c>
      <c r="G379" s="58"/>
      <c r="H379" s="23" t="s">
        <v>108</v>
      </c>
      <c r="I379" s="23" t="s">
        <v>109</v>
      </c>
      <c r="J379" s="59" t="s">
        <v>93</v>
      </c>
      <c r="K379" s="66" cm="1">
        <f t="array" ref="K379">IFERROR(INDEX(Input_ForRateCalc[],MATCH($C379&amp;" - "&amp;K$334,Input_ForRateCalc[[Cost item]:[Cost item]],0),MATCH(Calc_TUV_Net_2[[#This Row],[Decision ref]:[Decision ref]],Input_ForRateCalc[#Headers],0)),"-")*TUProp_Days_2</f>
        <v>10.82027397260274</v>
      </c>
      <c r="L379" s="66" cm="1">
        <f t="array" ref="L379">IFERROR(INDEX(Input_ForRateCalc[],MATCH($C379&amp;" - "&amp;L$334,Input_ForRateCalc[[Cost item]:[Cost item]],0),MATCH(Calc_TUV_Net_2[[#This Row],[Decision ref]:[Decision ref]],Input_ForRateCalc[#Headers],0)),"-")*TUProp_Days_2</f>
        <v>10.089863013698629</v>
      </c>
      <c r="M379" s="66" cm="1">
        <f t="array" ref="M379">IFERROR(INDEX(Input_ForRateCalc[],MATCH($C379&amp;" - "&amp;M$334,Input_ForRateCalc[[Cost item]:[Cost item]],0),MATCH(Calc_TUV_Net_2[[#This Row],[Decision ref]:[Decision ref]],Input_ForRateCalc[#Headers],0)),"-")*TUProp_Days_2</f>
        <v>9.2048767123287671</v>
      </c>
      <c r="N379" s="66" cm="1">
        <f t="array" ref="N379">IFERROR(INDEX(Input_ForRateCalc[],MATCH($C379&amp;" - "&amp;N$334,Input_ForRateCalc[[Cost item]:[Cost item]],0),MATCH(Calc_TUV_Net_2[[#This Row],[Decision ref]:[Decision ref]],Input_ForRateCalc[#Headers],0)),"-")*TUProp_Days_2</f>
        <v>9.8520547945205479</v>
      </c>
      <c r="O379" s="66" cm="1">
        <f t="array" ref="O379">IFERROR(INDEX(Input_ForRateCalc[],MATCH($C379&amp;" - "&amp;O$334,Input_ForRateCalc[[Cost item]:[Cost item]],0),MATCH(Calc_TUV_Net_2[[#This Row],[Decision ref]:[Decision ref]],Input_ForRateCalc[#Headers],0)),"-")*TUProp_Days_2</f>
        <v>7.2905205479452055</v>
      </c>
    </row>
    <row r="380" spans="3:15" hidden="1" outlineLevel="2" x14ac:dyDescent="0.25">
      <c r="C380" s="59" t="s">
        <v>318</v>
      </c>
      <c r="D380" s="82" t="str">
        <f>Calc_TU_values!$D$235</f>
        <v>VDO 2022 - Final</v>
      </c>
      <c r="E380" s="23" t="s">
        <v>586</v>
      </c>
      <c r="F380" s="82" t="str">
        <f>INDEX(Inputs!$H$10:$U$10,1,MATCH($D380,Inputs!$H$8:$U$8,0))</f>
        <v>F-CurrentVDO_Input</v>
      </c>
      <c r="G380" s="58"/>
      <c r="H380" s="23" t="s">
        <v>108</v>
      </c>
      <c r="I380" s="23" t="s">
        <v>109</v>
      </c>
      <c r="J380" s="59" t="s">
        <v>93</v>
      </c>
      <c r="K380" s="64">
        <f>IFERROR(SUM(K378:K379),"-")</f>
        <v>29.693753424657537</v>
      </c>
      <c r="L380" s="64">
        <f>IFERROR(SUM(L378:L379),"-")</f>
        <v>37.270663013698623</v>
      </c>
      <c r="M380" s="64">
        <f>IFERROR(SUM(M378:M379),"-")</f>
        <v>32.04567671232877</v>
      </c>
      <c r="N380" s="64">
        <f>IFERROR(SUM(N378:N379),"-")</f>
        <v>40.42425479452055</v>
      </c>
      <c r="O380" s="64">
        <f>IFERROR(SUM(O378:O379),"-")</f>
        <v>27.676120547945203</v>
      </c>
    </row>
    <row r="381" spans="3:15" hidden="1" outlineLevel="2" x14ac:dyDescent="0.25">
      <c r="C381" s="59" t="s">
        <v>521</v>
      </c>
      <c r="D381" s="82" t="str">
        <f>INDEX(Input_DecisionActual[[Decision]:[Decision]],MATCH(Calc_TU_values!$D$235,Input_DecisionActual[[VDO period]:[VDO period]],0),1)</f>
        <v>VDO 2021 - Final</v>
      </c>
      <c r="E381" s="23" t="s">
        <v>587</v>
      </c>
      <c r="F381" s="82" t="str">
        <f>IF($D381="-","-",INDEX(Inputs!$H$10:$U$10,1,MATCH($D381,Inputs!$H$8:$U$8,0)))</f>
        <v>F-PreviousVDO_Input</v>
      </c>
      <c r="G381" s="58"/>
      <c r="H381" s="23" t="s">
        <v>108</v>
      </c>
      <c r="I381" s="23" t="s">
        <v>109</v>
      </c>
      <c r="J381" s="59" t="s">
        <v>93</v>
      </c>
      <c r="K381" s="66" cm="1">
        <f t="array" ref="K381">IFERROR(INDEX(Input_ForRateCalc[],MATCH($C381&amp;" - "&amp;K$334,Input_ForRateCalc[[Cost item]:[Cost item]],0),MATCH(Calc_TUV_Net_2[[#This Row],[Decision ref]:[Decision ref]],Input_ForRateCalc[#Headers],0)),"-")*TUProp_Days_2</f>
        <v>18.005479452054793</v>
      </c>
      <c r="L381" s="66" cm="1">
        <f t="array" ref="L381">IFERROR(INDEX(Input_ForRateCalc[],MATCH($C381&amp;" - "&amp;L$334,Input_ForRateCalc[[Cost item]:[Cost item]],0),MATCH(Calc_TUV_Net_2[[#This Row],[Decision ref]:[Decision ref]],Input_ForRateCalc[#Headers],0)),"-")*TUProp_Days_2</f>
        <v>27.17808219178082</v>
      </c>
      <c r="M381" s="66" cm="1">
        <f t="array" ref="M381">IFERROR(INDEX(Input_ForRateCalc[],MATCH($C381&amp;" - "&amp;M$334,Input_ForRateCalc[[Cost item]:[Cost item]],0),MATCH(Calc_TUV_Net_2[[#This Row],[Decision ref]:[Decision ref]],Input_ForRateCalc[#Headers],0)),"-")*TUProp_Days_2</f>
        <v>20.169704109589041</v>
      </c>
      <c r="N381" s="66" cm="1">
        <f t="array" ref="N381">IFERROR(INDEX(Input_ForRateCalc[],MATCH($C381&amp;" - "&amp;N$334,Input_ForRateCalc[[Cost item]:[Cost item]],0),MATCH(Calc_TUV_Net_2[[#This Row],[Decision ref]:[Decision ref]],Input_ForRateCalc[#Headers],0)),"-")*TUProp_Days_2</f>
        <v>30.575342465753423</v>
      </c>
      <c r="O381" s="66" cm="1">
        <f t="array" ref="O381">IFERROR(INDEX(Input_ForRateCalc[],MATCH($C381&amp;" - "&amp;O$334,Input_ForRateCalc[[Cost item]:[Cost item]],0),MATCH(Calc_TUV_Net_2[[#This Row],[Decision ref]:[Decision ref]],Input_ForRateCalc[#Headers],0)),"-")*TUProp_Days_2</f>
        <v>13.565599999999998</v>
      </c>
    </row>
    <row r="382" spans="3:15" hidden="1" outlineLevel="2" x14ac:dyDescent="0.25">
      <c r="C382" s="59" t="s">
        <v>275</v>
      </c>
      <c r="D382" s="82" t="str">
        <f>INDEX(Input_DecisionActual[[Decision]:[Decision]],MATCH(Calc_TU_values!$D$235,Input_DecisionActual[[VDO period]:[VDO period]],0),1)</f>
        <v>VDO 2021 - Final</v>
      </c>
      <c r="E382" s="23" t="s">
        <v>587</v>
      </c>
      <c r="F382" s="82" t="str">
        <f>IF($D382="-","-",INDEX(Inputs!$H$10:$U$10,1,MATCH($D382,Inputs!$H$8:$U$8,0)))</f>
        <v>F-PreviousVDO_Input</v>
      </c>
      <c r="G382" s="58"/>
      <c r="H382" s="23" t="s">
        <v>108</v>
      </c>
      <c r="I382" s="23" t="s">
        <v>109</v>
      </c>
      <c r="J382" s="59" t="s">
        <v>93</v>
      </c>
      <c r="K382" s="66" cm="1">
        <f t="array" ref="K382">IFERROR(INDEX(Input_ForRateCalc[],MATCH($C382&amp;" - "&amp;K$334,Input_ForRateCalc[[Cost item]:[Cost item]],0),MATCH(Calc_TUV_Net_2[[#This Row],[Decision ref]:[Decision ref]],Input_ForRateCalc[#Headers],0)),"-")*TUProp_Days_2</f>
        <v>10.123835616438356</v>
      </c>
      <c r="L382" s="66" cm="1">
        <f t="array" ref="L382">IFERROR(INDEX(Input_ForRateCalc[],MATCH($C382&amp;" - "&amp;L$334,Input_ForRateCalc[[Cost item]:[Cost item]],0),MATCH(Calc_TUV_Net_2[[#This Row],[Decision ref]:[Decision ref]],Input_ForRateCalc[#Headers],0)),"-")*TUProp_Days_2</f>
        <v>11.176986301369862</v>
      </c>
      <c r="M382" s="66" cm="1">
        <f t="array" ref="M382">IFERROR(INDEX(Input_ForRateCalc[],MATCH($C382&amp;" - "&amp;M$334,Input_ForRateCalc[[Cost item]:[Cost item]],0),MATCH(Calc_TUV_Net_2[[#This Row],[Decision ref]:[Decision ref]],Input_ForRateCalc[#Headers],0)),"-")*TUProp_Days_2</f>
        <v>11.258520547945205</v>
      </c>
      <c r="N382" s="66" cm="1">
        <f t="array" ref="N382">IFERROR(INDEX(Input_ForRateCalc[],MATCH($C382&amp;" - "&amp;N$334,Input_ForRateCalc[[Cost item]:[Cost item]],0),MATCH(Calc_TUV_Net_2[[#This Row],[Decision ref]:[Decision ref]],Input_ForRateCalc[#Headers],0)),"-")*TUProp_Days_2</f>
        <v>11.126027397260273</v>
      </c>
      <c r="O382" s="66" cm="1">
        <f t="array" ref="O382">IFERROR(INDEX(Input_ForRateCalc[],MATCH($C382&amp;" - "&amp;O$334,Input_ForRateCalc[[Cost item]:[Cost item]],0),MATCH(Calc_TUV_Net_2[[#This Row],[Decision ref]:[Decision ref]],Input_ForRateCalc[#Headers],0)),"-")*TUProp_Days_2</f>
        <v>8.2927123287671236</v>
      </c>
    </row>
    <row r="383" spans="3:15" hidden="1" outlineLevel="2" x14ac:dyDescent="0.25">
      <c r="C383" s="59" t="s">
        <v>318</v>
      </c>
      <c r="D383" s="82" t="str">
        <f>INDEX(Input_DecisionActual[[Decision]:[Decision]],MATCH(Calc_TU_values!$D$235,Input_DecisionActual[[VDO period]:[VDO period]],0),1)</f>
        <v>VDO 2021 - Final</v>
      </c>
      <c r="E383" s="23" t="s">
        <v>587</v>
      </c>
      <c r="F383" s="82" t="str">
        <f>IF($D383="-","-",INDEX(Inputs!$H$10:$U$10,1,MATCH($D383,Inputs!$H$8:$U$8,0)))</f>
        <v>F-PreviousVDO_Input</v>
      </c>
      <c r="G383" s="58"/>
      <c r="H383" s="23" t="s">
        <v>108</v>
      </c>
      <c r="I383" s="23" t="s">
        <v>109</v>
      </c>
      <c r="J383" s="59" t="s">
        <v>93</v>
      </c>
      <c r="K383" s="65">
        <f>SUM(K381:K382)</f>
        <v>28.129315068493149</v>
      </c>
      <c r="L383" s="65">
        <f>SUM(L381:L382)</f>
        <v>38.355068493150682</v>
      </c>
      <c r="M383" s="65">
        <f>SUM(M381:M382)</f>
        <v>31.428224657534244</v>
      </c>
      <c r="N383" s="65">
        <f>SUM(N381:N382)</f>
        <v>41.701369863013696</v>
      </c>
      <c r="O383" s="65">
        <f>SUM(O381:O382)</f>
        <v>21.85831232876712</v>
      </c>
    </row>
    <row r="384" spans="3:15" hidden="1" outlineLevel="2" x14ac:dyDescent="0.25">
      <c r="C384" s="59" t="s">
        <v>319</v>
      </c>
      <c r="D384" s="23"/>
      <c r="E384" s="23"/>
      <c r="F384" s="23"/>
      <c r="G384" s="59"/>
      <c r="H384" s="23" t="s">
        <v>108</v>
      </c>
      <c r="I384" s="23" t="s">
        <v>109</v>
      </c>
      <c r="J384" s="59" t="s">
        <v>93</v>
      </c>
      <c r="K384" s="65">
        <f>IF(K383=0,"-",K380-K383)</f>
        <v>1.5644383561643878</v>
      </c>
      <c r="L384" s="65">
        <f t="shared" ref="L384:O384" si="129">IF(L383=0,"-",L380-L383)</f>
        <v>-1.0844054794520588</v>
      </c>
      <c r="M384" s="65">
        <f t="shared" si="129"/>
        <v>0.61745205479452636</v>
      </c>
      <c r="N384" s="65">
        <f t="shared" si="129"/>
        <v>-1.2771150684931456</v>
      </c>
      <c r="O384" s="65">
        <f t="shared" si="129"/>
        <v>5.8178082191780831</v>
      </c>
    </row>
    <row r="385" spans="3:15" hidden="1" outlineLevel="2" x14ac:dyDescent="0.25">
      <c r="C385" s="59" t="s">
        <v>442</v>
      </c>
      <c r="D385" s="23"/>
      <c r="E385" s="23"/>
      <c r="F385" s="23"/>
      <c r="G385" s="59"/>
      <c r="H385" s="23" t="s">
        <v>108</v>
      </c>
      <c r="I385" s="23" t="s">
        <v>109</v>
      </c>
      <c r="J385" s="59" t="s">
        <v>93</v>
      </c>
      <c r="K385" s="66" t="str">
        <f>IFERROR(IF($D$311="Yes",K384*(1+WACC_adj_2),""),"-")</f>
        <v/>
      </c>
      <c r="L385" s="66" t="str">
        <f>IFERROR(IF($D$311="Yes",L384*(1+WACC_adj_2),""),"-")</f>
        <v/>
      </c>
      <c r="M385" s="66" t="str">
        <f>IFERROR(IF($D$311="Yes",M384*(1+WACC_adj_2),""),"-")</f>
        <v/>
      </c>
      <c r="N385" s="66" t="str">
        <f>IFERROR(IF($D$311="Yes",N384*(1+WACC_adj_2),""),"-")</f>
        <v/>
      </c>
      <c r="O385" s="66" t="str">
        <f>IFERROR(IF($D$311="Yes",O384*(1+WACC_adj_2),""),"-")</f>
        <v/>
      </c>
    </row>
    <row r="386" spans="3:15" hidden="1" outlineLevel="2" x14ac:dyDescent="0.25">
      <c r="C386" s="59" t="s">
        <v>321</v>
      </c>
      <c r="D386" s="82" t="str">
        <f>INDEX(Input_DecisionActual[[Decision]:[Decision]],MATCH(Calc_TU_values!$D$235,Input_DecisionActual[[VDO period]:[VDO period]],0),1)</f>
        <v>VDO 2021 - Final</v>
      </c>
      <c r="E386" s="23" t="s">
        <v>587</v>
      </c>
      <c r="F386" s="82" t="str">
        <f>IF($D386="-","-",INDEX(Inputs!$H$10:$U$10,1,MATCH($D386,Inputs!$H$8:$U$8,0)))</f>
        <v>F-PreviousVDO_Input</v>
      </c>
      <c r="G386" s="59"/>
      <c r="H386" s="23" t="s">
        <v>108</v>
      </c>
      <c r="I386" s="23" t="s">
        <v>109</v>
      </c>
      <c r="J386" s="59" t="s">
        <v>93</v>
      </c>
      <c r="K386" s="66" cm="1">
        <f t="array" ref="K386">IFERROR(SUM(K384:K385)*(INDEX(Inputs!$H$11:$U$128,MATCH("Retail operating margin",Input_ForRateCalc[[Cost item]:[Cost item]],0),MATCH(Calc_TUV_Net_2[[#This Row],[Decision ref]:[Decision ref]],Inputs!$H$10:$U$10,0))),"-")</f>
        <v>9.4492076712329023E-2</v>
      </c>
      <c r="L386" s="66" cm="1">
        <f t="array" ref="L386">IFERROR(SUM(L384:L385)*(INDEX(Inputs!$H$11:$U$128,MATCH("Retail operating margin",Input_ForRateCalc[[Cost item]:[Cost item]],0),MATCH(Calc_TUV_Net_2[[#This Row],[Decision ref]:[Decision ref]],Inputs!$H$10:$U$10,0))),"-")</f>
        <v>-6.5498090958904354E-2</v>
      </c>
      <c r="M386" s="66" cm="1">
        <f t="array" ref="M386">IFERROR(SUM(M384:M385)*(INDEX(Inputs!$H$11:$U$128,MATCH("Retail operating margin",Input_ForRateCalc[[Cost item]:[Cost item]],0),MATCH(Calc_TUV_Net_2[[#This Row],[Decision ref]:[Decision ref]],Inputs!$H$10:$U$10,0))),"-")</f>
        <v>3.7294104109589395E-2</v>
      </c>
      <c r="N386" s="66" cm="1">
        <f t="array" ref="N386">IFERROR(SUM(N384:N385)*(INDEX(Inputs!$H$11:$U$128,MATCH("Retail operating margin",Input_ForRateCalc[[Cost item]:[Cost item]],0),MATCH(Calc_TUV_Net_2[[#This Row],[Decision ref]:[Decision ref]],Inputs!$H$10:$U$10,0))),"-")</f>
        <v>-7.7137750136985997E-2</v>
      </c>
      <c r="O386" s="66" cm="1">
        <f t="array" ref="O386">IFERROR(SUM(O384:O385)*(INDEX(Inputs!$H$11:$U$128,MATCH("Retail operating margin",Input_ForRateCalc[[Cost item]:[Cost item]],0),MATCH(Calc_TUV_Net_2[[#This Row],[Decision ref]:[Decision ref]],Inputs!$H$10:$U$10,0))),"-")</f>
        <v>0.35139561643835621</v>
      </c>
    </row>
    <row r="387" spans="3:15" hidden="1" outlineLevel="2" x14ac:dyDescent="0.25">
      <c r="C387" s="59" t="s">
        <v>443</v>
      </c>
      <c r="D387" s="23"/>
      <c r="E387" s="23"/>
      <c r="F387" s="23"/>
      <c r="G387" s="59"/>
      <c r="H387" s="23" t="s">
        <v>108</v>
      </c>
      <c r="I387" s="23" t="s">
        <v>109</v>
      </c>
      <c r="J387" s="59" t="s">
        <v>93</v>
      </c>
      <c r="K387" s="66">
        <f>IF(K383=0,"-",SUM(K384:K386)*GST)</f>
        <v>0.16589304328767168</v>
      </c>
      <c r="L387" s="66">
        <f>IF(L383=0,"-",SUM(L384:L386)*GST)</f>
        <v>-0.11499035704109631</v>
      </c>
      <c r="M387" s="66">
        <f>IF(M383=0,"-",SUM(M384:M386)*GST)</f>
        <v>6.5474615890411578E-2</v>
      </c>
      <c r="N387" s="66">
        <f>IF(N383=0,"-",SUM(N384:N386)*GST)</f>
        <v>-0.13542528186301317</v>
      </c>
      <c r="O387" s="66">
        <f>IF(O383=0,"-",SUM(O384:O386)*GST)</f>
        <v>0.61692038356164403</v>
      </c>
    </row>
    <row r="388" spans="3:15" hidden="1" outlineLevel="2" x14ac:dyDescent="0.25">
      <c r="C388" s="23" t="s">
        <v>535</v>
      </c>
      <c r="D388" s="23"/>
      <c r="E388" s="23"/>
      <c r="F388" s="23"/>
      <c r="G388" s="59"/>
      <c r="H388" s="23" t="s">
        <v>108</v>
      </c>
      <c r="I388" s="23" t="s">
        <v>109</v>
      </c>
      <c r="J388" s="59" t="s">
        <v>93</v>
      </c>
      <c r="K388" s="66">
        <f>IF(K383=0,"-",SUM(K384:K387))</f>
        <v>1.8248234761643884</v>
      </c>
      <c r="L388" s="66">
        <f>IF(L383=0,"-",SUM(L384:L387))</f>
        <v>-1.2648939274520594</v>
      </c>
      <c r="M388" s="66">
        <f>IF(M383=0,"-",SUM(M384:M387))</f>
        <v>0.7202207747945274</v>
      </c>
      <c r="N388" s="66">
        <f>IF(N383=0,"-",SUM(N384:N387))</f>
        <v>-1.489678100493145</v>
      </c>
      <c r="O388" s="66">
        <f>IF(O383=0,"-",SUM(O384:O387))</f>
        <v>6.7861242191780837</v>
      </c>
    </row>
    <row r="389" spans="3:15" hidden="1" outlineLevel="2" x14ac:dyDescent="0.25">
      <c r="C389" s="59"/>
      <c r="D389" s="59"/>
      <c r="E389" s="59"/>
      <c r="F389" s="59"/>
      <c r="H389" s="59"/>
      <c r="I389" s="23"/>
      <c r="J389" s="23"/>
      <c r="K389" s="129"/>
      <c r="L389" s="129"/>
      <c r="M389" s="129"/>
      <c r="N389" s="129"/>
      <c r="O389" s="129"/>
    </row>
    <row r="390" spans="3:15" hidden="1" outlineLevel="2" x14ac:dyDescent="0.25">
      <c r="C390" s="57" t="s">
        <v>542</v>
      </c>
      <c r="D390" s="59"/>
      <c r="E390" s="59"/>
      <c r="F390" s="59"/>
      <c r="G390" s="68"/>
      <c r="H390" s="59"/>
      <c r="I390" s="23"/>
      <c r="J390" s="59"/>
      <c r="K390" s="129"/>
      <c r="L390" s="129"/>
      <c r="M390" s="129"/>
      <c r="N390" s="129"/>
      <c r="O390" s="129"/>
    </row>
    <row r="391" spans="3:15" hidden="1" outlineLevel="2" x14ac:dyDescent="0.25">
      <c r="C391" s="59" t="s">
        <v>522</v>
      </c>
      <c r="D391" s="82" t="str">
        <f>Calc_TU_values!$D$235</f>
        <v>VDO 2022 - Final</v>
      </c>
      <c r="E391" s="23" t="s">
        <v>586</v>
      </c>
      <c r="F391" s="82" t="str">
        <f>INDEX(Inputs!$H$10:$U$10,1,MATCH($D391,Inputs!$H$8:$U$8,0))</f>
        <v>F-CurrentVDO_Input</v>
      </c>
      <c r="G391" s="59"/>
      <c r="H391" s="23" t="s">
        <v>130</v>
      </c>
      <c r="I391" s="23" t="s">
        <v>165</v>
      </c>
      <c r="J391" s="59" t="s">
        <v>93</v>
      </c>
      <c r="K391" s="66" cm="1">
        <f t="array" ref="K391">IFERROR(INDEX(Input_ForRateCalc[],MATCH($C391&amp;" - "&amp;K$334,Input_ForRateCalc[[Cost item]:[Cost item]],0),MATCH(Calc_TUV_Net_2[[#This Row],[Decision ref]:[Decision ref]],Input_ForRateCalc[#Headers],0)),"-")</f>
        <v>15.538600000000001</v>
      </c>
      <c r="L391" s="66" t="str" cm="1">
        <f t="array" ref="L391">IFERROR(INDEX(Input_ForRateCalc[],MATCH($C391&amp;" - "&amp;L$334,Input_ForRateCalc[[Cost item]:[Cost item]],0),MATCH(Calc_TUV_Net_2[[#This Row],[Decision ref]:[Decision ref]],Input_ForRateCalc[#Headers],0)),"-")</f>
        <v>-</v>
      </c>
      <c r="M391" s="66" t="str" cm="1">
        <f t="array" ref="M391">IFERROR(INDEX(Input_ForRateCalc[],MATCH($C391&amp;" - "&amp;M$334,Input_ForRateCalc[[Cost item]:[Cost item]],0),MATCH(Calc_TUV_Net_2[[#This Row],[Decision ref]:[Decision ref]],Input_ForRateCalc[#Headers],0)),"-")</f>
        <v>-</v>
      </c>
      <c r="N391" s="66" t="str" cm="1">
        <f t="array" ref="N391">IFERROR(INDEX(Input_ForRateCalc[],MATCH($C391&amp;" - "&amp;N$334,Input_ForRateCalc[[Cost item]:[Cost item]],0),MATCH(Calc_TUV_Net_2[[#This Row],[Decision ref]:[Decision ref]],Input_ForRateCalc[#Headers],0)),"-")</f>
        <v>-</v>
      </c>
      <c r="O391" s="66" t="str" cm="1">
        <f t="array" ref="O391">IFERROR(INDEX(Input_ForRateCalc[],MATCH($C391&amp;" - "&amp;O$334,Input_ForRateCalc[[Cost item]:[Cost item]],0),MATCH(Calc_TUV_Net_2[[#This Row],[Decision ref]:[Decision ref]],Input_ForRateCalc[#Headers],0)),"-")</f>
        <v>-</v>
      </c>
    </row>
    <row r="392" spans="3:15" hidden="1" outlineLevel="2" x14ac:dyDescent="0.25">
      <c r="C392" s="59" t="s">
        <v>523</v>
      </c>
      <c r="D392" s="82" t="str">
        <f>Calc_TU_values!$D$235</f>
        <v>VDO 2022 - Final</v>
      </c>
      <c r="E392" s="23" t="s">
        <v>586</v>
      </c>
      <c r="F392" s="82" t="str">
        <f>INDEX(Inputs!$H$10:$U$10,1,MATCH($D392,Inputs!$H$8:$U$8,0))</f>
        <v>F-CurrentVDO_Input</v>
      </c>
      <c r="G392" s="68"/>
      <c r="H392" s="23" t="s">
        <v>130</v>
      </c>
      <c r="I392" s="23" t="s">
        <v>165</v>
      </c>
      <c r="J392" s="59" t="s">
        <v>93</v>
      </c>
      <c r="K392" s="66" cm="1">
        <f t="array" ref="K392">IFERROR(INDEX(Input_ForRateCalc[],MATCH($C392&amp;" - "&amp;K$334,Input_ForRateCalc[[Cost item]:[Cost item]],0),MATCH(Calc_TUV_Net_2[[#This Row],[Decision ref]:[Decision ref]],Input_ForRateCalc[#Headers],0)),"-")</f>
        <v>18.2667</v>
      </c>
      <c r="L392" s="66" t="str" cm="1">
        <f t="array" ref="L392">IFERROR(INDEX(Input_ForRateCalc[],MATCH($C392&amp;" - "&amp;L$334,Input_ForRateCalc[[Cost item]:[Cost item]],0),MATCH(Calc_TUV_Net_2[[#This Row],[Decision ref]:[Decision ref]],Input_ForRateCalc[#Headers],0)),"-")</f>
        <v>-</v>
      </c>
      <c r="M392" s="66" t="str" cm="1">
        <f t="array" ref="M392">IFERROR(INDEX(Input_ForRateCalc[],MATCH($C392&amp;" - "&amp;M$334,Input_ForRateCalc[[Cost item]:[Cost item]],0),MATCH(Calc_TUV_Net_2[[#This Row],[Decision ref]:[Decision ref]],Input_ForRateCalc[#Headers],0)),"-")</f>
        <v>-</v>
      </c>
      <c r="N392" s="66" t="str" cm="1">
        <f t="array" ref="N392">IFERROR(INDEX(Input_ForRateCalc[],MATCH($C392&amp;" - "&amp;N$334,Input_ForRateCalc[[Cost item]:[Cost item]],0),MATCH(Calc_TUV_Net_2[[#This Row],[Decision ref]:[Decision ref]],Input_ForRateCalc[#Headers],0)),"-")</f>
        <v>-</v>
      </c>
      <c r="O392" s="66" t="str" cm="1">
        <f t="array" ref="O392">IFERROR(INDEX(Input_ForRateCalc[],MATCH($C392&amp;" - "&amp;O$334,Input_ForRateCalc[[Cost item]:[Cost item]],0),MATCH(Calc_TUV_Net_2[[#This Row],[Decision ref]:[Decision ref]],Input_ForRateCalc[#Headers],0)),"-")</f>
        <v>-</v>
      </c>
    </row>
    <row r="393" spans="3:15" hidden="1" outlineLevel="2" x14ac:dyDescent="0.25">
      <c r="C393" s="59" t="s">
        <v>524</v>
      </c>
      <c r="D393" s="82" t="str">
        <f>Calc_TU_values!$D$235</f>
        <v>VDO 2022 - Final</v>
      </c>
      <c r="E393" s="23" t="s">
        <v>586</v>
      </c>
      <c r="F393" s="82" t="str">
        <f>INDEX(Inputs!$H$10:$U$10,1,MATCH($D393,Inputs!$H$8:$U$8,0))</f>
        <v>F-CurrentVDO_Input</v>
      </c>
      <c r="G393" s="58"/>
      <c r="H393" s="23" t="s">
        <v>130</v>
      </c>
      <c r="I393" s="23" t="s">
        <v>165</v>
      </c>
      <c r="J393" s="59" t="s">
        <v>93</v>
      </c>
      <c r="K393" s="66" t="str" cm="1">
        <f t="array" ref="K393">IFERROR(INDEX(Input_ForRateCalc[],MATCH($C393&amp;" - "&amp;K$334,Input_ForRateCalc[[Cost item]:[Cost item]],0),MATCH(Calc_TUV_Net_2[[#This Row],[Decision ref]:[Decision ref]],Input_ForRateCalc[#Headers],0)),"-")</f>
        <v>-</v>
      </c>
      <c r="L393" s="66" cm="1">
        <f t="array" ref="L393">IFERROR(INDEX(Input_ForRateCalc[],MATCH($C393&amp;" - "&amp;L$334,Input_ForRateCalc[[Cost item]:[Cost item]],0),MATCH(Calc_TUV_Net_2[[#This Row],[Decision ref]:[Decision ref]],Input_ForRateCalc[#Headers],0)),"-")</f>
        <v>8.2100000000000009</v>
      </c>
      <c r="M393" s="66" cm="1">
        <f t="array" ref="M393">IFERROR(INDEX(Input_ForRateCalc[],MATCH($C393&amp;" - "&amp;M$334,Input_ForRateCalc[[Cost item]:[Cost item]],0),MATCH(Calc_TUV_Net_2[[#This Row],[Decision ref]:[Decision ref]],Input_ForRateCalc[#Headers],0)),"-")</f>
        <v>10.973000000000001</v>
      </c>
      <c r="N393" s="66" cm="1">
        <f t="array" ref="N393">IFERROR(INDEX(Input_ForRateCalc[],MATCH($C393&amp;" - "&amp;N$334,Input_ForRateCalc[[Cost item]:[Cost item]],0),MATCH(Calc_TUV_Net_2[[#This Row],[Decision ref]:[Decision ref]],Input_ForRateCalc[#Headers],0)),"-")</f>
        <v>9.2899999999999991</v>
      </c>
      <c r="O393" s="66" cm="1">
        <f t="array" ref="O393">IFERROR(INDEX(Input_ForRateCalc[],MATCH($C393&amp;" - "&amp;O$334,Input_ForRateCalc[[Cost item]:[Cost item]],0),MATCH(Calc_TUV_Net_2[[#This Row],[Decision ref]:[Decision ref]],Input_ForRateCalc[#Headers],0)),"-")</f>
        <v>8.7899999999999991</v>
      </c>
    </row>
    <row r="394" spans="3:15" hidden="1" outlineLevel="2" x14ac:dyDescent="0.25">
      <c r="C394" s="59" t="s">
        <v>318</v>
      </c>
      <c r="D394" s="82" t="str">
        <f>Calc_TU_values!$D$235</f>
        <v>VDO 2022 - Final</v>
      </c>
      <c r="E394" s="23" t="s">
        <v>586</v>
      </c>
      <c r="F394" s="82" t="str">
        <f>INDEX(Inputs!$H$10:$U$10,1,MATCH($D394,Inputs!$H$8:$U$8,0))</f>
        <v>F-CurrentVDO_Input</v>
      </c>
      <c r="G394" s="58"/>
      <c r="H394" s="23" t="s">
        <v>130</v>
      </c>
      <c r="I394" s="23" t="s">
        <v>109</v>
      </c>
      <c r="J394" s="59" t="s">
        <v>93</v>
      </c>
      <c r="K394" s="67">
        <f>SUM(
IFERROR(K391/100*SUMIFS(INDEX(TUNet_Usage_PerRate_2[],0,MATCH(K$334,TUNet_Usage_PerRate_2[#Headers],0)),TUNet_Usage_PerRate_2[Customer type],Calc_TUV_Net_2[[#This Row],[Customer type]],TUNet_Usage_PerRate_2[Description],"Usage per customer - Block 1"),0),
IFERROR(K392/100*SUMIFS(INDEX(TUNet_Usage_PerRate_2[],0,MATCH(K$334,TUNet_Usage_PerRate_2[#Headers],0)),TUNet_Usage_PerRate_2[Customer type],Calc_TUV_Net_2[[#This Row],[Customer type]],TUNet_Usage_PerRate_2[Description],"Usage per customer - Balance"),0),
IFERROR(K393/100*SUMIFS(INDEX(TUNet_Usage_PerRate_2[],0,MATCH(K$334,TUNet_Usage_PerRate_2[#Headers],0)),TUNet_Usage_PerRate_2[Customer type],Calc_TUV_Net_2[[#This Row],[Customer type]],TUNet_Usage_PerRate_2[Description],"Usage per customer - Single rate"),0))</f>
        <v>217.48923601414643</v>
      </c>
      <c r="L394" s="67">
        <f>SUM(
IFERROR(L391/100*SUMIFS(INDEX(TUNet_Usage_PerRate_2[],0,MATCH(L$334,TUNet_Usage_PerRate_2[#Headers],0)),TUNet_Usage_PerRate_2[Customer type],Calc_TUV_Net_2[[#This Row],[Customer type]],TUNet_Usage_PerRate_2[Description],"Usage per customer - Block 1"),0),
IFERROR(L392/100*SUMIFS(INDEX(TUNet_Usage_PerRate_2[],0,MATCH(L$334,TUNet_Usage_PerRate_2[#Headers],0)),TUNet_Usage_PerRate_2[Customer type],Calc_TUV_Net_2[[#This Row],[Customer type]],TUNet_Usage_PerRate_2[Description],"Usage per customer - Balance"),0),
IFERROR(L393/100*SUMIFS(INDEX(TUNet_Usage_PerRate_2[],0,MATCH(L$334,TUNet_Usage_PerRate_2[#Headers],0)),TUNet_Usage_PerRate_2[Customer type],Calc_TUV_Net_2[[#This Row],[Customer type]],TUNet_Usage_PerRate_2[Description],"Usage per customer - Single rate"),0))</f>
        <v>110.25763700483078</v>
      </c>
      <c r="M394" s="67">
        <f>SUM(
IFERROR(M391/100*SUMIFS(INDEX(TUNet_Usage_PerRate_2[],0,MATCH(M$334,TUNet_Usage_PerRate_2[#Headers],0)),TUNet_Usage_PerRate_2[Customer type],Calc_TUV_Net_2[[#This Row],[Customer type]],TUNet_Usage_PerRate_2[Description],"Usage per customer - Block 1"),0),
IFERROR(M392/100*SUMIFS(INDEX(TUNet_Usage_PerRate_2[],0,MATCH(M$334,TUNet_Usage_PerRate_2[#Headers],0)),TUNet_Usage_PerRate_2[Customer type],Calc_TUV_Net_2[[#This Row],[Customer type]],TUNet_Usage_PerRate_2[Description],"Usage per customer - Balance"),0),
IFERROR(M393/100*SUMIFS(INDEX(TUNet_Usage_PerRate_2[],0,MATCH(M$334,TUNet_Usage_PerRate_2[#Headers],0)),TUNet_Usage_PerRate_2[Customer type],Calc_TUV_Net_2[[#This Row],[Customer type]],TUNet_Usage_PerRate_2[Description],"Usage per customer - Single rate"),0))</f>
        <v>147.36383079829577</v>
      </c>
      <c r="N394" s="67">
        <f>SUM(
IFERROR(N391/100*SUMIFS(INDEX(TUNet_Usage_PerRate_2[],0,MATCH(N$334,TUNet_Usage_PerRate_2[#Headers],0)),TUNet_Usage_PerRate_2[Customer type],Calc_TUV_Net_2[[#This Row],[Customer type]],TUNet_Usage_PerRate_2[Description],"Usage per customer - Block 1"),0),
IFERROR(N392/100*SUMIFS(INDEX(TUNet_Usage_PerRate_2[],0,MATCH(N$334,TUNet_Usage_PerRate_2[#Headers],0)),TUNet_Usage_PerRate_2[Customer type],Calc_TUV_Net_2[[#This Row],[Customer type]],TUNet_Usage_PerRate_2[Description],"Usage per customer - Balance"),0),
IFERROR(N393/100*SUMIFS(INDEX(TUNet_Usage_PerRate_2[],0,MATCH(N$334,TUNet_Usage_PerRate_2[#Headers],0)),TUNet_Usage_PerRate_2[Customer type],Calc_TUV_Net_2[[#This Row],[Customer type]],TUNet_Usage_PerRate_2[Description],"Usage per customer - Single rate"),0))</f>
        <v>124.76168669608744</v>
      </c>
      <c r="O394" s="67">
        <f>SUM(
IFERROR(O391/100*SUMIFS(INDEX(TUNet_Usage_PerRate_2[],0,MATCH(O$334,TUNet_Usage_PerRate_2[#Headers],0)),TUNet_Usage_PerRate_2[Customer type],Calc_TUV_Net_2[[#This Row],[Customer type]],TUNet_Usage_PerRate_2[Description],"Usage per customer - Block 1"),0),
IFERROR(O392/100*SUMIFS(INDEX(TUNet_Usage_PerRate_2[],0,MATCH(O$334,TUNet_Usage_PerRate_2[#Headers],0)),TUNet_Usage_PerRate_2[Customer type],Calc_TUV_Net_2[[#This Row],[Customer type]],TUNet_Usage_PerRate_2[Description],"Usage per customer - Balance"),0),
IFERROR(O393/100*SUMIFS(INDEX(TUNet_Usage_PerRate_2[],0,MATCH(O$334,TUNet_Usage_PerRate_2[#Headers],0)),TUNet_Usage_PerRate_2[Customer type],Calc_TUV_Net_2[[#This Row],[Customer type]],TUNet_Usage_PerRate_2[Description],"Usage per customer - Single rate"),0))</f>
        <v>118.04684887606119</v>
      </c>
    </row>
    <row r="395" spans="3:15" hidden="1" outlineLevel="2" x14ac:dyDescent="0.25">
      <c r="C395" s="59" t="s">
        <v>522</v>
      </c>
      <c r="D395" s="82" t="str">
        <f>INDEX(Input_DecisionActual[[Decision]:[Decision]],MATCH(Calc_TU_values!$D$235,Input_DecisionActual[[VDO period]:[VDO period]],0),1)</f>
        <v>VDO 2021 - Final</v>
      </c>
      <c r="E395" s="23" t="s">
        <v>587</v>
      </c>
      <c r="F395" s="82" t="str">
        <f>IF($D395="-","-",INDEX(Inputs!$H$10:$U$10,1,MATCH($D395,Inputs!$H$8:$U$8,0)))</f>
        <v>F-PreviousVDO_Input</v>
      </c>
      <c r="G395" s="58"/>
      <c r="H395" s="23" t="s">
        <v>130</v>
      </c>
      <c r="I395" s="23" t="s">
        <v>165</v>
      </c>
      <c r="J395" s="59" t="s">
        <v>93</v>
      </c>
      <c r="K395" s="66" cm="1">
        <f t="array" ref="K395">IFERROR(INDEX(Input_ForRateCalc[],MATCH($C395&amp;" - "&amp;K$334,Input_ForRateCalc[[Cost item]:[Cost item]],0),MATCH(Calc_TUV_Net_2[[#This Row],[Decision ref]:[Decision ref]],Input_ForRateCalc[#Headers],0)),"-")</f>
        <v>13.9602</v>
      </c>
      <c r="L395" s="66" t="str" cm="1">
        <f t="array" ref="L395">IFERROR(INDEX(Input_ForRateCalc[],MATCH($C395&amp;" - "&amp;L$334,Input_ForRateCalc[[Cost item]:[Cost item]],0),MATCH(Calc_TUV_Net_2[[#This Row],[Decision ref]:[Decision ref]],Input_ForRateCalc[#Headers],0)),"-")</f>
        <v>-</v>
      </c>
      <c r="M395" s="66" t="str" cm="1">
        <f t="array" ref="M395">IFERROR(INDEX(Input_ForRateCalc[],MATCH($C395&amp;" - "&amp;M$334,Input_ForRateCalc[[Cost item]:[Cost item]],0),MATCH(Calc_TUV_Net_2[[#This Row],[Decision ref]:[Decision ref]],Input_ForRateCalc[#Headers],0)),"-")</f>
        <v>-</v>
      </c>
      <c r="N395" s="66" t="str" cm="1">
        <f t="array" ref="N395">IFERROR(INDEX(Input_ForRateCalc[],MATCH($C395&amp;" - "&amp;N$334,Input_ForRateCalc[[Cost item]:[Cost item]],0),MATCH(Calc_TUV_Net_2[[#This Row],[Decision ref]:[Decision ref]],Input_ForRateCalc[#Headers],0)),"-")</f>
        <v>-</v>
      </c>
      <c r="O395" s="66" t="str" cm="1">
        <f t="array" ref="O395">IFERROR(INDEX(Input_ForRateCalc[],MATCH($C395&amp;" - "&amp;O$334,Input_ForRateCalc[[Cost item]:[Cost item]],0),MATCH(Calc_TUV_Net_2[[#This Row],[Decision ref]:[Decision ref]],Input_ForRateCalc[#Headers],0)),"-")</f>
        <v>-</v>
      </c>
    </row>
    <row r="396" spans="3:15" hidden="1" outlineLevel="2" x14ac:dyDescent="0.25">
      <c r="C396" s="59" t="s">
        <v>523</v>
      </c>
      <c r="D396" s="82" t="str">
        <f>INDEX(Input_DecisionActual[[Decision]:[Decision]],MATCH(Calc_TU_values!$D$235,Input_DecisionActual[[VDO period]:[VDO period]],0),1)</f>
        <v>VDO 2021 - Final</v>
      </c>
      <c r="E396" s="23" t="s">
        <v>587</v>
      </c>
      <c r="F396" s="82" t="str">
        <f>IF($D396="-","-",INDEX(Inputs!$H$10:$U$10,1,MATCH($D396,Inputs!$H$8:$U$8,0)))</f>
        <v>F-PreviousVDO_Input</v>
      </c>
      <c r="G396" s="58"/>
      <c r="H396" s="23" t="s">
        <v>130</v>
      </c>
      <c r="I396" s="23" t="s">
        <v>165</v>
      </c>
      <c r="J396" s="59" t="s">
        <v>93</v>
      </c>
      <c r="K396" s="66" cm="1">
        <f t="array" ref="K396">IFERROR(INDEX(Input_ForRateCalc[],MATCH($C396&amp;" - "&amp;K$334,Input_ForRateCalc[[Cost item]:[Cost item]],0),MATCH(Calc_TUV_Net_2[[#This Row],[Decision ref]:[Decision ref]],Input_ForRateCalc[#Headers],0)),"-")</f>
        <v>16.934899999999999</v>
      </c>
      <c r="L396" s="66" t="str" cm="1">
        <f t="array" ref="L396">IFERROR(INDEX(Input_ForRateCalc[],MATCH($C396&amp;" - "&amp;L$334,Input_ForRateCalc[[Cost item]:[Cost item]],0),MATCH(Calc_TUV_Net_2[[#This Row],[Decision ref]:[Decision ref]],Input_ForRateCalc[#Headers],0)),"-")</f>
        <v>-</v>
      </c>
      <c r="M396" s="66" t="str" cm="1">
        <f t="array" ref="M396">IFERROR(INDEX(Input_ForRateCalc[],MATCH($C396&amp;" - "&amp;M$334,Input_ForRateCalc[[Cost item]:[Cost item]],0),MATCH(Calc_TUV_Net_2[[#This Row],[Decision ref]:[Decision ref]],Input_ForRateCalc[#Headers],0)),"-")</f>
        <v>-</v>
      </c>
      <c r="N396" s="66" t="str" cm="1">
        <f t="array" ref="N396">IFERROR(INDEX(Input_ForRateCalc[],MATCH($C396&amp;" - "&amp;N$334,Input_ForRateCalc[[Cost item]:[Cost item]],0),MATCH(Calc_TUV_Net_2[[#This Row],[Decision ref]:[Decision ref]],Input_ForRateCalc[#Headers],0)),"-")</f>
        <v>-</v>
      </c>
      <c r="O396" s="66" t="str" cm="1">
        <f t="array" ref="O396">IFERROR(INDEX(Input_ForRateCalc[],MATCH($C396&amp;" - "&amp;O$334,Input_ForRateCalc[[Cost item]:[Cost item]],0),MATCH(Calc_TUV_Net_2[[#This Row],[Decision ref]:[Decision ref]],Input_ForRateCalc[#Headers],0)),"-")</f>
        <v>-</v>
      </c>
    </row>
    <row r="397" spans="3:15" hidden="1" outlineLevel="2" x14ac:dyDescent="0.25">
      <c r="C397" s="59" t="s">
        <v>524</v>
      </c>
      <c r="D397" s="82" t="str">
        <f>INDEX(Input_DecisionActual[[Decision]:[Decision]],MATCH(Calc_TU_values!$D$235,Input_DecisionActual[[VDO period]:[VDO period]],0),1)</f>
        <v>VDO 2021 - Final</v>
      </c>
      <c r="E397" s="23" t="s">
        <v>587</v>
      </c>
      <c r="F397" s="82" t="str">
        <f>IF($D397="-","-",INDEX(Inputs!$H$10:$U$10,1,MATCH($D397,Inputs!$H$8:$U$8,0)))</f>
        <v>F-PreviousVDO_Input</v>
      </c>
      <c r="G397" s="58"/>
      <c r="H397" s="23" t="s">
        <v>130</v>
      </c>
      <c r="I397" s="23" t="s">
        <v>165</v>
      </c>
      <c r="J397" s="59" t="s">
        <v>93</v>
      </c>
      <c r="K397" s="66" t="str" cm="1">
        <f t="array" ref="K397">IFERROR(INDEX(Input_ForRateCalc[],MATCH($C397&amp;" - "&amp;K$334,Input_ForRateCalc[[Cost item]:[Cost item]],0),MATCH(Calc_TUV_Net_2[[#This Row],[Decision ref]:[Decision ref]],Input_ForRateCalc[#Headers],0)),"-")</f>
        <v>-</v>
      </c>
      <c r="L397" s="66" cm="1">
        <f t="array" ref="L397">IFERROR(INDEX(Input_ForRateCalc[],MATCH($C397&amp;" - "&amp;L$334,Input_ForRateCalc[[Cost item]:[Cost item]],0),MATCH(Calc_TUV_Net_2[[#This Row],[Decision ref]:[Decision ref]],Input_ForRateCalc[#Headers],0)),"-")</f>
        <v>7.54</v>
      </c>
      <c r="M397" s="66" cm="1">
        <f t="array" ref="M397">IFERROR(INDEX(Input_ForRateCalc[],MATCH($C397&amp;" - "&amp;M$334,Input_ForRateCalc[[Cost item]:[Cost item]],0),MATCH(Calc_TUV_Net_2[[#This Row],[Decision ref]:[Decision ref]],Input_ForRateCalc[#Headers],0)),"-")</f>
        <v>9.3260000000000005</v>
      </c>
      <c r="N397" s="66" cm="1">
        <f t="array" ref="N397">IFERROR(INDEX(Input_ForRateCalc[],MATCH($C397&amp;" - "&amp;N$334,Input_ForRateCalc[[Cost item]:[Cost item]],0),MATCH(Calc_TUV_Net_2[[#This Row],[Decision ref]:[Decision ref]],Input_ForRateCalc[#Headers],0)),"-")</f>
        <v>8.44</v>
      </c>
      <c r="O397" s="66" cm="1">
        <f t="array" ref="O397">IFERROR(INDEX(Input_ForRateCalc[],MATCH($C397&amp;" - "&amp;O$334,Input_ForRateCalc[[Cost item]:[Cost item]],0),MATCH(Calc_TUV_Net_2[[#This Row],[Decision ref]:[Decision ref]],Input_ForRateCalc[#Headers],0)),"-")</f>
        <v>9.27</v>
      </c>
    </row>
    <row r="398" spans="3:15" hidden="1" outlineLevel="2" x14ac:dyDescent="0.25">
      <c r="C398" s="59" t="s">
        <v>318</v>
      </c>
      <c r="D398" s="82" t="str">
        <f>INDEX(Input_DecisionActual[[Decision]:[Decision]],MATCH(Calc_TU_values!$D$235,Input_DecisionActual[[VDO period]:[VDO period]],0),1)</f>
        <v>VDO 2021 - Final</v>
      </c>
      <c r="E398" s="23" t="s">
        <v>587</v>
      </c>
      <c r="F398" s="82" t="str">
        <f>IF($D398="-","-",INDEX(Inputs!$H$10:$U$10,1,MATCH($D398,Inputs!$H$8:$U$8,0)))</f>
        <v>F-PreviousVDO_Input</v>
      </c>
      <c r="G398" s="58"/>
      <c r="H398" s="23" t="s">
        <v>130</v>
      </c>
      <c r="I398" s="23" t="s">
        <v>109</v>
      </c>
      <c r="J398" s="59" t="s">
        <v>93</v>
      </c>
      <c r="K398" s="67">
        <f>SUM(
IFERROR(K395/100*SUMIFS(INDEX(TUNet_Usage_PerRate_2[],0,MATCH(K$334,TUNet_Usage_PerRate_2[#Headers],0)),TUNet_Usage_PerRate_2[Customer type],Calc_TUV_Net_2[[#This Row],[Customer type]],TUNet_Usage_PerRate_2[Description],"Usage per customer - Block 1"),0),
IFERROR(K396/100*SUMIFS(INDEX(TUNet_Usage_PerRate_2[],0,MATCH(K$334,TUNet_Usage_PerRate_2[#Headers],0)),TUNet_Usage_PerRate_2[Customer type],Calc_TUV_Net_2[[#This Row],[Customer type]],TUNet_Usage_PerRate_2[Description],"Usage per customer - Balance"),0),
IFERROR(K397/100*SUMIFS(INDEX(TUNet_Usage_PerRate_2[],0,MATCH(K$334,TUNet_Usage_PerRate_2[#Headers],0)),TUNet_Usage_PerRate_2[Customer type],Calc_TUV_Net_2[[#This Row],[Customer type]],TUNet_Usage_PerRate_2[Description],"Usage per customer - Single rate"),0))</f>
        <v>197.08827399672458</v>
      </c>
      <c r="L398" s="67">
        <f>SUM(
IFERROR(L395/100*SUMIFS(INDEX(TUNet_Usage_PerRate_2[],0,MATCH(L$334,TUNet_Usage_PerRate_2[#Headers],0)),TUNet_Usage_PerRate_2[Customer type],Calc_TUV_Net_2[[#This Row],[Customer type]],TUNet_Usage_PerRate_2[Description],"Usage per customer - Block 1"),0),
IFERROR(L396/100*SUMIFS(INDEX(TUNet_Usage_PerRate_2[],0,MATCH(L$334,TUNet_Usage_PerRate_2[#Headers],0)),TUNet_Usage_PerRate_2[Customer type],Calc_TUV_Net_2[[#This Row],[Customer type]],TUNet_Usage_PerRate_2[Description],"Usage per customer - Balance"),0),
IFERROR(L397/100*SUMIFS(INDEX(TUNet_Usage_PerRate_2[],0,MATCH(L$334,TUNet_Usage_PerRate_2[#Headers],0)),TUNet_Usage_PerRate_2[Customer type],Calc_TUV_Net_2[[#This Row],[Customer type]],TUNet_Usage_PerRate_2[Description],"Usage per customer - Single rate"),0))</f>
        <v>101.25975432599562</v>
      </c>
      <c r="M398" s="67">
        <f>SUM(
IFERROR(M395/100*SUMIFS(INDEX(TUNet_Usage_PerRate_2[],0,MATCH(M$334,TUNet_Usage_PerRate_2[#Headers],0)),TUNet_Usage_PerRate_2[Customer type],Calc_TUV_Net_2[[#This Row],[Customer type]],TUNet_Usage_PerRate_2[Description],"Usage per customer - Block 1"),0),
IFERROR(M396/100*SUMIFS(INDEX(TUNet_Usage_PerRate_2[],0,MATCH(M$334,TUNet_Usage_PerRate_2[#Headers],0)),TUNet_Usage_PerRate_2[Customer type],Calc_TUV_Net_2[[#This Row],[Customer type]],TUNet_Usage_PerRate_2[Description],"Usage per customer - Balance"),0),
IFERROR(M397/100*SUMIFS(INDEX(TUNet_Usage_PerRate_2[],0,MATCH(M$334,TUNet_Usage_PerRate_2[#Headers],0)),TUNet_Usage_PerRate_2[Customer type],Calc_TUV_Net_2[[#This Row],[Customer type]],TUNet_Usage_PerRate_2[Description],"Usage per customer - Single rate"),0))</f>
        <v>125.24515501912934</v>
      </c>
      <c r="N398" s="67">
        <f>SUM(
IFERROR(N395/100*SUMIFS(INDEX(TUNet_Usage_PerRate_2[],0,MATCH(N$334,TUNet_Usage_PerRate_2[#Headers],0)),TUNet_Usage_PerRate_2[Customer type],Calc_TUV_Net_2[[#This Row],[Customer type]],TUNet_Usage_PerRate_2[Description],"Usage per customer - Block 1"),0),
IFERROR(N396/100*SUMIFS(INDEX(TUNet_Usage_PerRate_2[],0,MATCH(N$334,TUNet_Usage_PerRate_2[#Headers],0)),TUNet_Usage_PerRate_2[Customer type],Calc_TUV_Net_2[[#This Row],[Customer type]],TUNet_Usage_PerRate_2[Description],"Usage per customer - Balance"),0),
IFERROR(N397/100*SUMIFS(INDEX(TUNet_Usage_PerRate_2[],0,MATCH(N$334,TUNet_Usage_PerRate_2[#Headers],0)),TUNet_Usage_PerRate_2[Customer type],Calc_TUV_Net_2[[#This Row],[Customer type]],TUNet_Usage_PerRate_2[Description],"Usage per customer - Single rate"),0))</f>
        <v>113.34646240204282</v>
      </c>
      <c r="O398" s="67">
        <f>SUM(
IFERROR(O395/100*SUMIFS(INDEX(TUNet_Usage_PerRate_2[],0,MATCH(O$334,TUNet_Usage_PerRate_2[#Headers],0)),TUNet_Usage_PerRate_2[Customer type],Calc_TUV_Net_2[[#This Row],[Customer type]],TUNet_Usage_PerRate_2[Description],"Usage per customer - Block 1"),0),
IFERROR(O396/100*SUMIFS(INDEX(TUNet_Usage_PerRate_2[],0,MATCH(O$334,TUNet_Usage_PerRate_2[#Headers],0)),TUNet_Usage_PerRate_2[Customer type],Calc_TUV_Net_2[[#This Row],[Customer type]],TUNet_Usage_PerRate_2[Description],"Usage per customer - Balance"),0),
IFERROR(O397/100*SUMIFS(INDEX(TUNet_Usage_PerRate_2[],0,MATCH(O$334,TUNet_Usage_PerRate_2[#Headers],0)),TUNet_Usage_PerRate_2[Customer type],Calc_TUV_Net_2[[#This Row],[Customer type]],TUNet_Usage_PerRate_2[Description],"Usage per customer - Single rate"),0))</f>
        <v>124.49309318328638</v>
      </c>
    </row>
    <row r="399" spans="3:15" hidden="1" outlineLevel="2" x14ac:dyDescent="0.25">
      <c r="C399" s="59" t="s">
        <v>319</v>
      </c>
      <c r="D399" s="23"/>
      <c r="E399" s="23"/>
      <c r="F399" s="23"/>
      <c r="G399" s="59"/>
      <c r="H399" s="23" t="s">
        <v>130</v>
      </c>
      <c r="I399" s="23" t="s">
        <v>109</v>
      </c>
      <c r="J399" s="59" t="s">
        <v>93</v>
      </c>
      <c r="K399" s="65">
        <f>IF(K398=0,"-",K394-K398)</f>
        <v>20.400962017421847</v>
      </c>
      <c r="L399" s="65">
        <f t="shared" ref="L399:O399" si="130">IF(L398=0,"-",L394-L398)</f>
        <v>8.9978826788351682</v>
      </c>
      <c r="M399" s="65">
        <f t="shared" si="130"/>
        <v>22.118675779166423</v>
      </c>
      <c r="N399" s="65">
        <f t="shared" si="130"/>
        <v>11.41522429404462</v>
      </c>
      <c r="O399" s="65">
        <f t="shared" si="130"/>
        <v>-6.4462443072251858</v>
      </c>
    </row>
    <row r="400" spans="3:15" hidden="1" outlineLevel="2" x14ac:dyDescent="0.25">
      <c r="C400" s="59" t="s">
        <v>442</v>
      </c>
      <c r="D400" s="23"/>
      <c r="E400" s="23"/>
      <c r="F400" s="23"/>
      <c r="G400" s="59"/>
      <c r="H400" s="23" t="s">
        <v>130</v>
      </c>
      <c r="I400" s="23" t="s">
        <v>109</v>
      </c>
      <c r="J400" s="59" t="s">
        <v>93</v>
      </c>
      <c r="K400" s="66" t="str">
        <f>IF($D$311="Yes",K399*(1+WACC_adj_2),"")</f>
        <v/>
      </c>
      <c r="L400" s="66" t="str">
        <f>IF($D$311="Yes",L399*(1+WACC_adj_2),"")</f>
        <v/>
      </c>
      <c r="M400" s="66" t="str">
        <f>IF($D$311="Yes",M399*(1+WACC_adj_2),"")</f>
        <v/>
      </c>
      <c r="N400" s="66" t="str">
        <f>IF($D$311="Yes",N399*(1+WACC_adj_2),"")</f>
        <v/>
      </c>
      <c r="O400" s="66" t="str">
        <f>IF($D$311="Yes",O399*(1+WACC_adj_2),"")</f>
        <v/>
      </c>
    </row>
    <row r="401" spans="3:15" hidden="1" outlineLevel="2" x14ac:dyDescent="0.25">
      <c r="C401" s="59" t="s">
        <v>321</v>
      </c>
      <c r="D401" s="82" t="str">
        <f>INDEX(Input_DecisionActual[[Decision]:[Decision]],MATCH(Calc_TU_values!$D$235,Input_DecisionActual[[VDO period]:[VDO period]],0),1)</f>
        <v>VDO 2021 - Final</v>
      </c>
      <c r="E401" s="23" t="s">
        <v>587</v>
      </c>
      <c r="F401" s="82" t="str">
        <f>IF($D401="-","-",INDEX(Inputs!$H$10:$U$10,1,MATCH($D401,Inputs!$H$8:$U$8,0)))</f>
        <v>F-PreviousVDO_Input</v>
      </c>
      <c r="G401" s="59"/>
      <c r="H401" s="23" t="s">
        <v>130</v>
      </c>
      <c r="I401" s="23" t="s">
        <v>109</v>
      </c>
      <c r="J401" s="59" t="s">
        <v>93</v>
      </c>
      <c r="K401" s="66" cm="1">
        <f t="array" ref="K401">IFERROR(SUM(K399:K400)*(INDEX(Inputs!$H$11:$U$128,MATCH("Retail operating margin",Input_ForRateCalc[[Cost item]:[Cost item]],0),MATCH(Calc_TUV_Net_2[[#This Row],[Decision ref]:[Decision ref]],Inputs!$H$10:$U$10,0))),"-")</f>
        <v>1.2322181058522796</v>
      </c>
      <c r="L401" s="66" cm="1">
        <f t="array" ref="L401">IFERROR(SUM(L399:L400)*(INDEX(Inputs!$H$11:$U$128,MATCH("Retail operating margin",Input_ForRateCalc[[Cost item]:[Cost item]],0),MATCH(Calc_TUV_Net_2[[#This Row],[Decision ref]:[Decision ref]],Inputs!$H$10:$U$10,0))),"-")</f>
        <v>0.54347211380164417</v>
      </c>
      <c r="M401" s="66" cm="1">
        <f t="array" ref="M401">IFERROR(SUM(M399:M400)*(INDEX(Inputs!$H$11:$U$128,MATCH("Retail operating margin",Input_ForRateCalc[[Cost item]:[Cost item]],0),MATCH(Calc_TUV_Net_2[[#This Row],[Decision ref]:[Decision ref]],Inputs!$H$10:$U$10,0))),"-")</f>
        <v>1.3359680170616521</v>
      </c>
      <c r="N401" s="66" cm="1">
        <f t="array" ref="N401">IFERROR(SUM(N399:N400)*(INDEX(Inputs!$H$11:$U$128,MATCH("Retail operating margin",Input_ForRateCalc[[Cost item]:[Cost item]],0),MATCH(Calc_TUV_Net_2[[#This Row],[Decision ref]:[Decision ref]],Inputs!$H$10:$U$10,0))),"-")</f>
        <v>0.68947954736029504</v>
      </c>
      <c r="O401" s="66" cm="1">
        <f t="array" ref="O401">IFERROR(SUM(O399:O400)*(INDEX(Inputs!$H$11:$U$128,MATCH("Retail operating margin",Input_ForRateCalc[[Cost item]:[Cost item]],0),MATCH(Calc_TUV_Net_2[[#This Row],[Decision ref]:[Decision ref]],Inputs!$H$10:$U$10,0))),"-")</f>
        <v>-0.38935315615640126</v>
      </c>
    </row>
    <row r="402" spans="3:15" hidden="1" outlineLevel="2" x14ac:dyDescent="0.25">
      <c r="C402" s="59" t="s">
        <v>443</v>
      </c>
      <c r="D402" s="23"/>
      <c r="E402" s="23"/>
      <c r="F402" s="23"/>
      <c r="G402" s="59"/>
      <c r="H402" s="23" t="s">
        <v>130</v>
      </c>
      <c r="I402" s="23" t="s">
        <v>109</v>
      </c>
      <c r="J402" s="59" t="s">
        <v>93</v>
      </c>
      <c r="K402" s="66">
        <f>IF(K398=0,"-",SUM(K399:K401)*GST)</f>
        <v>2.1633180123274127</v>
      </c>
      <c r="L402" s="66">
        <f>IF(L398=0,"-",SUM(L399:L401)*GST)</f>
        <v>0.95413547926368136</v>
      </c>
      <c r="M402" s="66">
        <f>IF(M398=0,"-",SUM(M399:M401)*GST)</f>
        <v>2.3454643796228076</v>
      </c>
      <c r="N402" s="66">
        <f>IF(N398=0,"-",SUM(N399:N401)*GST)</f>
        <v>1.2104703841404916</v>
      </c>
      <c r="O402" s="66">
        <f>IF(O398=0,"-",SUM(O399:O401)*GST)</f>
        <v>-0.68355974633815875</v>
      </c>
    </row>
    <row r="403" spans="3:15" hidden="1" outlineLevel="2" x14ac:dyDescent="0.25">
      <c r="C403" s="59" t="s">
        <v>536</v>
      </c>
      <c r="D403" s="116"/>
      <c r="E403" s="116"/>
      <c r="F403" s="116"/>
      <c r="H403" s="23" t="s">
        <v>130</v>
      </c>
      <c r="I403" s="23" t="s">
        <v>109</v>
      </c>
      <c r="J403" s="59" t="s">
        <v>93</v>
      </c>
      <c r="K403" s="66">
        <f>IF(K398=0,"-",SUM(K399:K402))</f>
        <v>23.796498135601539</v>
      </c>
      <c r="L403" s="66">
        <f t="shared" ref="L403" si="131">IF(L398=0,"-",SUM(L399:L402))</f>
        <v>10.495490271900495</v>
      </c>
      <c r="M403" s="66">
        <f t="shared" ref="M403" si="132">IF(M398=0,"-",SUM(M399:M402))</f>
        <v>25.800108175850884</v>
      </c>
      <c r="N403" s="66">
        <f t="shared" ref="N403" si="133">IF(N398=0,"-",SUM(N399:N402))</f>
        <v>13.315174225545405</v>
      </c>
      <c r="O403" s="66">
        <f t="shared" ref="O403" si="134">IF(O398=0,"-",SUM(O399:O402))</f>
        <v>-7.5191572097197463</v>
      </c>
    </row>
    <row r="404" spans="3:15" hidden="1" outlineLevel="2" x14ac:dyDescent="0.25">
      <c r="C404" s="57"/>
      <c r="D404" s="57"/>
      <c r="E404" s="57"/>
      <c r="F404" s="57"/>
      <c r="G404" s="68"/>
      <c r="H404" s="68"/>
      <c r="I404" s="23"/>
      <c r="J404" s="23"/>
      <c r="K404" s="65"/>
      <c r="L404" s="23"/>
      <c r="M404" s="23"/>
      <c r="N404" s="23"/>
      <c r="O404" s="23"/>
    </row>
    <row r="405" spans="3:15" hidden="1" outlineLevel="2" x14ac:dyDescent="0.25">
      <c r="C405" s="57"/>
      <c r="D405" s="57"/>
      <c r="E405" s="57"/>
      <c r="F405" s="57"/>
      <c r="G405" s="68"/>
      <c r="H405" s="68"/>
      <c r="I405" s="23"/>
      <c r="J405" s="23"/>
      <c r="K405" s="65"/>
      <c r="L405" s="23"/>
      <c r="M405" s="23"/>
      <c r="N405" s="23"/>
      <c r="O405" s="23"/>
    </row>
    <row r="406" spans="3:15" ht="15.75" hidden="1" outlineLevel="2" x14ac:dyDescent="0.25">
      <c r="C406" s="1" t="s">
        <v>527</v>
      </c>
      <c r="D406" s="59"/>
      <c r="E406" s="59"/>
      <c r="F406" s="59"/>
      <c r="G406" s="68" t="s">
        <v>639</v>
      </c>
      <c r="H406" s="59"/>
      <c r="I406" s="23"/>
      <c r="J406" s="23"/>
      <c r="K406" s="65"/>
      <c r="L406" s="23"/>
      <c r="M406" s="23"/>
      <c r="N406" s="23"/>
      <c r="O406" s="23"/>
    </row>
    <row r="407" spans="3:15" hidden="1" outlineLevel="2" x14ac:dyDescent="0.25">
      <c r="C407" s="57" t="s">
        <v>543</v>
      </c>
      <c r="D407" s="57"/>
      <c r="E407" s="57"/>
      <c r="F407" s="57"/>
      <c r="G407" s="68"/>
      <c r="H407" s="68"/>
      <c r="I407" s="23"/>
      <c r="J407" s="23"/>
      <c r="K407" s="65"/>
      <c r="L407" s="23"/>
      <c r="M407" s="23"/>
      <c r="N407" s="23"/>
      <c r="O407" s="23"/>
    </row>
    <row r="408" spans="3:15" hidden="1" outlineLevel="2" x14ac:dyDescent="0.25">
      <c r="C408" s="59" t="s">
        <v>529</v>
      </c>
      <c r="D408" s="82" t="str">
        <f>Calc_TU_values!$D$235</f>
        <v>VDO 2022 - Final</v>
      </c>
      <c r="E408" s="23" t="s">
        <v>586</v>
      </c>
      <c r="F408" s="82" t="str">
        <f>INDEX(Inputs!$H$10:$U$10,1,MATCH($D408,Inputs!$H$8:$U$8,0))</f>
        <v>F-CurrentVDO_Input</v>
      </c>
      <c r="G408" s="58"/>
      <c r="H408" s="23" t="s">
        <v>108</v>
      </c>
      <c r="I408" s="23" t="s">
        <v>109</v>
      </c>
      <c r="J408" s="59" t="s">
        <v>92</v>
      </c>
      <c r="K408" s="66" cm="1">
        <f t="array" ref="K408">IFERROR(INDEX(Input_ForRateCalc[],MATCH($C408&amp;" - "&amp;K$334,Input_ForRateCalc[[Cost item]:[Cost item]],0),MATCH(Calc_TUV_Net_2[[#This Row],[Decision ref]:[Decision ref]],Input_ForRateCalc[#Headers],0)),"-")*TUProp_Days_2</f>
        <v>18.873479452054795</v>
      </c>
      <c r="L408" s="66" cm="1">
        <f t="array" ref="L408">IFERROR(INDEX(Input_ForRateCalc[],MATCH($C408&amp;" - "&amp;L$334,Input_ForRateCalc[[Cost item]:[Cost item]],0),MATCH(Calc_TUV_Net_2[[#This Row],[Decision ref]:[Decision ref]],Input_ForRateCalc[#Headers],0)),"-")*TUProp_Days_2</f>
        <v>15.289199999999999</v>
      </c>
      <c r="M408" s="66" cm="1">
        <f t="array" ref="M408">IFERROR(INDEX(Input_ForRateCalc[],MATCH($C408&amp;" - "&amp;M$334,Input_ForRateCalc[[Cost item]:[Cost item]],0),MATCH(Calc_TUV_Net_2[[#This Row],[Decision ref]:[Decision ref]],Input_ForRateCalc[#Headers],0)),"-")*TUProp_Days_2</f>
        <v>13.962060273972602</v>
      </c>
      <c r="N408" s="66" cm="1">
        <f t="array" ref="N408">IFERROR(INDEX(Input_ForRateCalc[],MATCH($C408&amp;" - "&amp;N$334,Input_ForRateCalc[[Cost item]:[Cost item]],0),MATCH(Calc_TUV_Net_2[[#This Row],[Decision ref]:[Decision ref]],Input_ForRateCalc[#Headers],0)),"-")*TUProp_Days_2</f>
        <v>23.776999999999997</v>
      </c>
      <c r="O408" s="66" cm="1">
        <f t="array" ref="O408">IFERROR(INDEX(Input_ForRateCalc[],MATCH($C408&amp;" - "&amp;O$334,Input_ForRateCalc[[Cost item]:[Cost item]],0),MATCH(Calc_TUV_Net_2[[#This Row],[Decision ref]:[Decision ref]],Input_ForRateCalc[#Headers],0)),"-")*TUProp_Days_2</f>
        <v>13.590399999999999</v>
      </c>
    </row>
    <row r="409" spans="3:15" hidden="1" outlineLevel="2" x14ac:dyDescent="0.25">
      <c r="C409" s="59" t="s">
        <v>275</v>
      </c>
      <c r="D409" s="82" t="str">
        <f>Calc_TU_values!$D$235</f>
        <v>VDO 2022 - Final</v>
      </c>
      <c r="E409" s="23" t="s">
        <v>586</v>
      </c>
      <c r="F409" s="82" t="str">
        <f>INDEX(Inputs!$H$10:$U$10,1,MATCH($D409,Inputs!$H$8:$U$8,0))</f>
        <v>F-CurrentVDO_Input</v>
      </c>
      <c r="G409" s="58"/>
      <c r="H409" s="23" t="s">
        <v>108</v>
      </c>
      <c r="I409" s="23" t="s">
        <v>109</v>
      </c>
      <c r="J409" s="59" t="s">
        <v>92</v>
      </c>
      <c r="K409" s="66" cm="1">
        <f t="array" ref="K409">IFERROR(INDEX(Input_ForRateCalc[],MATCH($C409&amp;" - "&amp;K$334,Input_ForRateCalc[[Cost item]:[Cost item]],0),MATCH(Calc_TUV_Net_2[[#This Row],[Decision ref]:[Decision ref]],Input_ForRateCalc[#Headers],0)),"-")*TUProp_Days_2</f>
        <v>10.82027397260274</v>
      </c>
      <c r="L409" s="66" cm="1">
        <f t="array" ref="L409">IFERROR(INDEX(Input_ForRateCalc[],MATCH($C409&amp;" - "&amp;L$334,Input_ForRateCalc[[Cost item]:[Cost item]],0),MATCH(Calc_TUV_Net_2[[#This Row],[Decision ref]:[Decision ref]],Input_ForRateCalc[#Headers],0)),"-")*TUProp_Days_2</f>
        <v>10.089863013698629</v>
      </c>
      <c r="M409" s="66" cm="1">
        <f t="array" ref="M409">IFERROR(INDEX(Input_ForRateCalc[],MATCH($C409&amp;" - "&amp;M$334,Input_ForRateCalc[[Cost item]:[Cost item]],0),MATCH(Calc_TUV_Net_2[[#This Row],[Decision ref]:[Decision ref]],Input_ForRateCalc[#Headers],0)),"-")*TUProp_Days_2</f>
        <v>9.2048767123287671</v>
      </c>
      <c r="N409" s="66" cm="1">
        <f t="array" ref="N409">IFERROR(INDEX(Input_ForRateCalc[],MATCH($C409&amp;" - "&amp;N$334,Input_ForRateCalc[[Cost item]:[Cost item]],0),MATCH(Calc_TUV_Net_2[[#This Row],[Decision ref]:[Decision ref]],Input_ForRateCalc[#Headers],0)),"-")*TUProp_Days_2</f>
        <v>9.8520547945205479</v>
      </c>
      <c r="O409" s="66" cm="1">
        <f t="array" ref="O409">IFERROR(INDEX(Input_ForRateCalc[],MATCH($C409&amp;" - "&amp;O$334,Input_ForRateCalc[[Cost item]:[Cost item]],0),MATCH(Calc_TUV_Net_2[[#This Row],[Decision ref]:[Decision ref]],Input_ForRateCalc[#Headers],0)),"-")*TUProp_Days_2</f>
        <v>7.2905205479452055</v>
      </c>
    </row>
    <row r="410" spans="3:15" hidden="1" outlineLevel="2" x14ac:dyDescent="0.25">
      <c r="C410" s="59" t="s">
        <v>318</v>
      </c>
      <c r="D410" s="82" t="str">
        <f>Calc_TU_values!$D$235</f>
        <v>VDO 2022 - Final</v>
      </c>
      <c r="E410" s="23" t="s">
        <v>586</v>
      </c>
      <c r="F410" s="82" t="str">
        <f>INDEX(Inputs!$H$10:$U$10,1,MATCH($D410,Inputs!$H$8:$U$8,0))</f>
        <v>F-CurrentVDO_Input</v>
      </c>
      <c r="G410" s="58"/>
      <c r="H410" s="23" t="s">
        <v>108</v>
      </c>
      <c r="I410" s="23" t="s">
        <v>109</v>
      </c>
      <c r="J410" s="59" t="s">
        <v>92</v>
      </c>
      <c r="K410" s="64">
        <f>IFERROR(SUM(K408:K409),"-")</f>
        <v>29.693753424657537</v>
      </c>
      <c r="L410" s="64">
        <f>IFERROR(SUM(L408:L409),"-")</f>
        <v>25.379063013698627</v>
      </c>
      <c r="M410" s="64">
        <f>IFERROR(SUM(M408:M409),"-")</f>
        <v>23.166936986301369</v>
      </c>
      <c r="N410" s="64">
        <f>IFERROR(SUM(N408:N409),"-")</f>
        <v>33.629054794520542</v>
      </c>
      <c r="O410" s="64">
        <f>IFERROR(SUM(O408:O409),"-")</f>
        <v>20.880920547945205</v>
      </c>
    </row>
    <row r="411" spans="3:15" hidden="1" outlineLevel="2" x14ac:dyDescent="0.25">
      <c r="C411" s="59" t="s">
        <v>514</v>
      </c>
      <c r="D411" s="82" t="str">
        <f>INDEX(Input_DecisionActual[[Decision]:[Decision]],MATCH(Calc_TU_values!$D$235,Input_DecisionActual[[VDO period]:[VDO period]],0),1)</f>
        <v>VDO 2021 - Final</v>
      </c>
      <c r="E411" s="23" t="s">
        <v>587</v>
      </c>
      <c r="F411" s="82" t="str">
        <f>IF($D411="-","-",INDEX(Inputs!$H$10:$U$10,1,MATCH($D411,Inputs!$H$8:$U$8,0)))</f>
        <v>F-PreviousVDO_Input</v>
      </c>
      <c r="G411" s="58"/>
      <c r="H411" s="23" t="s">
        <v>108</v>
      </c>
      <c r="I411" s="23" t="s">
        <v>109</v>
      </c>
      <c r="J411" s="59" t="s">
        <v>92</v>
      </c>
      <c r="K411" s="66" cm="1">
        <f t="array" ref="K411">IFERROR(INDEX(Input_ForRateCalc[],MATCH($C411&amp;" - "&amp;K$334,Input_ForRateCalc[[Cost item]:[Cost item]],0),MATCH(Calc_TUV_Net_2[[#This Row],[Decision ref]:[Decision ref]],Input_ForRateCalc[#Headers],0)),"-")*TUProp_Days_2</f>
        <v>18.005479452054793</v>
      </c>
      <c r="L411" s="66" cm="1">
        <f t="array" ref="L411">IFERROR(INDEX(Input_ForRateCalc[],MATCH($C411&amp;" - "&amp;L$334,Input_ForRateCalc[[Cost item]:[Cost item]],0),MATCH(Calc_TUV_Net_2[[#This Row],[Decision ref]:[Decision ref]],Input_ForRateCalc[#Headers],0)),"-")*TUProp_Days_2</f>
        <v>15.287671232876711</v>
      </c>
      <c r="M411" s="66" cm="1">
        <f t="array" ref="M411">IFERROR(INDEX(Input_ForRateCalc[],MATCH($C411&amp;" - "&amp;M$334,Input_ForRateCalc[[Cost item]:[Cost item]],0),MATCH(Calc_TUV_Net_2[[#This Row],[Decision ref]:[Decision ref]],Input_ForRateCalc[#Headers],0)),"-")*TUProp_Days_2</f>
        <v>11.725643835616438</v>
      </c>
      <c r="N411" s="66" cm="1">
        <f t="array" ref="N411">IFERROR(INDEX(Input_ForRateCalc[],MATCH($C411&amp;" - "&amp;N$334,Input_ForRateCalc[[Cost item]:[Cost item]],0),MATCH(Calc_TUV_Net_2[[#This Row],[Decision ref]:[Decision ref]],Input_ForRateCalc[#Headers],0)),"-")*TUProp_Days_2</f>
        <v>23.780821917808218</v>
      </c>
      <c r="O411" s="66" cm="1">
        <f t="array" ref="O411">IFERROR(INDEX(Input_ForRateCalc[],MATCH($C411&amp;" - "&amp;O$334,Input_ForRateCalc[[Cost item]:[Cost item]],0),MATCH(Calc_TUV_Net_2[[#This Row],[Decision ref]:[Decision ref]],Input_ForRateCalc[#Headers],0)),"-")*TUProp_Days_2</f>
        <v>10.167999999999999</v>
      </c>
    </row>
    <row r="412" spans="3:15" hidden="1" outlineLevel="2" x14ac:dyDescent="0.25">
      <c r="C412" s="59" t="s">
        <v>275</v>
      </c>
      <c r="D412" s="82" t="str">
        <f>INDEX(Input_DecisionActual[[Decision]:[Decision]],MATCH(Calc_TU_values!$D$235,Input_DecisionActual[[VDO period]:[VDO period]],0),1)</f>
        <v>VDO 2021 - Final</v>
      </c>
      <c r="E412" s="23" t="s">
        <v>587</v>
      </c>
      <c r="F412" s="82" t="str">
        <f>IF($D412="-","-",INDEX(Inputs!$H$10:$U$10,1,MATCH($D412,Inputs!$H$8:$U$8,0)))</f>
        <v>F-PreviousVDO_Input</v>
      </c>
      <c r="G412" s="58"/>
      <c r="H412" s="23" t="s">
        <v>108</v>
      </c>
      <c r="I412" s="23" t="s">
        <v>109</v>
      </c>
      <c r="J412" s="59" t="s">
        <v>92</v>
      </c>
      <c r="K412" s="66" cm="1">
        <f t="array" ref="K412">IFERROR(INDEX(Input_ForRateCalc[],MATCH($C412&amp;" - "&amp;K$334,Input_ForRateCalc[[Cost item]:[Cost item]],0),MATCH(Calc_TUV_Net_2[[#This Row],[Decision ref]:[Decision ref]],Input_ForRateCalc[#Headers],0)),"-")*TUProp_Days_2</f>
        <v>10.123835616438356</v>
      </c>
      <c r="L412" s="66" cm="1">
        <f t="array" ref="L412">IFERROR(INDEX(Input_ForRateCalc[],MATCH($C412&amp;" - "&amp;L$334,Input_ForRateCalc[[Cost item]:[Cost item]],0),MATCH(Calc_TUV_Net_2[[#This Row],[Decision ref]:[Decision ref]],Input_ForRateCalc[#Headers],0)),"-")*TUProp_Days_2</f>
        <v>11.176986301369862</v>
      </c>
      <c r="M412" s="66" cm="1">
        <f t="array" ref="M412">IFERROR(INDEX(Input_ForRateCalc[],MATCH($C412&amp;" - "&amp;M$334,Input_ForRateCalc[[Cost item]:[Cost item]],0),MATCH(Calc_TUV_Net_2[[#This Row],[Decision ref]:[Decision ref]],Input_ForRateCalc[#Headers],0)),"-")*TUProp_Days_2</f>
        <v>11.258520547945205</v>
      </c>
      <c r="N412" s="66" cm="1">
        <f t="array" ref="N412">IFERROR(INDEX(Input_ForRateCalc[],MATCH($C412&amp;" - "&amp;N$334,Input_ForRateCalc[[Cost item]:[Cost item]],0),MATCH(Calc_TUV_Net_2[[#This Row],[Decision ref]:[Decision ref]],Input_ForRateCalc[#Headers],0)),"-")*TUProp_Days_2</f>
        <v>11.126027397260273</v>
      </c>
      <c r="O412" s="66" cm="1">
        <f t="array" ref="O412">IFERROR(INDEX(Input_ForRateCalc[],MATCH($C412&amp;" - "&amp;O$334,Input_ForRateCalc[[Cost item]:[Cost item]],0),MATCH(Calc_TUV_Net_2[[#This Row],[Decision ref]:[Decision ref]],Input_ForRateCalc[#Headers],0)),"-")*TUProp_Days_2</f>
        <v>8.2927123287671236</v>
      </c>
    </row>
    <row r="413" spans="3:15" hidden="1" outlineLevel="2" x14ac:dyDescent="0.25">
      <c r="C413" s="59" t="s">
        <v>318</v>
      </c>
      <c r="D413" s="82" t="str">
        <f>INDEX(Input_DecisionActual[[Decision]:[Decision]],MATCH(Calc_TU_values!$D$235,Input_DecisionActual[[VDO period]:[VDO period]],0),1)</f>
        <v>VDO 2021 - Final</v>
      </c>
      <c r="E413" s="23" t="s">
        <v>587</v>
      </c>
      <c r="F413" s="82" t="str">
        <f>IF($D413="-","-",INDEX(Inputs!$H$10:$U$10,1,MATCH($D413,Inputs!$H$8:$U$8,0)))</f>
        <v>F-PreviousVDO_Input</v>
      </c>
      <c r="G413" s="58"/>
      <c r="H413" s="23" t="s">
        <v>108</v>
      </c>
      <c r="I413" s="23" t="s">
        <v>109</v>
      </c>
      <c r="J413" s="59" t="s">
        <v>92</v>
      </c>
      <c r="K413" s="65">
        <f>SUM(K411:K412)</f>
        <v>28.129315068493149</v>
      </c>
      <c r="L413" s="65">
        <f>SUM(L411:L412)</f>
        <v>26.464657534246573</v>
      </c>
      <c r="M413" s="65">
        <f>SUM(M411:M412)</f>
        <v>22.984164383561641</v>
      </c>
      <c r="N413" s="65">
        <f>SUM(N411:N412)</f>
        <v>34.906849315068492</v>
      </c>
      <c r="O413" s="65">
        <f>SUM(O411:O412)</f>
        <v>18.460712328767123</v>
      </c>
    </row>
    <row r="414" spans="3:15" hidden="1" outlineLevel="2" x14ac:dyDescent="0.25">
      <c r="C414" s="59" t="s">
        <v>319</v>
      </c>
      <c r="D414" s="23"/>
      <c r="E414" s="23"/>
      <c r="F414" s="23"/>
      <c r="G414" s="59"/>
      <c r="H414" s="23" t="s">
        <v>108</v>
      </c>
      <c r="I414" s="23" t="s">
        <v>109</v>
      </c>
      <c r="J414" s="59" t="s">
        <v>92</v>
      </c>
      <c r="K414" s="65">
        <f>IF(K413=0,"-",K410-K413)</f>
        <v>1.5644383561643878</v>
      </c>
      <c r="L414" s="65">
        <f t="shared" ref="L414:O414" si="135">IF(L413=0,"-",L410-L413)</f>
        <v>-1.0855945205479465</v>
      </c>
      <c r="M414" s="65">
        <f t="shared" si="135"/>
        <v>0.18277260273972828</v>
      </c>
      <c r="N414" s="65">
        <f t="shared" si="135"/>
        <v>-1.2777945205479497</v>
      </c>
      <c r="O414" s="65">
        <f t="shared" si="135"/>
        <v>2.4202082191780825</v>
      </c>
    </row>
    <row r="415" spans="3:15" hidden="1" outlineLevel="2" x14ac:dyDescent="0.25">
      <c r="C415" s="59" t="s">
        <v>442</v>
      </c>
      <c r="D415" s="23"/>
      <c r="E415" s="23"/>
      <c r="F415" s="23"/>
      <c r="G415" s="59"/>
      <c r="H415" s="23" t="s">
        <v>108</v>
      </c>
      <c r="I415" s="23" t="s">
        <v>109</v>
      </c>
      <c r="J415" s="59" t="s">
        <v>92</v>
      </c>
      <c r="K415" s="66" t="str">
        <f>IFERROR(IF($D$311="Yes",K414*(1+WACC_adj_2),""),"-")</f>
        <v/>
      </c>
      <c r="L415" s="66" t="str">
        <f>IFERROR(IF($D$311="Yes",L414*(1+WACC_adj_2),""),"-")</f>
        <v/>
      </c>
      <c r="M415" s="66" t="str">
        <f>IFERROR(IF($D$311="Yes",M414*(1+WACC_adj_2),""),"-")</f>
        <v/>
      </c>
      <c r="N415" s="66" t="str">
        <f>IFERROR(IF($D$311="Yes",N414*(1+WACC_adj_2),""),"-")</f>
        <v/>
      </c>
      <c r="O415" s="66" t="str">
        <f>IFERROR(IF($D$311="Yes",O414*(1+WACC_adj_2),""),"-")</f>
        <v/>
      </c>
    </row>
    <row r="416" spans="3:15" hidden="1" outlineLevel="2" x14ac:dyDescent="0.25">
      <c r="C416" s="59" t="s">
        <v>321</v>
      </c>
      <c r="D416" s="82" t="str">
        <f>INDEX(Input_DecisionActual[[Decision]:[Decision]],MATCH(Calc_TU_values!$D$235,Input_DecisionActual[[VDO period]:[VDO period]],0),1)</f>
        <v>VDO 2021 - Final</v>
      </c>
      <c r="E416" s="23" t="s">
        <v>587</v>
      </c>
      <c r="F416" s="82" t="str">
        <f>IF($D416="-","-",INDEX(Inputs!$H$10:$U$10,1,MATCH($D416,Inputs!$H$8:$U$8,0)))</f>
        <v>F-PreviousVDO_Input</v>
      </c>
      <c r="G416" s="59"/>
      <c r="H416" s="23" t="s">
        <v>108</v>
      </c>
      <c r="I416" s="23" t="s">
        <v>109</v>
      </c>
      <c r="J416" s="59" t="s">
        <v>92</v>
      </c>
      <c r="K416" s="66" cm="1">
        <f t="array" ref="K416">IFERROR(SUM(K414:K415)*(INDEX(Inputs!$H$11:$U$128,MATCH("Retail operating margin",Input_ForRateCalc[[Cost item]:[Cost item]],0),MATCH(Calc_TUV_Net_2[[#This Row],[Decision ref]:[Decision ref]],Inputs!$H$10:$U$10,0))),"-")</f>
        <v>9.4492076712329023E-2</v>
      </c>
      <c r="L416" s="66" cm="1">
        <f t="array" ref="L416">IFERROR(SUM(L414:L415)*(INDEX(Inputs!$H$11:$U$128,MATCH("Retail operating margin",Input_ForRateCalc[[Cost item]:[Cost item]],0),MATCH(Calc_TUV_Net_2[[#This Row],[Decision ref]:[Decision ref]],Inputs!$H$10:$U$10,0))),"-")</f>
        <v>-6.556990904109597E-2</v>
      </c>
      <c r="M416" s="66" cm="1">
        <f t="array" ref="M416">IFERROR(SUM(M414:M415)*(INDEX(Inputs!$H$11:$U$128,MATCH("Retail operating margin",Input_ForRateCalc[[Cost item]:[Cost item]],0),MATCH(Calc_TUV_Net_2[[#This Row],[Decision ref]:[Decision ref]],Inputs!$H$10:$U$10,0))),"-")</f>
        <v>1.1039465205479588E-2</v>
      </c>
      <c r="N416" s="66" cm="1">
        <f t="array" ref="N416">IFERROR(SUM(N414:N415)*(INDEX(Inputs!$H$11:$U$128,MATCH("Retail operating margin",Input_ForRateCalc[[Cost item]:[Cost item]],0),MATCH(Calc_TUV_Net_2[[#This Row],[Decision ref]:[Decision ref]],Inputs!$H$10:$U$10,0))),"-")</f>
        <v>-7.7178789041096166E-2</v>
      </c>
      <c r="O416" s="66" cm="1">
        <f t="array" ref="O416">IFERROR(SUM(O414:O415)*(INDEX(Inputs!$H$11:$U$128,MATCH("Retail operating margin",Input_ForRateCalc[[Cost item]:[Cost item]],0),MATCH(Calc_TUV_Net_2[[#This Row],[Decision ref]:[Decision ref]],Inputs!$H$10:$U$10,0))),"-")</f>
        <v>0.14618057643835619</v>
      </c>
    </row>
    <row r="417" spans="3:15" hidden="1" outlineLevel="2" x14ac:dyDescent="0.25">
      <c r="C417" s="59" t="s">
        <v>443</v>
      </c>
      <c r="D417" s="23"/>
      <c r="E417" s="23"/>
      <c r="F417" s="23"/>
      <c r="G417" s="59"/>
      <c r="H417" s="23" t="s">
        <v>108</v>
      </c>
      <c r="I417" s="23" t="s">
        <v>109</v>
      </c>
      <c r="J417" s="59" t="s">
        <v>92</v>
      </c>
      <c r="K417" s="66">
        <f>IF(K413=0,"-",SUM(K414:K416)*GST)</f>
        <v>0.16589304328767168</v>
      </c>
      <c r="L417" s="66">
        <f>IF(L413=0,"-",SUM(L414:L416)*GST)</f>
        <v>-0.11511644295890425</v>
      </c>
      <c r="M417" s="66">
        <f>IF(M413=0,"-",SUM(M414:M416)*GST)</f>
        <v>1.9381206794520787E-2</v>
      </c>
      <c r="N417" s="66">
        <f>IF(N413=0,"-",SUM(N414:N416)*GST)</f>
        <v>-0.13549733095890459</v>
      </c>
      <c r="O417" s="66">
        <f>IF(O413=0,"-",SUM(O414:O416)*GST)</f>
        <v>0.25663887956164388</v>
      </c>
    </row>
    <row r="418" spans="3:15" hidden="1" outlineLevel="2" x14ac:dyDescent="0.25">
      <c r="C418" s="23" t="s">
        <v>537</v>
      </c>
      <c r="D418" s="23"/>
      <c r="E418" s="23"/>
      <c r="F418" s="23"/>
      <c r="G418" s="59"/>
      <c r="H418" s="23" t="s">
        <v>108</v>
      </c>
      <c r="I418" s="23" t="s">
        <v>109</v>
      </c>
      <c r="J418" s="59" t="s">
        <v>92</v>
      </c>
      <c r="K418" s="66">
        <f>IF(K413=0,"-",SUM(K414:K417))</f>
        <v>1.8248234761643884</v>
      </c>
      <c r="L418" s="66">
        <f>IF(L413=0,"-",SUM(L414:L417))</f>
        <v>-1.2662808725479466</v>
      </c>
      <c r="M418" s="66">
        <f>IF(M413=0,"-",SUM(M414:M417))</f>
        <v>0.21319327473972866</v>
      </c>
      <c r="N418" s="66">
        <f>IF(N413=0,"-",SUM(N414:N417))</f>
        <v>-1.4904706405479504</v>
      </c>
      <c r="O418" s="66">
        <f>IF(O413=0,"-",SUM(O414:O417))</f>
        <v>2.823027675178083</v>
      </c>
    </row>
    <row r="419" spans="3:15" hidden="1" outlineLevel="2" x14ac:dyDescent="0.25">
      <c r="C419" s="59"/>
      <c r="D419" s="59"/>
      <c r="E419" s="59"/>
      <c r="F419" s="59"/>
      <c r="H419" s="59"/>
      <c r="I419" s="23"/>
      <c r="J419" s="23"/>
      <c r="K419" s="129"/>
      <c r="L419" s="129"/>
      <c r="M419" s="129"/>
      <c r="N419" s="129"/>
      <c r="O419" s="129"/>
    </row>
    <row r="420" spans="3:15" hidden="1" outlineLevel="2" x14ac:dyDescent="0.25">
      <c r="C420" s="57" t="s">
        <v>544</v>
      </c>
      <c r="D420" s="59"/>
      <c r="E420" s="59"/>
      <c r="F420" s="59"/>
      <c r="G420" s="68"/>
      <c r="H420" s="59"/>
      <c r="I420" s="23"/>
      <c r="J420" s="23"/>
      <c r="K420" s="129"/>
      <c r="L420" s="129"/>
      <c r="M420" s="129"/>
      <c r="N420" s="129"/>
      <c r="O420" s="129"/>
    </row>
    <row r="421" spans="3:15" hidden="1" outlineLevel="2" x14ac:dyDescent="0.25">
      <c r="C421" s="59" t="s">
        <v>530</v>
      </c>
      <c r="D421" s="82" t="str">
        <f>Calc_TU_values!$D$235</f>
        <v>VDO 2022 - Final</v>
      </c>
      <c r="E421" s="23" t="s">
        <v>586</v>
      </c>
      <c r="F421" s="82" t="str">
        <f>INDEX(Inputs!$H$10:$U$10,1,MATCH($D421,Inputs!$H$8:$U$8,0))</f>
        <v>F-CurrentVDO_Input</v>
      </c>
      <c r="G421" s="59"/>
      <c r="H421" s="23" t="s">
        <v>130</v>
      </c>
      <c r="I421" s="23" t="s">
        <v>165</v>
      </c>
      <c r="J421" s="59" t="s">
        <v>92</v>
      </c>
      <c r="K421" s="66" cm="1">
        <f t="array" ref="K421">IFERROR(INDEX(Input_ForRateCalc[],MATCH($C421&amp;" - "&amp;K$334,Input_ForRateCalc[[Cost item]:[Cost item]],0),MATCH(Calc_TUV_Net_2[[#This Row],[Decision ref]:[Decision ref]],Input_ForRateCalc[#Headers],0)),"-")</f>
        <v>20.853200000000001</v>
      </c>
      <c r="L421" s="66" cm="1">
        <f t="array" ref="L421">IFERROR(INDEX(Input_ForRateCalc[],MATCH($C421&amp;" - "&amp;L$334,Input_ForRateCalc[[Cost item]:[Cost item]],0),MATCH(Calc_TUV_Net_2[[#This Row],[Decision ref]:[Decision ref]],Input_ForRateCalc[#Headers],0)),"-")</f>
        <v>15.94</v>
      </c>
      <c r="M421" s="66" cm="1">
        <f t="array" ref="M421">IFERROR(INDEX(Input_ForRateCalc[],MATCH($C421&amp;" - "&amp;M$334,Input_ForRateCalc[[Cost item]:[Cost item]],0),MATCH(Calc_TUV_Net_2[[#This Row],[Decision ref]:[Decision ref]],Input_ForRateCalc[#Headers],0)),"-")</f>
        <v>13.492000000000001</v>
      </c>
      <c r="N421" s="66" cm="1">
        <f t="array" ref="N421">IFERROR(INDEX(Input_ForRateCalc[],MATCH($C421&amp;" - "&amp;N$334,Input_ForRateCalc[[Cost item]:[Cost item]],0),MATCH(Calc_TUV_Net_2[[#This Row],[Decision ref]:[Decision ref]],Input_ForRateCalc[#Headers],0)),"-")</f>
        <v>15.87</v>
      </c>
      <c r="O421" s="66" cm="1">
        <f t="array" ref="O421">IFERROR(INDEX(Input_ForRateCalc[],MATCH($C421&amp;" - "&amp;O$334,Input_ForRateCalc[[Cost item]:[Cost item]],0),MATCH(Calc_TUV_Net_2[[#This Row],[Decision ref]:[Decision ref]],Input_ForRateCalc[#Headers],0)),"-")</f>
        <v>15.79</v>
      </c>
    </row>
    <row r="422" spans="3:15" hidden="1" outlineLevel="2" x14ac:dyDescent="0.25">
      <c r="C422" s="59" t="s">
        <v>531</v>
      </c>
      <c r="D422" s="82" t="str">
        <f>Calc_TU_values!$D$235</f>
        <v>VDO 2022 - Final</v>
      </c>
      <c r="E422" s="23" t="s">
        <v>586</v>
      </c>
      <c r="F422" s="82" t="str">
        <f>INDEX(Inputs!$H$10:$U$10,1,MATCH($D422,Inputs!$H$8:$U$8,0))</f>
        <v>F-CurrentVDO_Input</v>
      </c>
      <c r="G422" s="68"/>
      <c r="H422" s="23" t="s">
        <v>130</v>
      </c>
      <c r="I422" s="23" t="s">
        <v>165</v>
      </c>
      <c r="J422" s="59" t="s">
        <v>92</v>
      </c>
      <c r="K422" s="66" cm="1">
        <f t="array" ref="K422">IFERROR(INDEX(Input_ForRateCalc[],MATCH($C422&amp;" - "&amp;K$334,Input_ForRateCalc[[Cost item]:[Cost item]],0),MATCH(Calc_TUV_Net_2[[#This Row],[Decision ref]:[Decision ref]],Input_ForRateCalc[#Headers],0)),"-")</f>
        <v>4.3418999999999999</v>
      </c>
      <c r="L422" s="66" cm="1">
        <f t="array" ref="L422">IFERROR(INDEX(Input_ForRateCalc[],MATCH($C422&amp;" - "&amp;L$334,Input_ForRateCalc[[Cost item]:[Cost item]],0),MATCH(Calc_TUV_Net_2[[#This Row],[Decision ref]:[Decision ref]],Input_ForRateCalc[#Headers],0)),"-")</f>
        <v>3.98</v>
      </c>
      <c r="M422" s="66" cm="1">
        <f t="array" ref="M422">IFERROR(INDEX(Input_ForRateCalc[],MATCH($C422&amp;" - "&amp;M$334,Input_ForRateCalc[[Cost item]:[Cost item]],0),MATCH(Calc_TUV_Net_2[[#This Row],[Decision ref]:[Decision ref]],Input_ForRateCalc[#Headers],0)),"-")</f>
        <v>3.89</v>
      </c>
      <c r="N422" s="66" cm="1">
        <f t="array" ref="N422">IFERROR(INDEX(Input_ForRateCalc[],MATCH($C422&amp;" - "&amp;N$334,Input_ForRateCalc[[Cost item]:[Cost item]],0),MATCH(Calc_TUV_Net_2[[#This Row],[Decision ref]:[Decision ref]],Input_ForRateCalc[#Headers],0)),"-")</f>
        <v>3.96</v>
      </c>
      <c r="O422" s="66" cm="1">
        <f t="array" ref="O422">IFERROR(INDEX(Input_ForRateCalc[],MATCH($C422&amp;" - "&amp;O$334,Input_ForRateCalc[[Cost item]:[Cost item]],0),MATCH(Calc_TUV_Net_2[[#This Row],[Decision ref]:[Decision ref]],Input_ForRateCalc[#Headers],0)),"-")</f>
        <v>3.95</v>
      </c>
    </row>
    <row r="423" spans="3:15" hidden="1" outlineLevel="2" x14ac:dyDescent="0.25">
      <c r="C423" s="59" t="s">
        <v>318</v>
      </c>
      <c r="D423" s="82" t="str">
        <f>Calc_TU_values!$D$235</f>
        <v>VDO 2022 - Final</v>
      </c>
      <c r="E423" s="23" t="s">
        <v>586</v>
      </c>
      <c r="F423" s="82" t="str">
        <f>INDEX(Inputs!$H$10:$U$10,1,MATCH($D423,Inputs!$H$8:$U$8,0))</f>
        <v>F-CurrentVDO_Input</v>
      </c>
      <c r="G423" s="58"/>
      <c r="H423" s="23" t="s">
        <v>130</v>
      </c>
      <c r="I423" s="23" t="s">
        <v>165</v>
      </c>
      <c r="J423" s="59" t="s">
        <v>92</v>
      </c>
      <c r="K423" s="67">
        <f>SUMIFS(TUNet_Usage_Actual_2[Value],TUNet_Usage_Actual_2[Customer type],Calc_TUV_Net_2[[#This Row],[Customer type]],TUNet_Usage_Actual_2[Description],"Usage per customer")*SUM(
IFERROR(K421/100*SUMIFS(Input_TUNet_Props[F-CurrentVDO_Input],Input_TUNet_Props[Customer type],Calc_TUV_Net_2[[#This Row],[Customer type]],Input_TUNet_Props[Usage type],"Peak"),0),
IFERROR(K422/100*SUMIFS(Input_TUNet_Props[F-CurrentVDO_Input],Input_TUNet_Props[Customer type],Calc_TUV_Net_2[[#This Row],[Customer type]],Input_TUNet_Props[Usage type],"Off peak"),0))</f>
        <v>92.719769763547021</v>
      </c>
      <c r="L423" s="67">
        <f>SUMIFS(TUNet_Usage_Actual_2[Value],TUNet_Usage_Actual_2[Customer type],Calc_TUV_Net_2[[#This Row],[Customer type]],TUNet_Usage_Actual_2[Description],"Usage per customer")*SUM(
IFERROR(L421/100*SUMIFS(Input_TUNet_Props[F-CurrentVDO_Input],Input_TUNet_Props[Customer type],Calc_TUV_Net_2[[#This Row],[Customer type]],Input_TUNet_Props[Usage type],"Peak"),0),
IFERROR(L422/100*SUMIFS(Input_TUNet_Props[F-CurrentVDO_Input],Input_TUNet_Props[Customer type],Calc_TUV_Net_2[[#This Row],[Customer type]],Input_TUNet_Props[Usage type],"Off peak"),0))</f>
        <v>75.068830711661576</v>
      </c>
      <c r="M423" s="67">
        <f>SUMIFS(TUNet_Usage_Actual_2[Value],TUNet_Usage_Actual_2[Customer type],Calc_TUV_Net_2[[#This Row],[Customer type]],TUNet_Usage_Actual_2[Description],"Usage per customer")*SUM(
IFERROR(M421/100*SUMIFS(Input_TUNet_Props[F-CurrentVDO_Input],Input_TUNet_Props[Customer type],Calc_TUV_Net_2[[#This Row],[Customer type]],Input_TUNet_Props[Usage type],"Peak"),0),
IFERROR(M422/100*SUMIFS(Input_TUNet_Props[F-CurrentVDO_Input],Input_TUNet_Props[Customer type],Calc_TUV_Net_2[[#This Row],[Customer type]],Input_TUNet_Props[Usage type],"Off peak"),0))</f>
        <v>66.847322070845365</v>
      </c>
      <c r="N423" s="67">
        <f>SUMIFS(TUNet_Usage_Actual_2[Value],TUNet_Usage_Actual_2[Customer type],Calc_TUV_Net_2[[#This Row],[Customer type]],TUNet_Usage_Actual_2[Description],"Usage per customer")*SUM(
IFERROR(N421/100*SUMIFS(Input_TUNet_Props[F-CurrentVDO_Input],Input_TUNet_Props[Customer type],Calc_TUV_Net_2[[#This Row],[Customer type]],Input_TUNet_Props[Usage type],"Peak"),0),
IFERROR(N422/100*SUMIFS(Input_TUNet_Props[F-CurrentVDO_Input],Input_TUNet_Props[Customer type],Calc_TUV_Net_2[[#This Row],[Customer type]],Input_TUNet_Props[Usage type],"Off peak"),0))</f>
        <v>74.723166342562365</v>
      </c>
      <c r="O423" s="67">
        <f>SUMIFS(TUNet_Usage_Actual_2[Value],TUNet_Usage_Actual_2[Customer type],Calc_TUV_Net_2[[#This Row],[Customer type]],TUNet_Usage_Actual_2[Description],"Usage per customer")*SUM(
IFERROR(O421/100*SUMIFS(Input_TUNet_Props[F-CurrentVDO_Input],Input_TUNet_Props[Customer type],Calc_TUV_Net_2[[#This Row],[Customer type]],Input_TUNet_Props[Usage type],"Peak"),0),
IFERROR(O422/100*SUMIFS(Input_TUNet_Props[F-CurrentVDO_Input],Input_TUNet_Props[Customer type],Calc_TUV_Net_2[[#This Row],[Customer type]],Input_TUNet_Props[Usage type],"Off peak"),0))</f>
        <v>74.409700846201162</v>
      </c>
    </row>
    <row r="424" spans="3:15" hidden="1" outlineLevel="2" x14ac:dyDescent="0.25">
      <c r="C424" s="59" t="s">
        <v>517</v>
      </c>
      <c r="D424" s="82" t="str">
        <f>INDEX(Input_DecisionActual[[Decision]:[Decision]],MATCH(Calc_TU_values!$D$235,Input_DecisionActual[[VDO period]:[VDO period]],0),1)</f>
        <v>VDO 2021 - Final</v>
      </c>
      <c r="E424" s="23" t="s">
        <v>587</v>
      </c>
      <c r="F424" s="82" t="str">
        <f>IF($D424="-","-",INDEX(Inputs!$H$10:$U$10,1,MATCH($D424,Inputs!$H$8:$U$8,0)))</f>
        <v>F-PreviousVDO_Input</v>
      </c>
      <c r="G424" s="58"/>
      <c r="H424" s="23" t="s">
        <v>130</v>
      </c>
      <c r="I424" s="23" t="s">
        <v>109</v>
      </c>
      <c r="J424" s="59" t="s">
        <v>92</v>
      </c>
      <c r="K424" s="66" cm="1">
        <f t="array" ref="K424">IFERROR(INDEX(Input_ForRateCalc[],MATCH($C424&amp;" - "&amp;K$334,Input_ForRateCalc[[Cost item]:[Cost item]],0),MATCH(Calc_TUV_Net_2[[#This Row],[Decision ref]:[Decision ref]],Input_ForRateCalc[#Headers],0)),"-")</f>
        <v>10.535</v>
      </c>
      <c r="L424" s="66" t="str" cm="1">
        <f t="array" ref="L424">IFERROR(INDEX(Input_ForRateCalc[],MATCH($C424&amp;" - "&amp;L$334,Input_ForRateCalc[[Cost item]:[Cost item]],0),MATCH(Calc_TUV_Net_2[[#This Row],[Decision ref]:[Decision ref]],Input_ForRateCalc[#Headers],0)),"-")</f>
        <v>-</v>
      </c>
      <c r="M424" s="66" t="str" cm="1">
        <f t="array" ref="M424">IFERROR(INDEX(Input_ForRateCalc[],MATCH($C424&amp;" - "&amp;M$334,Input_ForRateCalc[[Cost item]:[Cost item]],0),MATCH(Calc_TUV_Net_2[[#This Row],[Decision ref]:[Decision ref]],Input_ForRateCalc[#Headers],0)),"-")</f>
        <v>-</v>
      </c>
      <c r="N424" s="66" t="str" cm="1">
        <f t="array" ref="N424">IFERROR(INDEX(Input_ForRateCalc[],MATCH($C424&amp;" - "&amp;N$334,Input_ForRateCalc[[Cost item]:[Cost item]],0),MATCH(Calc_TUV_Net_2[[#This Row],[Decision ref]:[Decision ref]],Input_ForRateCalc[#Headers],0)),"-")</f>
        <v>-</v>
      </c>
      <c r="O424" s="66" t="str" cm="1">
        <f t="array" ref="O424">IFERROR(INDEX(Input_ForRateCalc[],MATCH($C424&amp;" - "&amp;O$334,Input_ForRateCalc[[Cost item]:[Cost item]],0),MATCH(Calc_TUV_Net_2[[#This Row],[Decision ref]:[Decision ref]],Input_ForRateCalc[#Headers],0)),"-")</f>
        <v>-</v>
      </c>
    </row>
    <row r="425" spans="3:15" hidden="1" outlineLevel="2" x14ac:dyDescent="0.25">
      <c r="C425" s="59" t="s">
        <v>518</v>
      </c>
      <c r="D425" s="82" t="str">
        <f>INDEX(Input_DecisionActual[[Decision]:[Decision]],MATCH(Calc_TU_values!$D$235,Input_DecisionActual[[VDO period]:[VDO period]],0),1)</f>
        <v>VDO 2021 - Final</v>
      </c>
      <c r="E425" s="23" t="s">
        <v>587</v>
      </c>
      <c r="F425" s="82" t="str">
        <f>IF($D425="-","-",INDEX(Inputs!$H$10:$U$10,1,MATCH($D425,Inputs!$H$8:$U$8,0)))</f>
        <v>F-PreviousVDO_Input</v>
      </c>
      <c r="G425" s="58"/>
      <c r="H425" s="23" t="s">
        <v>130</v>
      </c>
      <c r="I425" s="23" t="s">
        <v>165</v>
      </c>
      <c r="J425" s="59" t="s">
        <v>92</v>
      </c>
      <c r="K425" s="66" cm="1">
        <f t="array" ref="K425">IFERROR(INDEX(Input_ForRateCalc[],MATCH($C425&amp;" - "&amp;K$334,Input_ForRateCalc[[Cost item]:[Cost item]],0),MATCH(Calc_TUV_Net_2[[#This Row],[Decision ref]:[Decision ref]],Input_ForRateCalc[#Headers],0)),"-")</f>
        <v>12.073700000000001</v>
      </c>
      <c r="L425" s="66" t="str" cm="1">
        <f t="array" ref="L425">IFERROR(INDEX(Input_ForRateCalc[],MATCH($C425&amp;" - "&amp;L$334,Input_ForRateCalc[[Cost item]:[Cost item]],0),MATCH(Calc_TUV_Net_2[[#This Row],[Decision ref]:[Decision ref]],Input_ForRateCalc[#Headers],0)),"-")</f>
        <v>-</v>
      </c>
      <c r="M425" s="66" t="str" cm="1">
        <f t="array" ref="M425">IFERROR(INDEX(Input_ForRateCalc[],MATCH($C425&amp;" - "&amp;M$334,Input_ForRateCalc[[Cost item]:[Cost item]],0),MATCH(Calc_TUV_Net_2[[#This Row],[Decision ref]:[Decision ref]],Input_ForRateCalc[#Headers],0)),"-")</f>
        <v>-</v>
      </c>
      <c r="N425" s="66" t="str" cm="1">
        <f t="array" ref="N425">IFERROR(INDEX(Input_ForRateCalc[],MATCH($C425&amp;" - "&amp;N$334,Input_ForRateCalc[[Cost item]:[Cost item]],0),MATCH(Calc_TUV_Net_2[[#This Row],[Decision ref]:[Decision ref]],Input_ForRateCalc[#Headers],0)),"-")</f>
        <v>-</v>
      </c>
      <c r="O425" s="66" t="str" cm="1">
        <f t="array" ref="O425">IFERROR(INDEX(Input_ForRateCalc[],MATCH($C425&amp;" - "&amp;O$334,Input_ForRateCalc[[Cost item]:[Cost item]],0),MATCH(Calc_TUV_Net_2[[#This Row],[Decision ref]:[Decision ref]],Input_ForRateCalc[#Headers],0)),"-")</f>
        <v>-</v>
      </c>
    </row>
    <row r="426" spans="3:15" hidden="1" outlineLevel="2" x14ac:dyDescent="0.25">
      <c r="C426" s="59" t="s">
        <v>519</v>
      </c>
      <c r="D426" s="82" t="str">
        <f>INDEX(Input_DecisionActual[[Decision]:[Decision]],MATCH(Calc_TU_values!$D$235,Input_DecisionActual[[VDO period]:[VDO period]],0),1)</f>
        <v>VDO 2021 - Final</v>
      </c>
      <c r="E426" s="23" t="s">
        <v>587</v>
      </c>
      <c r="F426" s="82" t="str">
        <f>IF($D426="-","-",INDEX(Inputs!$H$10:$U$10,1,MATCH($D426,Inputs!$H$8:$U$8,0)))</f>
        <v>F-PreviousVDO_Input</v>
      </c>
      <c r="G426" s="58"/>
      <c r="H426" s="23" t="s">
        <v>130</v>
      </c>
      <c r="I426" s="23" t="s">
        <v>165</v>
      </c>
      <c r="J426" s="59" t="s">
        <v>92</v>
      </c>
      <c r="K426" s="66" t="str" cm="1">
        <f t="array" ref="K426">IFERROR(INDEX(Input_ForRateCalc[],MATCH($C426&amp;" - "&amp;K$334,Input_ForRateCalc[[Cost item]:[Cost item]],0),MATCH(Calc_TUV_Net_2[[#This Row],[Decision ref]:[Decision ref]],Input_ForRateCalc[#Headers],0)),"-")</f>
        <v>-</v>
      </c>
      <c r="L426" s="66" cm="1">
        <f t="array" ref="L426">IFERROR(INDEX(Input_ForRateCalc[],MATCH($C426&amp;" - "&amp;L$334,Input_ForRateCalc[[Cost item]:[Cost item]],0),MATCH(Calc_TUV_Net_2[[#This Row],[Decision ref]:[Decision ref]],Input_ForRateCalc[#Headers],0)),"-")</f>
        <v>6.47</v>
      </c>
      <c r="M426" s="66" cm="1">
        <f t="array" ref="M426">IFERROR(INDEX(Input_ForRateCalc[],MATCH($C426&amp;" - "&amp;M$334,Input_ForRateCalc[[Cost item]:[Cost item]],0),MATCH(Calc_TUV_Net_2[[#This Row],[Decision ref]:[Decision ref]],Input_ForRateCalc[#Headers],0)),"-")</f>
        <v>7.4139999999999997</v>
      </c>
      <c r="N426" s="66" cm="1">
        <f t="array" ref="N426">IFERROR(INDEX(Input_ForRateCalc[],MATCH($C426&amp;" - "&amp;N$334,Input_ForRateCalc[[Cost item]:[Cost item]],0),MATCH(Calc_TUV_Net_2[[#This Row],[Decision ref]:[Decision ref]],Input_ForRateCalc[#Headers],0)),"-")</f>
        <v>6.74</v>
      </c>
      <c r="O426" s="66" cm="1">
        <f t="array" ref="O426">IFERROR(INDEX(Input_ForRateCalc[],MATCH($C426&amp;" - "&amp;O$334,Input_ForRateCalc[[Cost item]:[Cost item]],0),MATCH(Calc_TUV_Net_2[[#This Row],[Decision ref]:[Decision ref]],Input_ForRateCalc[#Headers],0)),"-")</f>
        <v>7.67</v>
      </c>
    </row>
    <row r="427" spans="3:15" hidden="1" outlineLevel="2" x14ac:dyDescent="0.25">
      <c r="C427" s="59" t="s">
        <v>318</v>
      </c>
      <c r="D427" s="82" t="str">
        <f>INDEX(Input_DecisionActual[[Decision]:[Decision]],MATCH(Calc_TU_values!$D$235,Input_DecisionActual[[VDO period]:[VDO period]],0),1)</f>
        <v>VDO 2021 - Final</v>
      </c>
      <c r="E427" s="23" t="s">
        <v>587</v>
      </c>
      <c r="F427" s="82" t="str">
        <f>IF($D427="-","-",INDEX(Inputs!$H$10:$U$10,1,MATCH($D427,Inputs!$H$8:$U$8,0)))</f>
        <v>F-PreviousVDO_Input</v>
      </c>
      <c r="G427" s="58"/>
      <c r="H427" s="23" t="s">
        <v>130</v>
      </c>
      <c r="I427" s="23" t="s">
        <v>165</v>
      </c>
      <c r="J427" s="59" t="s">
        <v>92</v>
      </c>
      <c r="K427" s="67">
        <f>SUM(
IFERROR(K424/100*SUMIFS(INDEX(TUNet_Usage_PerRate_2[],0,MATCH(K$334,TUNet_Usage_PerRate_2[#Headers],0)),TUNet_Usage_PerRate_2[Customer type],Calc_TUV_Net_2[[#This Row],[Customer type]],TUNet_Usage_PerRate_2[Description],"Usage per customer - Block 1"),0),
IFERROR(K425/100*SUMIFS(INDEX(TUNet_Usage_PerRate_2[],0,MATCH(K$334,TUNet_Usage_PerRate_2[#Headers],0)),TUNet_Usage_PerRate_2[Customer type],Calc_TUV_Net_2[[#This Row],[Customer type]],TUNet_Usage_PerRate_2[Description],"Usage per customer - Balance"),0),
IFERROR(K426/100*SUMIFS(INDEX(TUNet_Usage_PerRate_2[],0,MATCH(K$334,TUNet_Usage_PerRate_2[#Headers],0)),TUNet_Usage_PerRate_2[Customer type],Calc_TUV_Net_2[[#This Row],[Customer type]],TUNet_Usage_PerRate_2[Description],"Usage per customer - Single rate"),0))</f>
        <v>99.769154204389494</v>
      </c>
      <c r="L427" s="67">
        <f>SUM(
IFERROR(L424/100*SUMIFS(INDEX(TUNet_Usage_PerRate_2[],0,MATCH(L$334,TUNet_Usage_PerRate_2[#Headers],0)),TUNet_Usage_PerRate_2[Customer type],Calc_TUV_Net_2[[#This Row],[Customer type]],TUNet_Usage_PerRate_2[Description],"Usage per customer - Block 1"),0),
IFERROR(L425/100*SUMIFS(INDEX(TUNet_Usage_PerRate_2[],0,MATCH(L$334,TUNet_Usage_PerRate_2[#Headers],0)),TUNet_Usage_PerRate_2[Customer type],Calc_TUV_Net_2[[#This Row],[Customer type]],TUNet_Usage_PerRate_2[Description],"Usage per customer - Balance"),0),
IFERROR(L426/100*SUMIFS(INDEX(TUNet_Usage_PerRate_2[],0,MATCH(L$334,TUNet_Usage_PerRate_2[#Headers],0)),TUNet_Usage_PerRate_2[Customer type],Calc_TUV_Net_2[[#This Row],[Customer type]],TUNet_Usage_PerRate_2[Description],"Usage per customer - Single rate"),0))</f>
        <v>61.272560769093502</v>
      </c>
      <c r="M427" s="67">
        <f>SUM(
IFERROR(M424/100*SUMIFS(INDEX(TUNet_Usage_PerRate_2[],0,MATCH(M$334,TUNet_Usage_PerRate_2[#Headers],0)),TUNet_Usage_PerRate_2[Customer type],Calc_TUV_Net_2[[#This Row],[Customer type]],TUNet_Usage_PerRate_2[Description],"Usage per customer - Block 1"),0),
IFERROR(M425/100*SUMIFS(INDEX(TUNet_Usage_PerRate_2[],0,MATCH(M$334,TUNet_Usage_PerRate_2[#Headers],0)),TUNet_Usage_PerRate_2[Customer type],Calc_TUV_Net_2[[#This Row],[Customer type]],TUNet_Usage_PerRate_2[Description],"Usage per customer - Balance"),0),
IFERROR(M426/100*SUMIFS(INDEX(TUNet_Usage_PerRate_2[],0,MATCH(M$334,TUNet_Usage_PerRate_2[#Headers],0)),TUNet_Usage_PerRate_2[Customer type],Calc_TUV_Net_2[[#This Row],[Customer type]],TUNet_Usage_PerRate_2[Description],"Usage per customer - Single rate"),0))</f>
        <v>70.212483082234812</v>
      </c>
      <c r="N427" s="67">
        <f>SUM(
IFERROR(N424/100*SUMIFS(INDEX(TUNet_Usage_PerRate_2[],0,MATCH(N$334,TUNet_Usage_PerRate_2[#Headers],0)),TUNet_Usage_PerRate_2[Customer type],Calc_TUV_Net_2[[#This Row],[Customer type]],TUNet_Usage_PerRate_2[Description],"Usage per customer - Block 1"),0),
IFERROR(N425/100*SUMIFS(INDEX(TUNet_Usage_PerRate_2[],0,MATCH(N$334,TUNet_Usage_PerRate_2[#Headers],0)),TUNet_Usage_PerRate_2[Customer type],Calc_TUV_Net_2[[#This Row],[Customer type]],TUNet_Usage_PerRate_2[Description],"Usage per customer - Balance"),0),
IFERROR(N426/100*SUMIFS(INDEX(TUNet_Usage_PerRate_2[],0,MATCH(N$334,TUNet_Usage_PerRate_2[#Headers],0)),TUNet_Usage_PerRate_2[Customer type],Calc_TUV_Net_2[[#This Row],[Customer type]],TUNet_Usage_PerRate_2[Description],"Usage per customer - Single rate"),0))</f>
        <v>63.829530074758921</v>
      </c>
      <c r="O427" s="67">
        <f>SUM(
IFERROR(O424/100*SUMIFS(INDEX(TUNet_Usage_PerRate_2[],0,MATCH(O$334,TUNet_Usage_PerRate_2[#Headers],0)),TUNet_Usage_PerRate_2[Customer type],Calc_TUV_Net_2[[#This Row],[Customer type]],TUNet_Usage_PerRate_2[Description],"Usage per customer - Block 1"),0),
IFERROR(O425/100*SUMIFS(INDEX(TUNet_Usage_PerRate_2[],0,MATCH(O$334,TUNet_Usage_PerRate_2[#Headers],0)),TUNet_Usage_PerRate_2[Customer type],Calc_TUV_Net_2[[#This Row],[Customer type]],TUNet_Usage_PerRate_2[Description],"Usage per customer - Balance"),0),
IFERROR(O426/100*SUMIFS(INDEX(TUNet_Usage_PerRate_2[],0,MATCH(O$334,TUNet_Usage_PerRate_2[#Headers],0)),TUNet_Usage_PerRate_2[Customer type],Calc_TUV_Net_2[[#This Row],[Customer type]],TUNet_Usage_PerRate_2[Description],"Usage per customer - Single rate"),0))</f>
        <v>72.636868794273141</v>
      </c>
    </row>
    <row r="428" spans="3:15" hidden="1" outlineLevel="2" x14ac:dyDescent="0.25">
      <c r="C428" s="59" t="s">
        <v>319</v>
      </c>
      <c r="D428" s="59"/>
      <c r="E428" s="59"/>
      <c r="F428" s="59"/>
      <c r="G428" s="59"/>
      <c r="H428" s="23" t="s">
        <v>130</v>
      </c>
      <c r="I428" s="23" t="s">
        <v>109</v>
      </c>
      <c r="J428" s="59" t="s">
        <v>92</v>
      </c>
      <c r="K428" s="65">
        <f>IF(K427=0,"-",K423-K427)</f>
        <v>-7.0493844408424735</v>
      </c>
      <c r="L428" s="65">
        <f t="shared" ref="L428" si="136">IF(L427=0,"-",L423-L427)</f>
        <v>13.796269942568074</v>
      </c>
      <c r="M428" s="65">
        <f t="shared" ref="M428" si="137">IF(M427=0,"-",M423-M427)</f>
        <v>-3.3651610113894463</v>
      </c>
      <c r="N428" s="65">
        <f t="shared" ref="N428" si="138">IF(N427=0,"-",N423-N427)</f>
        <v>10.893636267803444</v>
      </c>
      <c r="O428" s="65">
        <f t="shared" ref="O428" si="139">IF(O427=0,"-",O423-O427)</f>
        <v>1.7728320519280203</v>
      </c>
    </row>
    <row r="429" spans="3:15" hidden="1" outlineLevel="2" x14ac:dyDescent="0.25">
      <c r="C429" s="59" t="s">
        <v>442</v>
      </c>
      <c r="D429" s="59"/>
      <c r="E429" s="59"/>
      <c r="F429" s="59"/>
      <c r="G429" s="59"/>
      <c r="H429" s="23" t="s">
        <v>130</v>
      </c>
      <c r="I429" s="23" t="s">
        <v>109</v>
      </c>
      <c r="J429" s="59" t="s">
        <v>92</v>
      </c>
      <c r="K429" s="66" t="str">
        <f>IF($D$311="Yes",K428*(1+WACC_adj_2),"")</f>
        <v/>
      </c>
      <c r="L429" s="66" t="str">
        <f>IF($D$311="Yes",L428*(1+WACC_adj_2),"")</f>
        <v/>
      </c>
      <c r="M429" s="66" t="str">
        <f>IF($D$311="Yes",M428*(1+WACC_adj_2),"")</f>
        <v/>
      </c>
      <c r="N429" s="66" t="str">
        <f>IF($D$311="Yes",N428*(1+WACC_adj_2),"")</f>
        <v/>
      </c>
      <c r="O429" s="66" t="str">
        <f>IF($D$311="Yes",O428*(1+WACC_adj_2),"")</f>
        <v/>
      </c>
    </row>
    <row r="430" spans="3:15" hidden="1" outlineLevel="2" x14ac:dyDescent="0.25">
      <c r="C430" s="59" t="s">
        <v>321</v>
      </c>
      <c r="D430" s="82" t="str">
        <f>INDEX(Input_DecisionActual[[Decision]:[Decision]],MATCH(Calc_TU_values!$D$235,Input_DecisionActual[[VDO period]:[VDO period]],0),1)</f>
        <v>VDO 2021 - Final</v>
      </c>
      <c r="E430" s="23" t="s">
        <v>587</v>
      </c>
      <c r="F430" s="82" t="str">
        <f>IF($D430="-","-",INDEX(Inputs!$H$10:$U$10,1,MATCH($D430,Inputs!$H$8:$U$8,0)))</f>
        <v>F-PreviousVDO_Input</v>
      </c>
      <c r="G430" s="59"/>
      <c r="H430" s="23" t="s">
        <v>130</v>
      </c>
      <c r="I430" s="23" t="s">
        <v>109</v>
      </c>
      <c r="J430" s="59" t="s">
        <v>92</v>
      </c>
      <c r="K430" s="66" cm="1">
        <f t="array" ref="K430">IFERROR(SUM(K428:K429)*(INDEX(Inputs!$H$11:$U$128,MATCH("Retail operating margin",Input_ForRateCalc[[Cost item]:[Cost item]],0),MATCH(Calc_TUV_Net_2[[#This Row],[Decision ref]:[Decision ref]],Inputs!$H$10:$U$10,0))),"-")</f>
        <v>-0.42578282022688541</v>
      </c>
      <c r="L430" s="66" cm="1">
        <f t="array" ref="L430">IFERROR(SUM(L428:L429)*(INDEX(Inputs!$H$11:$U$128,MATCH("Retail operating margin",Input_ForRateCalc[[Cost item]:[Cost item]],0),MATCH(Calc_TUV_Net_2[[#This Row],[Decision ref]:[Decision ref]],Inputs!$H$10:$U$10,0))),"-")</f>
        <v>0.83329470453111165</v>
      </c>
      <c r="M430" s="66" cm="1">
        <f t="array" ref="M430">IFERROR(SUM(M428:M429)*(INDEX(Inputs!$H$11:$U$128,MATCH("Retail operating margin",Input_ForRateCalc[[Cost item]:[Cost item]],0),MATCH(Calc_TUV_Net_2[[#This Row],[Decision ref]:[Decision ref]],Inputs!$H$10:$U$10,0))),"-")</f>
        <v>-0.20325572508792256</v>
      </c>
      <c r="N430" s="66" cm="1">
        <f t="array" ref="N430">IFERROR(SUM(N428:N429)*(INDEX(Inputs!$H$11:$U$128,MATCH("Retail operating margin",Input_ForRateCalc[[Cost item]:[Cost item]],0),MATCH(Calc_TUV_Net_2[[#This Row],[Decision ref]:[Decision ref]],Inputs!$H$10:$U$10,0))),"-")</f>
        <v>0.65797563057532804</v>
      </c>
      <c r="O430" s="66" cm="1">
        <f t="array" ref="O430">IFERROR(SUM(O428:O429)*(INDEX(Inputs!$H$11:$U$128,MATCH("Retail operating margin",Input_ForRateCalc[[Cost item]:[Cost item]],0),MATCH(Calc_TUV_Net_2[[#This Row],[Decision ref]:[Decision ref]],Inputs!$H$10:$U$10,0))),"-")</f>
        <v>0.10707905593645244</v>
      </c>
    </row>
    <row r="431" spans="3:15" hidden="1" outlineLevel="2" x14ac:dyDescent="0.25">
      <c r="C431" s="59" t="s">
        <v>443</v>
      </c>
      <c r="D431" s="59"/>
      <c r="E431" s="59"/>
      <c r="F431" s="59"/>
      <c r="G431" s="59"/>
      <c r="H431" s="23" t="s">
        <v>130</v>
      </c>
      <c r="I431" s="23" t="s">
        <v>109</v>
      </c>
      <c r="J431" s="59" t="s">
        <v>92</v>
      </c>
      <c r="K431" s="66">
        <f>IF(K427=0,"-",SUM(K428:K430)*GST)</f>
        <v>-0.74751672610693598</v>
      </c>
      <c r="L431" s="66">
        <f>IF(L427=0,"-",SUM(L428:L430)*GST)</f>
        <v>1.4629564647099187</v>
      </c>
      <c r="M431" s="66">
        <f>IF(M427=0,"-",SUM(M428:M430)*GST)</f>
        <v>-0.35684167364773689</v>
      </c>
      <c r="N431" s="66">
        <f>IF(N427=0,"-",SUM(N428:N430)*GST)</f>
        <v>1.1551611898378773</v>
      </c>
      <c r="O431" s="66">
        <f>IF(O427=0,"-",SUM(O428:O430)*GST)</f>
        <v>0.18799111078644729</v>
      </c>
    </row>
    <row r="432" spans="3:15" hidden="1" outlineLevel="2" x14ac:dyDescent="0.25">
      <c r="C432" s="23" t="s">
        <v>538</v>
      </c>
      <c r="D432" s="59"/>
      <c r="E432" s="59"/>
      <c r="F432" s="59"/>
      <c r="H432" s="23" t="s">
        <v>130</v>
      </c>
      <c r="I432" s="23" t="s">
        <v>109</v>
      </c>
      <c r="J432" s="59" t="s">
        <v>92</v>
      </c>
      <c r="K432" s="66">
        <f>IF(K427=0,"-",SUM(K428:K431))</f>
        <v>-8.2226839871762945</v>
      </c>
      <c r="L432" s="66">
        <f t="shared" ref="L432:O432" si="140">IF(L427=0,"-",SUM(L428:L431))</f>
        <v>16.092521111809106</v>
      </c>
      <c r="M432" s="66">
        <f t="shared" si="140"/>
        <v>-3.9252584101251058</v>
      </c>
      <c r="N432" s="66">
        <f t="shared" si="140"/>
        <v>12.706773088216648</v>
      </c>
      <c r="O432" s="66">
        <f t="shared" si="140"/>
        <v>2.0679022186509202</v>
      </c>
    </row>
    <row r="433" spans="3:15" hidden="1" outlineLevel="2" x14ac:dyDescent="0.25">
      <c r="C433" s="59"/>
      <c r="D433" s="59"/>
      <c r="E433" s="59"/>
      <c r="F433" s="59"/>
      <c r="G433" s="59"/>
      <c r="H433" s="23"/>
      <c r="I433" s="23"/>
      <c r="J433" s="59"/>
      <c r="K433" s="66"/>
      <c r="L433" s="66"/>
      <c r="M433" s="66"/>
      <c r="N433" s="66"/>
      <c r="O433" s="66"/>
    </row>
    <row r="434" spans="3:15" ht="15.75" hidden="1" outlineLevel="2" x14ac:dyDescent="0.25">
      <c r="C434" s="1" t="s">
        <v>528</v>
      </c>
      <c r="D434" s="59"/>
      <c r="E434" s="59"/>
      <c r="F434" s="59"/>
      <c r="G434" s="68" t="s">
        <v>639</v>
      </c>
      <c r="H434" s="59"/>
      <c r="I434" s="23"/>
      <c r="J434" s="23"/>
      <c r="K434" s="65"/>
      <c r="L434" s="23"/>
      <c r="M434" s="23"/>
      <c r="N434" s="23"/>
      <c r="O434" s="23"/>
    </row>
    <row r="435" spans="3:15" hidden="1" outlineLevel="2" x14ac:dyDescent="0.25">
      <c r="C435" s="57" t="s">
        <v>545</v>
      </c>
      <c r="D435" s="57"/>
      <c r="E435" s="57"/>
      <c r="F435" s="57"/>
      <c r="G435" s="68"/>
      <c r="H435" s="68"/>
      <c r="I435" s="23"/>
      <c r="J435" s="23"/>
      <c r="K435" s="65"/>
      <c r="L435" s="23"/>
      <c r="M435" s="23"/>
      <c r="N435" s="23"/>
      <c r="O435" s="23"/>
    </row>
    <row r="436" spans="3:15" hidden="1" outlineLevel="2" x14ac:dyDescent="0.25">
      <c r="C436" s="59" t="s">
        <v>532</v>
      </c>
      <c r="D436" s="82" t="str">
        <f>Calc_TU_values!$D$235</f>
        <v>VDO 2022 - Final</v>
      </c>
      <c r="E436" s="23" t="s">
        <v>586</v>
      </c>
      <c r="F436" s="82" t="str">
        <f>INDEX(Inputs!$H$10:$U$10,1,MATCH($D436,Inputs!$H$8:$U$8,0))</f>
        <v>F-CurrentVDO_Input</v>
      </c>
      <c r="G436" s="58"/>
      <c r="H436" s="23" t="s">
        <v>108</v>
      </c>
      <c r="I436" s="23" t="s">
        <v>109</v>
      </c>
      <c r="J436" s="59" t="s">
        <v>93</v>
      </c>
      <c r="K436" s="66" cm="1">
        <f t="array" ref="K436">IFERROR(INDEX(Input_ForRateCalc[],MATCH($C436&amp;" - "&amp;K$334,Input_ForRateCalc[[Cost item]:[Cost item]],0),MATCH(Calc_TUV_Net_2[[#This Row],[Decision ref]:[Decision ref]],Input_ForRateCalc[#Headers],0)),"-")*TUProp_Days_2</f>
        <v>18.873479452054795</v>
      </c>
      <c r="L436" s="66" cm="1">
        <f t="array" ref="L436">IFERROR(INDEX(Input_ForRateCalc[],MATCH($C436&amp;" - "&amp;L$334,Input_ForRateCalc[[Cost item]:[Cost item]],0),MATCH(Calc_TUV_Net_2[[#This Row],[Decision ref]:[Decision ref]],Input_ForRateCalc[#Headers],0)),"-")*TUProp_Days_2</f>
        <v>27.180799999999998</v>
      </c>
      <c r="M436" s="66" cm="1">
        <f t="array" ref="M436">IFERROR(INDEX(Input_ForRateCalc[],MATCH($C436&amp;" - "&amp;M$334,Input_ForRateCalc[[Cost item]:[Cost item]],0),MATCH(Calc_TUV_Net_2[[#This Row],[Decision ref]:[Decision ref]],Input_ForRateCalc[#Headers],0)),"-")*TUProp_Days_2</f>
        <v>41.127912328767124</v>
      </c>
      <c r="N436" s="66" cm="1">
        <f t="array" ref="N436">IFERROR(INDEX(Input_ForRateCalc[],MATCH($C436&amp;" - "&amp;N$334,Input_ForRateCalc[[Cost item]:[Cost item]],0),MATCH(Calc_TUV_Net_2[[#This Row],[Decision ref]:[Decision ref]],Input_ForRateCalc[#Headers],0)),"-")*TUProp_Days_2</f>
        <v>30.572200000000002</v>
      </c>
      <c r="O436" s="66" cm="1">
        <f t="array" ref="O436">IFERROR(INDEX(Input_ForRateCalc[],MATCH($C436&amp;" - "&amp;O$334,Input_ForRateCalc[[Cost item]:[Cost item]],0),MATCH(Calc_TUV_Net_2[[#This Row],[Decision ref]:[Decision ref]],Input_ForRateCalc[#Headers],0)),"-")*TUProp_Days_2</f>
        <v>20.385599999999997</v>
      </c>
    </row>
    <row r="437" spans="3:15" hidden="1" outlineLevel="2" x14ac:dyDescent="0.25">
      <c r="C437" s="59" t="s">
        <v>275</v>
      </c>
      <c r="D437" s="82" t="str">
        <f>Calc_TU_values!$D$235</f>
        <v>VDO 2022 - Final</v>
      </c>
      <c r="E437" s="23" t="s">
        <v>586</v>
      </c>
      <c r="F437" s="82" t="str">
        <f>INDEX(Inputs!$H$10:$U$10,1,MATCH($D437,Inputs!$H$8:$U$8,0))</f>
        <v>F-CurrentVDO_Input</v>
      </c>
      <c r="G437" s="58"/>
      <c r="H437" s="23" t="s">
        <v>108</v>
      </c>
      <c r="I437" s="23" t="s">
        <v>109</v>
      </c>
      <c r="J437" s="59" t="s">
        <v>93</v>
      </c>
      <c r="K437" s="66" cm="1">
        <f t="array" ref="K437">IFERROR(INDEX(Input_ForRateCalc[],MATCH($C437&amp;" - "&amp;K$334,Input_ForRateCalc[[Cost item]:[Cost item]],0),MATCH(Calc_TUV_Net_2[[#This Row],[Decision ref]:[Decision ref]],Input_ForRateCalc[#Headers],0)),"-")*TUProp_Days_2</f>
        <v>10.82027397260274</v>
      </c>
      <c r="L437" s="66" cm="1">
        <f t="array" ref="L437">IFERROR(INDEX(Input_ForRateCalc[],MATCH($C437&amp;" - "&amp;L$334,Input_ForRateCalc[[Cost item]:[Cost item]],0),MATCH(Calc_TUV_Net_2[[#This Row],[Decision ref]:[Decision ref]],Input_ForRateCalc[#Headers],0)),"-")*TUProp_Days_2</f>
        <v>10.089863013698629</v>
      </c>
      <c r="M437" s="66" cm="1">
        <f t="array" ref="M437">IFERROR(INDEX(Input_ForRateCalc[],MATCH($C437&amp;" - "&amp;M$334,Input_ForRateCalc[[Cost item]:[Cost item]],0),MATCH(Calc_TUV_Net_2[[#This Row],[Decision ref]:[Decision ref]],Input_ForRateCalc[#Headers],0)),"-")*TUProp_Days_2</f>
        <v>9.2048767123287671</v>
      </c>
      <c r="N437" s="66" cm="1">
        <f t="array" ref="N437">IFERROR(INDEX(Input_ForRateCalc[],MATCH($C437&amp;" - "&amp;N$334,Input_ForRateCalc[[Cost item]:[Cost item]],0),MATCH(Calc_TUV_Net_2[[#This Row],[Decision ref]:[Decision ref]],Input_ForRateCalc[#Headers],0)),"-")*TUProp_Days_2</f>
        <v>9.8520547945205479</v>
      </c>
      <c r="O437" s="66" cm="1">
        <f t="array" ref="O437">IFERROR(INDEX(Input_ForRateCalc[],MATCH($C437&amp;" - "&amp;O$334,Input_ForRateCalc[[Cost item]:[Cost item]],0),MATCH(Calc_TUV_Net_2[[#This Row],[Decision ref]:[Decision ref]],Input_ForRateCalc[#Headers],0)),"-")*TUProp_Days_2</f>
        <v>7.2905205479452055</v>
      </c>
    </row>
    <row r="438" spans="3:15" hidden="1" outlineLevel="2" x14ac:dyDescent="0.25">
      <c r="C438" s="59" t="s">
        <v>318</v>
      </c>
      <c r="D438" s="82" t="str">
        <f>Calc_TU_values!$D$235</f>
        <v>VDO 2022 - Final</v>
      </c>
      <c r="E438" s="23" t="s">
        <v>586</v>
      </c>
      <c r="F438" s="82" t="str">
        <f>INDEX(Inputs!$H$10:$U$10,1,MATCH($D438,Inputs!$H$8:$U$8,0))</f>
        <v>F-CurrentVDO_Input</v>
      </c>
      <c r="G438" s="58"/>
      <c r="H438" s="23" t="s">
        <v>108</v>
      </c>
      <c r="I438" s="23" t="s">
        <v>109</v>
      </c>
      <c r="J438" s="59" t="s">
        <v>93</v>
      </c>
      <c r="K438" s="64">
        <f>IFERROR(SUM(K436:K437),"-")</f>
        <v>29.693753424657537</v>
      </c>
      <c r="L438" s="64">
        <f>IFERROR(SUM(L436:L437),"-")</f>
        <v>37.270663013698623</v>
      </c>
      <c r="M438" s="64">
        <f>IFERROR(SUM(M436:M437),"-")</f>
        <v>50.332789041095893</v>
      </c>
      <c r="N438" s="64">
        <f>IFERROR(SUM(N436:N437),"-")</f>
        <v>40.42425479452055</v>
      </c>
      <c r="O438" s="64">
        <f>IFERROR(SUM(O436:O437),"-")</f>
        <v>27.676120547945203</v>
      </c>
    </row>
    <row r="439" spans="3:15" hidden="1" outlineLevel="2" x14ac:dyDescent="0.25">
      <c r="C439" s="59" t="s">
        <v>521</v>
      </c>
      <c r="D439" s="82" t="str">
        <f>INDEX(Input_DecisionActual[[Decision]:[Decision]],MATCH(Calc_TU_values!$D$235,Input_DecisionActual[[VDO period]:[VDO period]],0),1)</f>
        <v>VDO 2021 - Final</v>
      </c>
      <c r="E439" s="23" t="s">
        <v>587</v>
      </c>
      <c r="F439" s="82" t="str">
        <f>IF($D439="-","-",INDEX(Inputs!$H$10:$U$10,1,MATCH($D439,Inputs!$H$8:$U$8,0)))</f>
        <v>F-PreviousVDO_Input</v>
      </c>
      <c r="G439" s="58"/>
      <c r="H439" s="23" t="s">
        <v>108</v>
      </c>
      <c r="I439" s="23" t="s">
        <v>109</v>
      </c>
      <c r="J439" s="59" t="s">
        <v>93</v>
      </c>
      <c r="K439" s="66" cm="1">
        <f t="array" ref="K439">IFERROR(INDEX(Input_ForRateCalc[],MATCH($C439&amp;" - "&amp;K$334,Input_ForRateCalc[[Cost item]:[Cost item]],0),MATCH(Calc_TUV_Net_2[[#This Row],[Decision ref]:[Decision ref]],Input_ForRateCalc[#Headers],0)),"-")*TUProp_Days_2</f>
        <v>18.005479452054793</v>
      </c>
      <c r="L439" s="66" cm="1">
        <f t="array" ref="L439">IFERROR(INDEX(Input_ForRateCalc[],MATCH($C439&amp;" - "&amp;L$334,Input_ForRateCalc[[Cost item]:[Cost item]],0),MATCH(Calc_TUV_Net_2[[#This Row],[Decision ref]:[Decision ref]],Input_ForRateCalc[#Headers],0)),"-")*TUProp_Days_2</f>
        <v>27.17808219178082</v>
      </c>
      <c r="M439" s="66" cm="1">
        <f t="array" ref="M439">IFERROR(INDEX(Input_ForRateCalc[],MATCH($C439&amp;" - "&amp;M$334,Input_ForRateCalc[[Cost item]:[Cost item]],0),MATCH(Calc_TUV_Net_2[[#This Row],[Decision ref]:[Decision ref]],Input_ForRateCalc[#Headers],0)),"-")*TUProp_Days_2</f>
        <v>20.169704109589041</v>
      </c>
      <c r="N439" s="66" cm="1">
        <f t="array" ref="N439">IFERROR(INDEX(Input_ForRateCalc[],MATCH($C439&amp;" - "&amp;N$334,Input_ForRateCalc[[Cost item]:[Cost item]],0),MATCH(Calc_TUV_Net_2[[#This Row],[Decision ref]:[Decision ref]],Input_ForRateCalc[#Headers],0)),"-")*TUProp_Days_2</f>
        <v>30.575342465753423</v>
      </c>
      <c r="O439" s="66" cm="1">
        <f t="array" ref="O439">IFERROR(INDEX(Input_ForRateCalc[],MATCH($C439&amp;" - "&amp;O$334,Input_ForRateCalc[[Cost item]:[Cost item]],0),MATCH(Calc_TUV_Net_2[[#This Row],[Decision ref]:[Decision ref]],Input_ForRateCalc[#Headers],0)),"-")*TUProp_Days_2</f>
        <v>13.565599999999998</v>
      </c>
    </row>
    <row r="440" spans="3:15" hidden="1" outlineLevel="2" x14ac:dyDescent="0.25">
      <c r="C440" s="59" t="s">
        <v>275</v>
      </c>
      <c r="D440" s="82" t="str">
        <f>INDEX(Input_DecisionActual[[Decision]:[Decision]],MATCH(Calc_TU_values!$D$235,Input_DecisionActual[[VDO period]:[VDO period]],0),1)</f>
        <v>VDO 2021 - Final</v>
      </c>
      <c r="E440" s="23" t="s">
        <v>587</v>
      </c>
      <c r="F440" s="82" t="str">
        <f>IF($D440="-","-",INDEX(Inputs!$H$10:$U$10,1,MATCH($D440,Inputs!$H$8:$U$8,0)))</f>
        <v>F-PreviousVDO_Input</v>
      </c>
      <c r="G440" s="58"/>
      <c r="H440" s="23" t="s">
        <v>108</v>
      </c>
      <c r="I440" s="23" t="s">
        <v>109</v>
      </c>
      <c r="J440" s="59" t="s">
        <v>93</v>
      </c>
      <c r="K440" s="66" cm="1">
        <f t="array" ref="K440">IFERROR(INDEX(Input_ForRateCalc[],MATCH($C440&amp;" - "&amp;K$334,Input_ForRateCalc[[Cost item]:[Cost item]],0),MATCH(Calc_TUV_Net_2[[#This Row],[Decision ref]:[Decision ref]],Input_ForRateCalc[#Headers],0)),"-")*TUProp_Days_2</f>
        <v>10.123835616438356</v>
      </c>
      <c r="L440" s="66" cm="1">
        <f t="array" ref="L440">IFERROR(INDEX(Input_ForRateCalc[],MATCH($C440&amp;" - "&amp;L$334,Input_ForRateCalc[[Cost item]:[Cost item]],0),MATCH(Calc_TUV_Net_2[[#This Row],[Decision ref]:[Decision ref]],Input_ForRateCalc[#Headers],0)),"-")*TUProp_Days_2</f>
        <v>11.176986301369862</v>
      </c>
      <c r="M440" s="66" cm="1">
        <f t="array" ref="M440">IFERROR(INDEX(Input_ForRateCalc[],MATCH($C440&amp;" - "&amp;M$334,Input_ForRateCalc[[Cost item]:[Cost item]],0),MATCH(Calc_TUV_Net_2[[#This Row],[Decision ref]:[Decision ref]],Input_ForRateCalc[#Headers],0)),"-")*TUProp_Days_2</f>
        <v>11.258520547945205</v>
      </c>
      <c r="N440" s="66" cm="1">
        <f t="array" ref="N440">IFERROR(INDEX(Input_ForRateCalc[],MATCH($C440&amp;" - "&amp;N$334,Input_ForRateCalc[[Cost item]:[Cost item]],0),MATCH(Calc_TUV_Net_2[[#This Row],[Decision ref]:[Decision ref]],Input_ForRateCalc[#Headers],0)),"-")*TUProp_Days_2</f>
        <v>11.126027397260273</v>
      </c>
      <c r="O440" s="66" cm="1">
        <f t="array" ref="O440">IFERROR(INDEX(Input_ForRateCalc[],MATCH($C440&amp;" - "&amp;O$334,Input_ForRateCalc[[Cost item]:[Cost item]],0),MATCH(Calc_TUV_Net_2[[#This Row],[Decision ref]:[Decision ref]],Input_ForRateCalc[#Headers],0)),"-")*TUProp_Days_2</f>
        <v>8.2927123287671236</v>
      </c>
    </row>
    <row r="441" spans="3:15" hidden="1" outlineLevel="2" x14ac:dyDescent="0.25">
      <c r="C441" s="59" t="s">
        <v>318</v>
      </c>
      <c r="D441" s="82" t="str">
        <f>INDEX(Input_DecisionActual[[Decision]:[Decision]],MATCH(Calc_TU_values!$D$235,Input_DecisionActual[[VDO period]:[VDO period]],0),1)</f>
        <v>VDO 2021 - Final</v>
      </c>
      <c r="E441" s="23" t="s">
        <v>587</v>
      </c>
      <c r="F441" s="82" t="str">
        <f>IF($D441="-","-",INDEX(Inputs!$H$10:$U$10,1,MATCH($D441,Inputs!$H$8:$U$8,0)))</f>
        <v>F-PreviousVDO_Input</v>
      </c>
      <c r="G441" s="58"/>
      <c r="H441" s="23" t="s">
        <v>108</v>
      </c>
      <c r="I441" s="23" t="s">
        <v>109</v>
      </c>
      <c r="J441" s="59" t="s">
        <v>93</v>
      </c>
      <c r="K441" s="65">
        <f>SUM(K439:K440)</f>
        <v>28.129315068493149</v>
      </c>
      <c r="L441" s="65">
        <f>SUM(L439:L440)</f>
        <v>38.355068493150682</v>
      </c>
      <c r="M441" s="65">
        <f>SUM(M439:M440)</f>
        <v>31.428224657534244</v>
      </c>
      <c r="N441" s="65">
        <f>SUM(N439:N440)</f>
        <v>41.701369863013696</v>
      </c>
      <c r="O441" s="65">
        <f>SUM(O439:O440)</f>
        <v>21.85831232876712</v>
      </c>
    </row>
    <row r="442" spans="3:15" hidden="1" outlineLevel="2" x14ac:dyDescent="0.25">
      <c r="C442" s="59" t="s">
        <v>319</v>
      </c>
      <c r="D442" s="23"/>
      <c r="E442" s="23"/>
      <c r="F442" s="23"/>
      <c r="G442" s="59"/>
      <c r="H442" s="23" t="s">
        <v>108</v>
      </c>
      <c r="I442" s="23" t="s">
        <v>109</v>
      </c>
      <c r="J442" s="59" t="s">
        <v>93</v>
      </c>
      <c r="K442" s="65">
        <f>IF(K441=0,"-",K438-K441)</f>
        <v>1.5644383561643878</v>
      </c>
      <c r="L442" s="65">
        <f t="shared" ref="L442:O442" si="141">IF(L441=0,"-",L438-L441)</f>
        <v>-1.0844054794520588</v>
      </c>
      <c r="M442" s="65">
        <f t="shared" si="141"/>
        <v>18.904564383561649</v>
      </c>
      <c r="N442" s="65">
        <f t="shared" si="141"/>
        <v>-1.2771150684931456</v>
      </c>
      <c r="O442" s="65">
        <f t="shared" si="141"/>
        <v>5.8178082191780831</v>
      </c>
    </row>
    <row r="443" spans="3:15" hidden="1" outlineLevel="2" x14ac:dyDescent="0.25">
      <c r="C443" s="59" t="s">
        <v>442</v>
      </c>
      <c r="D443" s="23"/>
      <c r="E443" s="23"/>
      <c r="F443" s="23"/>
      <c r="G443" s="59"/>
      <c r="H443" s="23" t="s">
        <v>108</v>
      </c>
      <c r="I443" s="23" t="s">
        <v>109</v>
      </c>
      <c r="J443" s="59" t="s">
        <v>93</v>
      </c>
      <c r="K443" s="66" t="str">
        <f>IFERROR(IF($D$311="Yes",K442*(1+WACC_adj_2),""),"-")</f>
        <v/>
      </c>
      <c r="L443" s="66" t="str">
        <f>IFERROR(IF($D$311="Yes",L442*(1+WACC_adj_2),""),"-")</f>
        <v/>
      </c>
      <c r="M443" s="66" t="str">
        <f>IFERROR(IF($D$311="Yes",M442*(1+WACC_adj_2),""),"-")</f>
        <v/>
      </c>
      <c r="N443" s="66" t="str">
        <f>IFERROR(IF($D$311="Yes",N442*(1+WACC_adj_2),""),"-")</f>
        <v/>
      </c>
      <c r="O443" s="66" t="str">
        <f>IFERROR(IF($D$311="Yes",O442*(1+WACC_adj_2),""),"-")</f>
        <v/>
      </c>
    </row>
    <row r="444" spans="3:15" hidden="1" outlineLevel="2" x14ac:dyDescent="0.25">
      <c r="C444" s="59" t="s">
        <v>321</v>
      </c>
      <c r="D444" s="82" t="str">
        <f>INDEX(Input_DecisionActual[[Decision]:[Decision]],MATCH(Calc_TU_values!$D$235,Input_DecisionActual[[VDO period]:[VDO period]],0),1)</f>
        <v>VDO 2021 - Final</v>
      </c>
      <c r="E444" s="23" t="s">
        <v>587</v>
      </c>
      <c r="F444" s="82" t="str">
        <f>IF($D444="-","-",INDEX(Inputs!$H$10:$U$10,1,MATCH($D444,Inputs!$H$8:$U$8,0)))</f>
        <v>F-PreviousVDO_Input</v>
      </c>
      <c r="G444" s="59"/>
      <c r="H444" s="23" t="s">
        <v>108</v>
      </c>
      <c r="I444" s="23" t="s">
        <v>109</v>
      </c>
      <c r="J444" s="59" t="s">
        <v>93</v>
      </c>
      <c r="K444" s="66" cm="1">
        <f t="array" ref="K444">IFERROR(SUM(K442:K443)*(INDEX(Inputs!$H$11:$U$128,MATCH("Retail operating margin",Input_ForRateCalc[[Cost item]:[Cost item]],0),MATCH(Calc_TUV_Net_2[[#This Row],[Decision ref]:[Decision ref]],Inputs!$H$10:$U$10,0))),"-")</f>
        <v>9.4492076712329023E-2</v>
      </c>
      <c r="L444" s="66" cm="1">
        <f t="array" ref="L444">IFERROR(SUM(L442:L443)*(INDEX(Inputs!$H$11:$U$128,MATCH("Retail operating margin",Input_ForRateCalc[[Cost item]:[Cost item]],0),MATCH(Calc_TUV_Net_2[[#This Row],[Decision ref]:[Decision ref]],Inputs!$H$10:$U$10,0))),"-")</f>
        <v>-6.5498090958904354E-2</v>
      </c>
      <c r="M444" s="66" cm="1">
        <f t="array" ref="M444">IFERROR(SUM(M442:M443)*(INDEX(Inputs!$H$11:$U$128,MATCH("Retail operating margin",Input_ForRateCalc[[Cost item]:[Cost item]],0),MATCH(Calc_TUV_Net_2[[#This Row],[Decision ref]:[Decision ref]],Inputs!$H$10:$U$10,0))),"-")</f>
        <v>1.1418356887671237</v>
      </c>
      <c r="N444" s="66" cm="1">
        <f t="array" ref="N444">IFERROR(SUM(N442:N443)*(INDEX(Inputs!$H$11:$U$128,MATCH("Retail operating margin",Input_ForRateCalc[[Cost item]:[Cost item]],0),MATCH(Calc_TUV_Net_2[[#This Row],[Decision ref]:[Decision ref]],Inputs!$H$10:$U$10,0))),"-")</f>
        <v>-7.7137750136985997E-2</v>
      </c>
      <c r="O444" s="66" cm="1">
        <f t="array" ref="O444">IFERROR(SUM(O442:O443)*(INDEX(Inputs!$H$11:$U$128,MATCH("Retail operating margin",Input_ForRateCalc[[Cost item]:[Cost item]],0),MATCH(Calc_TUV_Net_2[[#This Row],[Decision ref]:[Decision ref]],Inputs!$H$10:$U$10,0))),"-")</f>
        <v>0.35139561643835621</v>
      </c>
    </row>
    <row r="445" spans="3:15" hidden="1" outlineLevel="2" x14ac:dyDescent="0.25">
      <c r="C445" s="59" t="s">
        <v>443</v>
      </c>
      <c r="D445" s="23"/>
      <c r="E445" s="23"/>
      <c r="F445" s="23"/>
      <c r="G445" s="59"/>
      <c r="H445" s="23" t="s">
        <v>108</v>
      </c>
      <c r="I445" s="23" t="s">
        <v>109</v>
      </c>
      <c r="J445" s="59" t="s">
        <v>93</v>
      </c>
      <c r="K445" s="66">
        <f>IF(K441=0,"-",SUM(K442:K444)*GST)</f>
        <v>0.16589304328767168</v>
      </c>
      <c r="L445" s="66">
        <f>IF(L441=0,"-",SUM(L442:L444)*GST)</f>
        <v>-0.11499035704109631</v>
      </c>
      <c r="M445" s="66">
        <f>IF(M441=0,"-",SUM(M442:M444)*GST)</f>
        <v>2.0046400072328772</v>
      </c>
      <c r="N445" s="66">
        <f>IF(N441=0,"-",SUM(N442:N444)*GST)</f>
        <v>-0.13542528186301317</v>
      </c>
      <c r="O445" s="66">
        <f>IF(O441=0,"-",SUM(O442:O444)*GST)</f>
        <v>0.61692038356164403</v>
      </c>
    </row>
    <row r="446" spans="3:15" hidden="1" outlineLevel="2" x14ac:dyDescent="0.25">
      <c r="C446" s="23" t="s">
        <v>537</v>
      </c>
      <c r="D446" s="23"/>
      <c r="E446" s="23"/>
      <c r="F446" s="23"/>
      <c r="G446" s="59"/>
      <c r="H446" s="23" t="s">
        <v>108</v>
      </c>
      <c r="I446" s="23" t="s">
        <v>109</v>
      </c>
      <c r="J446" s="59" t="s">
        <v>93</v>
      </c>
      <c r="K446" s="66">
        <f>IF(K441=0,"-",SUM(K442:K445))</f>
        <v>1.8248234761643884</v>
      </c>
      <c r="L446" s="66">
        <f>IF(L441=0,"-",SUM(L442:L445))</f>
        <v>-1.2648939274520594</v>
      </c>
      <c r="M446" s="66">
        <f>IF(M441=0,"-",SUM(M442:M445))</f>
        <v>22.051040079561648</v>
      </c>
      <c r="N446" s="66">
        <f>IF(N441=0,"-",SUM(N442:N445))</f>
        <v>-1.489678100493145</v>
      </c>
      <c r="O446" s="66">
        <f>IF(O441=0,"-",SUM(O442:O445))</f>
        <v>6.7861242191780837</v>
      </c>
    </row>
    <row r="447" spans="3:15" hidden="1" outlineLevel="2" x14ac:dyDescent="0.25">
      <c r="C447" s="59"/>
      <c r="D447" s="59"/>
      <c r="E447" s="59"/>
      <c r="F447" s="59"/>
      <c r="H447" s="59"/>
      <c r="I447" s="23"/>
      <c r="J447" s="23"/>
      <c r="K447" s="129"/>
      <c r="L447" s="129"/>
      <c r="M447" s="129"/>
      <c r="N447" s="129"/>
      <c r="O447" s="129"/>
    </row>
    <row r="448" spans="3:15" hidden="1" outlineLevel="2" x14ac:dyDescent="0.25">
      <c r="C448" s="57" t="s">
        <v>546</v>
      </c>
      <c r="D448" s="59"/>
      <c r="E448" s="59"/>
      <c r="F448" s="59"/>
      <c r="G448" s="68"/>
      <c r="H448" s="59"/>
      <c r="I448" s="23"/>
      <c r="J448" s="23"/>
      <c r="K448" s="129"/>
      <c r="L448" s="129"/>
      <c r="M448" s="129"/>
      <c r="N448" s="129"/>
      <c r="O448" s="129"/>
    </row>
    <row r="449" spans="3:15" hidden="1" outlineLevel="2" x14ac:dyDescent="0.25">
      <c r="C449" s="59" t="s">
        <v>533</v>
      </c>
      <c r="D449" s="82" t="str">
        <f>Calc_TU_values!$D$235</f>
        <v>VDO 2022 - Final</v>
      </c>
      <c r="E449" s="23" t="s">
        <v>586</v>
      </c>
      <c r="F449" s="82" t="str">
        <f>INDEX(Inputs!$H$10:$U$10,1,MATCH($D449,Inputs!$H$8:$U$8,0))</f>
        <v>F-CurrentVDO_Input</v>
      </c>
      <c r="G449" s="59"/>
      <c r="H449" s="23" t="s">
        <v>130</v>
      </c>
      <c r="I449" s="23" t="s">
        <v>165</v>
      </c>
      <c r="J449" s="59" t="s">
        <v>93</v>
      </c>
      <c r="K449" s="66" cm="1">
        <f t="array" ref="K449">IFERROR(INDEX(Input_ForRateCalc[],MATCH($C449&amp;" - "&amp;K$334,Input_ForRateCalc[[Cost item]:[Cost item]],0),MATCH(Calc_TUV_Net_2[[#This Row],[Decision ref]:[Decision ref]],Input_ForRateCalc[#Headers],0)),"-")</f>
        <v>17.508700000000001</v>
      </c>
      <c r="L449" s="66" cm="1">
        <f t="array" ref="L449">IFERROR(INDEX(Input_ForRateCalc[],MATCH($C449&amp;" - "&amp;L$334,Input_ForRateCalc[[Cost item]:[Cost item]],0),MATCH(Calc_TUV_Net_2[[#This Row],[Decision ref]:[Decision ref]],Input_ForRateCalc[#Headers],0)),"-")</f>
        <v>13.02</v>
      </c>
      <c r="M449" s="66" cm="1">
        <f t="array" ref="M449">IFERROR(INDEX(Input_ForRateCalc[],MATCH($C449&amp;" - "&amp;M$334,Input_ForRateCalc[[Cost item]:[Cost item]],0),MATCH(Calc_TUV_Net_2[[#This Row],[Decision ref]:[Decision ref]],Input_ForRateCalc[#Headers],0)),"-")</f>
        <v>14.331</v>
      </c>
      <c r="N449" s="66" cm="1">
        <f t="array" ref="N449">IFERROR(INDEX(Input_ForRateCalc[],MATCH($C449&amp;" - "&amp;N$334,Input_ForRateCalc[[Cost item]:[Cost item]],0),MATCH(Calc_TUV_Net_2[[#This Row],[Decision ref]:[Decision ref]],Input_ForRateCalc[#Headers],0)),"-")</f>
        <v>14.75</v>
      </c>
      <c r="O449" s="66" cm="1">
        <f t="array" ref="O449">IFERROR(INDEX(Input_ForRateCalc[],MATCH($C449&amp;" - "&amp;O$334,Input_ForRateCalc[[Cost item]:[Cost item]],0),MATCH(Calc_TUV_Net_2[[#This Row],[Decision ref]:[Decision ref]],Input_ForRateCalc[#Headers],0)),"-")</f>
        <v>13.99</v>
      </c>
    </row>
    <row r="450" spans="3:15" hidden="1" outlineLevel="2" x14ac:dyDescent="0.25">
      <c r="C450" s="59" t="s">
        <v>534</v>
      </c>
      <c r="D450" s="82" t="str">
        <f>Calc_TU_values!$D$235</f>
        <v>VDO 2022 - Final</v>
      </c>
      <c r="E450" s="23" t="s">
        <v>586</v>
      </c>
      <c r="F450" s="82" t="str">
        <f>INDEX(Inputs!$H$10:$U$10,1,MATCH($D450,Inputs!$H$8:$U$8,0))</f>
        <v>F-CurrentVDO_Input</v>
      </c>
      <c r="G450" s="68"/>
      <c r="H450" s="23" t="s">
        <v>130</v>
      </c>
      <c r="I450" s="23" t="s">
        <v>165</v>
      </c>
      <c r="J450" s="59" t="s">
        <v>93</v>
      </c>
      <c r="K450" s="66" cm="1">
        <f t="array" ref="K450">IFERROR(INDEX(Input_ForRateCalc[],MATCH($C450&amp;" - "&amp;K$334,Input_ForRateCalc[[Cost item]:[Cost item]],0),MATCH(Calc_TUV_Net_2[[#This Row],[Decision ref]:[Decision ref]],Input_ForRateCalc[#Headers],0)),"-")</f>
        <v>4.2656000000000001</v>
      </c>
      <c r="L450" s="66" cm="1">
        <f t="array" ref="L450">IFERROR(INDEX(Input_ForRateCalc[],MATCH($C450&amp;" - "&amp;L$334,Input_ForRateCalc[[Cost item]:[Cost item]],0),MATCH(Calc_TUV_Net_2[[#This Row],[Decision ref]:[Decision ref]],Input_ForRateCalc[#Headers],0)),"-")</f>
        <v>2.89</v>
      </c>
      <c r="M450" s="66" cm="1">
        <f t="array" ref="M450">IFERROR(INDEX(Input_ForRateCalc[],MATCH($C450&amp;" - "&amp;M$334,Input_ForRateCalc[[Cost item]:[Cost item]],0),MATCH(Calc_TUV_Net_2[[#This Row],[Decision ref]:[Decision ref]],Input_ForRateCalc[#Headers],0)),"-")</f>
        <v>3.052</v>
      </c>
      <c r="N450" s="66" cm="1">
        <f t="array" ref="N450">IFERROR(INDEX(Input_ForRateCalc[],MATCH($C450&amp;" - "&amp;N$334,Input_ForRateCalc[[Cost item]:[Cost item]],0),MATCH(Calc_TUV_Net_2[[#This Row],[Decision ref]:[Decision ref]],Input_ForRateCalc[#Headers],0)),"-")</f>
        <v>3.28</v>
      </c>
      <c r="O450" s="66" cm="1">
        <f t="array" ref="O450">IFERROR(INDEX(Input_ForRateCalc[],MATCH($C450&amp;" - "&amp;O$334,Input_ForRateCalc[[Cost item]:[Cost item]],0),MATCH(Calc_TUV_Net_2[[#This Row],[Decision ref]:[Decision ref]],Input_ForRateCalc[#Headers],0)),"-")</f>
        <v>3.11</v>
      </c>
    </row>
    <row r="451" spans="3:15" hidden="1" outlineLevel="2" x14ac:dyDescent="0.25">
      <c r="C451" s="59" t="s">
        <v>318</v>
      </c>
      <c r="D451" s="82" t="str">
        <f>Calc_TU_values!$D$235</f>
        <v>VDO 2022 - Final</v>
      </c>
      <c r="E451" s="23" t="s">
        <v>586</v>
      </c>
      <c r="F451" s="82" t="str">
        <f>INDEX(Inputs!$H$10:$U$10,1,MATCH($D451,Inputs!$H$8:$U$8,0))</f>
        <v>F-CurrentVDO_Input</v>
      </c>
      <c r="G451" s="58"/>
      <c r="H451" s="23" t="s">
        <v>130</v>
      </c>
      <c r="I451" s="23" t="s">
        <v>165</v>
      </c>
      <c r="J451" s="59" t="s">
        <v>93</v>
      </c>
      <c r="K451" s="67">
        <f>SUMIFS(TUNet_Usage_Actual_2[Value],TUNet_Usage_Actual_2[Customer type],Calc_TUV_Net_2[[#This Row],[Customer type]],TUNet_Usage_Actual_2[Description],"Usage per customer")*SUM(
IFERROR(K449/100*SUMIFS(Input_TUNet_Props[F-CurrentVDO_Input],Input_TUNet_Props[Customer type],Calc_TUV_Net_2[[#This Row],[Customer type]],Input_TUNet_Props[Usage type],"Peak"),0),
IFERROR(K450/100*SUMIFS(Input_TUNet_Props[F-CurrentVDO_Input],Input_TUNet_Props[Customer type],Calc_TUV_Net_2[[#This Row],[Customer type]],Input_TUNet_Props[Usage type],"Off peak"),0))</f>
        <v>144.43238776990947</v>
      </c>
      <c r="L451" s="67">
        <f>SUMIFS(TUNet_Usage_Actual_2[Value],TUNet_Usage_Actual_2[Customer type],Calc_TUV_Net_2[[#This Row],[Customer type]],TUNet_Usage_Actual_2[Description],"Usage per customer")*SUM(
IFERROR(L449/100*SUMIFS(Input_TUNet_Props[F-CurrentVDO_Input],Input_TUNet_Props[Customer type],Calc_TUV_Net_2[[#This Row],[Customer type]],Input_TUNet_Props[Usage type],"Peak"),0),
IFERROR(L450/100*SUMIFS(Input_TUNet_Props[F-CurrentVDO_Input],Input_TUNet_Props[Customer type],Calc_TUV_Net_2[[#This Row],[Customer type]],Input_TUNet_Props[Usage type],"Off peak"),0))</f>
        <v>105.47264357428007</v>
      </c>
      <c r="M451" s="67">
        <f>SUMIFS(TUNet_Usage_Actual_2[Value],TUNet_Usage_Actual_2[Customer type],Calc_TUV_Net_2[[#This Row],[Customer type]],TUNet_Usage_Actual_2[Description],"Usage per customer")*SUM(
IFERROR(M449/100*SUMIFS(Input_TUNet_Props[F-CurrentVDO_Input],Input_TUNet_Props[Customer type],Calc_TUV_Net_2[[#This Row],[Customer type]],Input_TUNet_Props[Usage type],"Peak"),0),
IFERROR(M450/100*SUMIFS(Input_TUNet_Props[F-CurrentVDO_Input],Input_TUNet_Props[Customer type],Calc_TUV_Net_2[[#This Row],[Customer type]],Input_TUNet_Props[Usage type],"Off peak"),0))</f>
        <v>115.20929271007451</v>
      </c>
      <c r="N451" s="67">
        <f>SUMIFS(TUNet_Usage_Actual_2[Value],TUNet_Usage_Actual_2[Customer type],Calc_TUV_Net_2[[#This Row],[Customer type]],TUNet_Usage_Actual_2[Description],"Usage per customer")*SUM(
IFERROR(N449/100*SUMIFS(Input_TUNet_Props[F-CurrentVDO_Input],Input_TUNet_Props[Customer type],Calc_TUV_Net_2[[#This Row],[Customer type]],Input_TUNet_Props[Usage type],"Peak"),0),
IFERROR(N450/100*SUMIFS(Input_TUNet_Props[F-CurrentVDO_Input],Input_TUNet_Props[Customer type],Calc_TUV_Net_2[[#This Row],[Customer type]],Input_TUNet_Props[Usage type],"Off peak"),0))</f>
        <v>119.52814209915898</v>
      </c>
      <c r="O451" s="67">
        <f>SUMIFS(TUNet_Usage_Actual_2[Value],TUNet_Usage_Actual_2[Customer type],Calc_TUV_Net_2[[#This Row],[Customer type]],TUNet_Usage_Actual_2[Description],"Usage per customer")*SUM(
IFERROR(O449/100*SUMIFS(Input_TUNet_Props[F-CurrentVDO_Input],Input_TUNet_Props[Customer type],Calc_TUV_Net_2[[#This Row],[Customer type]],Input_TUNet_Props[Usage type],"Peak"),0),
IFERROR(O450/100*SUMIFS(Input_TUNet_Props[F-CurrentVDO_Input],Input_TUNet_Props[Customer type],Calc_TUV_Net_2[[#This Row],[Customer type]],Input_TUNet_Props[Usage type],"Off peak"),0))</f>
        <v>113.3625780128109</v>
      </c>
    </row>
    <row r="452" spans="3:15" hidden="1" outlineLevel="2" x14ac:dyDescent="0.25">
      <c r="C452" s="59" t="s">
        <v>522</v>
      </c>
      <c r="D452" s="82" t="str">
        <f>INDEX(Input_DecisionActual[[Decision]:[Decision]],MATCH(Calc_TU_values!$D$235,Input_DecisionActual[[VDO period]:[VDO period]],0),1)</f>
        <v>VDO 2021 - Final</v>
      </c>
      <c r="E452" s="23" t="s">
        <v>587</v>
      </c>
      <c r="F452" s="82" t="str">
        <f>IF($D452="-","-",INDEX(Inputs!$H$10:$U$10,1,MATCH($D452,Inputs!$H$8:$U$8,0)))</f>
        <v>F-PreviousVDO_Input</v>
      </c>
      <c r="G452" s="58"/>
      <c r="H452" s="23" t="s">
        <v>130</v>
      </c>
      <c r="I452" s="23" t="s">
        <v>109</v>
      </c>
      <c r="J452" s="59" t="s">
        <v>93</v>
      </c>
      <c r="K452" s="66" cm="1">
        <f t="array" ref="K452">IFERROR(INDEX(Input_ForRateCalc[],MATCH($C452&amp;" - "&amp;K$334,Input_ForRateCalc[[Cost item]:[Cost item]],0),MATCH(Calc_TUV_Net_2[[#This Row],[Decision ref]:[Decision ref]],Input_ForRateCalc[#Headers],0)),"-")</f>
        <v>13.9602</v>
      </c>
      <c r="L452" s="66" t="str" cm="1">
        <f t="array" ref="L452">IFERROR(INDEX(Input_ForRateCalc[],MATCH($C452&amp;" - "&amp;L$334,Input_ForRateCalc[[Cost item]:[Cost item]],0),MATCH(Calc_TUV_Net_2[[#This Row],[Decision ref]:[Decision ref]],Input_ForRateCalc[#Headers],0)),"-")</f>
        <v>-</v>
      </c>
      <c r="M452" s="66" t="str" cm="1">
        <f t="array" ref="M452">IFERROR(INDEX(Input_ForRateCalc[],MATCH($C452&amp;" - "&amp;M$334,Input_ForRateCalc[[Cost item]:[Cost item]],0),MATCH(Calc_TUV_Net_2[[#This Row],[Decision ref]:[Decision ref]],Input_ForRateCalc[#Headers],0)),"-")</f>
        <v>-</v>
      </c>
      <c r="N452" s="66" t="str" cm="1">
        <f t="array" ref="N452">IFERROR(INDEX(Input_ForRateCalc[],MATCH($C452&amp;" - "&amp;N$334,Input_ForRateCalc[[Cost item]:[Cost item]],0),MATCH(Calc_TUV_Net_2[[#This Row],[Decision ref]:[Decision ref]],Input_ForRateCalc[#Headers],0)),"-")</f>
        <v>-</v>
      </c>
      <c r="O452" s="66" t="str" cm="1">
        <f t="array" ref="O452">IFERROR(INDEX(Input_ForRateCalc[],MATCH($C452&amp;" - "&amp;O$334,Input_ForRateCalc[[Cost item]:[Cost item]],0),MATCH(Calc_TUV_Net_2[[#This Row],[Decision ref]:[Decision ref]],Input_ForRateCalc[#Headers],0)),"-")</f>
        <v>-</v>
      </c>
    </row>
    <row r="453" spans="3:15" hidden="1" outlineLevel="2" x14ac:dyDescent="0.25">
      <c r="C453" s="59" t="s">
        <v>523</v>
      </c>
      <c r="D453" s="82" t="str">
        <f>INDEX(Input_DecisionActual[[Decision]:[Decision]],MATCH(Calc_TU_values!$D$235,Input_DecisionActual[[VDO period]:[VDO period]],0),1)</f>
        <v>VDO 2021 - Final</v>
      </c>
      <c r="E453" s="23" t="s">
        <v>587</v>
      </c>
      <c r="F453" s="82" t="str">
        <f>IF($D453="-","-",INDEX(Inputs!$H$10:$U$10,1,MATCH($D453,Inputs!$H$8:$U$8,0)))</f>
        <v>F-PreviousVDO_Input</v>
      </c>
      <c r="G453" s="58"/>
      <c r="H453" s="23" t="s">
        <v>130</v>
      </c>
      <c r="I453" s="23" t="s">
        <v>165</v>
      </c>
      <c r="J453" s="59" t="s">
        <v>93</v>
      </c>
      <c r="K453" s="66" cm="1">
        <f t="array" ref="K453">IFERROR(INDEX(Input_ForRateCalc[],MATCH($C453&amp;" - "&amp;K$334,Input_ForRateCalc[[Cost item]:[Cost item]],0),MATCH(Calc_TUV_Net_2[[#This Row],[Decision ref]:[Decision ref]],Input_ForRateCalc[#Headers],0)),"-")</f>
        <v>16.934899999999999</v>
      </c>
      <c r="L453" s="66" t="str" cm="1">
        <f t="array" ref="L453">IFERROR(INDEX(Input_ForRateCalc[],MATCH($C453&amp;" - "&amp;L$334,Input_ForRateCalc[[Cost item]:[Cost item]],0),MATCH(Calc_TUV_Net_2[[#This Row],[Decision ref]:[Decision ref]],Input_ForRateCalc[#Headers],0)),"-")</f>
        <v>-</v>
      </c>
      <c r="M453" s="66" t="str" cm="1">
        <f t="array" ref="M453">IFERROR(INDEX(Input_ForRateCalc[],MATCH($C453&amp;" - "&amp;M$334,Input_ForRateCalc[[Cost item]:[Cost item]],0),MATCH(Calc_TUV_Net_2[[#This Row],[Decision ref]:[Decision ref]],Input_ForRateCalc[#Headers],0)),"-")</f>
        <v>-</v>
      </c>
      <c r="N453" s="66" t="str" cm="1">
        <f t="array" ref="N453">IFERROR(INDEX(Input_ForRateCalc[],MATCH($C453&amp;" - "&amp;N$334,Input_ForRateCalc[[Cost item]:[Cost item]],0),MATCH(Calc_TUV_Net_2[[#This Row],[Decision ref]:[Decision ref]],Input_ForRateCalc[#Headers],0)),"-")</f>
        <v>-</v>
      </c>
      <c r="O453" s="66" t="str" cm="1">
        <f t="array" ref="O453">IFERROR(INDEX(Input_ForRateCalc[],MATCH($C453&amp;" - "&amp;O$334,Input_ForRateCalc[[Cost item]:[Cost item]],0),MATCH(Calc_TUV_Net_2[[#This Row],[Decision ref]:[Decision ref]],Input_ForRateCalc[#Headers],0)),"-")</f>
        <v>-</v>
      </c>
    </row>
    <row r="454" spans="3:15" hidden="1" outlineLevel="2" x14ac:dyDescent="0.25">
      <c r="C454" s="59" t="s">
        <v>524</v>
      </c>
      <c r="D454" s="82" t="str">
        <f>INDEX(Input_DecisionActual[[Decision]:[Decision]],MATCH(Calc_TU_values!$D$235,Input_DecisionActual[[VDO period]:[VDO period]],0),1)</f>
        <v>VDO 2021 - Final</v>
      </c>
      <c r="E454" s="23" t="s">
        <v>587</v>
      </c>
      <c r="F454" s="82" t="str">
        <f>IF($D454="-","-",INDEX(Inputs!$H$10:$U$10,1,MATCH($D454,Inputs!$H$8:$U$8,0)))</f>
        <v>F-PreviousVDO_Input</v>
      </c>
      <c r="G454" s="58"/>
      <c r="H454" s="23" t="s">
        <v>130</v>
      </c>
      <c r="I454" s="23" t="s">
        <v>165</v>
      </c>
      <c r="J454" s="59" t="s">
        <v>93</v>
      </c>
      <c r="K454" s="66" t="str" cm="1">
        <f t="array" ref="K454">IFERROR(INDEX(Input_ForRateCalc[],MATCH($C454&amp;" - "&amp;K$334,Input_ForRateCalc[[Cost item]:[Cost item]],0),MATCH(Calc_TUV_Net_2[[#This Row],[Decision ref]:[Decision ref]],Input_ForRateCalc[#Headers],0)),"-")</f>
        <v>-</v>
      </c>
      <c r="L454" s="66" cm="1">
        <f t="array" ref="L454">IFERROR(INDEX(Input_ForRateCalc[],MATCH($C454&amp;" - "&amp;L$334,Input_ForRateCalc[[Cost item]:[Cost item]],0),MATCH(Calc_TUV_Net_2[[#This Row],[Decision ref]:[Decision ref]],Input_ForRateCalc[#Headers],0)),"-")</f>
        <v>7.54</v>
      </c>
      <c r="M454" s="66" cm="1">
        <f t="array" ref="M454">IFERROR(INDEX(Input_ForRateCalc[],MATCH($C454&amp;" - "&amp;M$334,Input_ForRateCalc[[Cost item]:[Cost item]],0),MATCH(Calc_TUV_Net_2[[#This Row],[Decision ref]:[Decision ref]],Input_ForRateCalc[#Headers],0)),"-")</f>
        <v>9.3260000000000005</v>
      </c>
      <c r="N454" s="66" cm="1">
        <f t="array" ref="N454">IFERROR(INDEX(Input_ForRateCalc[],MATCH($C454&amp;" - "&amp;N$334,Input_ForRateCalc[[Cost item]:[Cost item]],0),MATCH(Calc_TUV_Net_2[[#This Row],[Decision ref]:[Decision ref]],Input_ForRateCalc[#Headers],0)),"-")</f>
        <v>8.44</v>
      </c>
      <c r="O454" s="66" cm="1">
        <f t="array" ref="O454">IFERROR(INDEX(Input_ForRateCalc[],MATCH($C454&amp;" - "&amp;O$334,Input_ForRateCalc[[Cost item]:[Cost item]],0),MATCH(Calc_TUV_Net_2[[#This Row],[Decision ref]:[Decision ref]],Input_ForRateCalc[#Headers],0)),"-")</f>
        <v>9.27</v>
      </c>
    </row>
    <row r="455" spans="3:15" hidden="1" outlineLevel="2" x14ac:dyDescent="0.25">
      <c r="C455" s="59" t="s">
        <v>318</v>
      </c>
      <c r="D455" s="82" t="str">
        <f>INDEX(Input_DecisionActual[[Decision]:[Decision]],MATCH(Calc_TU_values!$D$235,Input_DecisionActual[[VDO period]:[VDO period]],0),1)</f>
        <v>VDO 2021 - Final</v>
      </c>
      <c r="E455" s="23" t="s">
        <v>587</v>
      </c>
      <c r="F455" s="82" t="str">
        <f>IF($D455="-","-",INDEX(Inputs!$H$10:$U$10,1,MATCH($D455,Inputs!$H$8:$U$8,0)))</f>
        <v>F-PreviousVDO_Input</v>
      </c>
      <c r="G455" s="58"/>
      <c r="H455" s="23" t="s">
        <v>130</v>
      </c>
      <c r="I455" s="23" t="s">
        <v>165</v>
      </c>
      <c r="J455" s="59" t="s">
        <v>93</v>
      </c>
      <c r="K455" s="67">
        <f>SUM(
IFERROR(K452/100*SUMIFS(INDEX(TUNet_Usage_PerRate_2[],0,MATCH(K$334,TUNet_Usage_PerRate_2[#Headers],0)),TUNet_Usage_PerRate_2[Customer type],Calc_TUV_Net_2[[#This Row],[Customer type]],TUNet_Usage_PerRate_2[Description],"Usage per customer - Block 1"),0),
IFERROR(K453/100*SUMIFS(INDEX(TUNet_Usage_PerRate_2[],0,MATCH(K$334,TUNet_Usage_PerRate_2[#Headers],0)),TUNet_Usage_PerRate_2[Customer type],Calc_TUV_Net_2[[#This Row],[Customer type]],TUNet_Usage_PerRate_2[Description],"Usage per customer - Balance"),0),
IFERROR(K454/100*SUMIFS(INDEX(TUNet_Usage_PerRate_2[],0,MATCH(K$334,TUNet_Usage_PerRate_2[#Headers],0)),TUNet_Usage_PerRate_2[Customer type],Calc_TUV_Net_2[[#This Row],[Customer type]],TUNet_Usage_PerRate_2[Description],"Usage per customer - Single rate"),0))</f>
        <v>197.08827399672458</v>
      </c>
      <c r="L455" s="67">
        <f>SUM(
IFERROR(L452/100*SUMIFS(INDEX(TUNet_Usage_PerRate_2[],0,MATCH(L$334,TUNet_Usage_PerRate_2[#Headers],0)),TUNet_Usage_PerRate_2[Customer type],Calc_TUV_Net_2[[#This Row],[Customer type]],TUNet_Usage_PerRate_2[Description],"Usage per customer - Block 1"),0),
IFERROR(L453/100*SUMIFS(INDEX(TUNet_Usage_PerRate_2[],0,MATCH(L$334,TUNet_Usage_PerRate_2[#Headers],0)),TUNet_Usage_PerRate_2[Customer type],Calc_TUV_Net_2[[#This Row],[Customer type]],TUNet_Usage_PerRate_2[Description],"Usage per customer - Balance"),0),
IFERROR(L454/100*SUMIFS(INDEX(TUNet_Usage_PerRate_2[],0,MATCH(L$334,TUNet_Usage_PerRate_2[#Headers],0)),TUNet_Usage_PerRate_2[Customer type],Calc_TUV_Net_2[[#This Row],[Customer type]],TUNet_Usage_PerRate_2[Description],"Usage per customer - Single rate"),0))</f>
        <v>101.25975432599562</v>
      </c>
      <c r="M455" s="67">
        <f>SUM(
IFERROR(M452/100*SUMIFS(INDEX(TUNet_Usage_PerRate_2[],0,MATCH(M$334,TUNet_Usage_PerRate_2[#Headers],0)),TUNet_Usage_PerRate_2[Customer type],Calc_TUV_Net_2[[#This Row],[Customer type]],TUNet_Usage_PerRate_2[Description],"Usage per customer - Block 1"),0),
IFERROR(M453/100*SUMIFS(INDEX(TUNet_Usage_PerRate_2[],0,MATCH(M$334,TUNet_Usage_PerRate_2[#Headers],0)),TUNet_Usage_PerRate_2[Customer type],Calc_TUV_Net_2[[#This Row],[Customer type]],TUNet_Usage_PerRate_2[Description],"Usage per customer - Balance"),0),
IFERROR(M454/100*SUMIFS(INDEX(TUNet_Usage_PerRate_2[],0,MATCH(M$334,TUNet_Usage_PerRate_2[#Headers],0)),TUNet_Usage_PerRate_2[Customer type],Calc_TUV_Net_2[[#This Row],[Customer type]],TUNet_Usage_PerRate_2[Description],"Usage per customer - Single rate"),0))</f>
        <v>125.24515501912934</v>
      </c>
      <c r="N455" s="67">
        <f>SUM(
IFERROR(N452/100*SUMIFS(INDEX(TUNet_Usage_PerRate_2[],0,MATCH(N$334,TUNet_Usage_PerRate_2[#Headers],0)),TUNet_Usage_PerRate_2[Customer type],Calc_TUV_Net_2[[#This Row],[Customer type]],TUNet_Usage_PerRate_2[Description],"Usage per customer - Block 1"),0),
IFERROR(N453/100*SUMIFS(INDEX(TUNet_Usage_PerRate_2[],0,MATCH(N$334,TUNet_Usage_PerRate_2[#Headers],0)),TUNet_Usage_PerRate_2[Customer type],Calc_TUV_Net_2[[#This Row],[Customer type]],TUNet_Usage_PerRate_2[Description],"Usage per customer - Balance"),0),
IFERROR(N454/100*SUMIFS(INDEX(TUNet_Usage_PerRate_2[],0,MATCH(N$334,TUNet_Usage_PerRate_2[#Headers],0)),TUNet_Usage_PerRate_2[Customer type],Calc_TUV_Net_2[[#This Row],[Customer type]],TUNet_Usage_PerRate_2[Description],"Usage per customer - Single rate"),0))</f>
        <v>113.34646240204282</v>
      </c>
      <c r="O455" s="67">
        <f>SUM(
IFERROR(O452/100*SUMIFS(INDEX(TUNet_Usage_PerRate_2[],0,MATCH(O$334,TUNet_Usage_PerRate_2[#Headers],0)),TUNet_Usage_PerRate_2[Customer type],Calc_TUV_Net_2[[#This Row],[Customer type]],TUNet_Usage_PerRate_2[Description],"Usage per customer - Block 1"),0),
IFERROR(O453/100*SUMIFS(INDEX(TUNet_Usage_PerRate_2[],0,MATCH(O$334,TUNet_Usage_PerRate_2[#Headers],0)),TUNet_Usage_PerRate_2[Customer type],Calc_TUV_Net_2[[#This Row],[Customer type]],TUNet_Usage_PerRate_2[Description],"Usage per customer - Balance"),0),
IFERROR(O454/100*SUMIFS(INDEX(TUNet_Usage_PerRate_2[],0,MATCH(O$334,TUNet_Usage_PerRate_2[#Headers],0)),TUNet_Usage_PerRate_2[Customer type],Calc_TUV_Net_2[[#This Row],[Customer type]],TUNet_Usage_PerRate_2[Description],"Usage per customer - Single rate"),0))</f>
        <v>124.49309318328638</v>
      </c>
    </row>
    <row r="456" spans="3:15" hidden="1" outlineLevel="2" x14ac:dyDescent="0.25">
      <c r="C456" s="59" t="s">
        <v>319</v>
      </c>
      <c r="D456" s="59"/>
      <c r="E456" s="59"/>
      <c r="F456" s="59"/>
      <c r="G456" s="59"/>
      <c r="H456" s="23" t="s">
        <v>130</v>
      </c>
      <c r="I456" s="23" t="s">
        <v>109</v>
      </c>
      <c r="J456" s="59" t="s">
        <v>93</v>
      </c>
      <c r="K456" s="65">
        <f>IF(K455=0,"-",K451-K455)</f>
        <v>-52.655886226815113</v>
      </c>
      <c r="L456" s="65">
        <f t="shared" ref="L456:O456" si="142">IF(L455=0,"-",L451-L455)</f>
        <v>4.2128892482844549</v>
      </c>
      <c r="M456" s="65">
        <f t="shared" si="142"/>
        <v>-10.035862309054835</v>
      </c>
      <c r="N456" s="65">
        <f t="shared" si="142"/>
        <v>6.1816796971161665</v>
      </c>
      <c r="O456" s="65">
        <f t="shared" si="142"/>
        <v>-11.130515170475476</v>
      </c>
    </row>
    <row r="457" spans="3:15" hidden="1" outlineLevel="2" x14ac:dyDescent="0.25">
      <c r="C457" s="59" t="s">
        <v>442</v>
      </c>
      <c r="D457" s="59"/>
      <c r="E457" s="59"/>
      <c r="F457" s="59"/>
      <c r="G457" s="59"/>
      <c r="H457" s="23" t="s">
        <v>130</v>
      </c>
      <c r="I457" s="23" t="s">
        <v>109</v>
      </c>
      <c r="J457" s="59" t="s">
        <v>93</v>
      </c>
      <c r="K457" s="66" t="str">
        <f>IF($D$311="Yes",K456*(1+WACC_adj_2),"")</f>
        <v/>
      </c>
      <c r="L457" s="66" t="str">
        <f>IF($D$311="Yes",L456*(1+WACC_adj_2),"")</f>
        <v/>
      </c>
      <c r="M457" s="66" t="str">
        <f>IF($D$311="Yes",M456*(1+WACC_adj_2),"")</f>
        <v/>
      </c>
      <c r="N457" s="66" t="str">
        <f>IF($D$311="Yes",N456*(1+WACC_adj_2),"")</f>
        <v/>
      </c>
      <c r="O457" s="66" t="str">
        <f>IF($D$311="Yes",O456*(1+WACC_adj_2),"")</f>
        <v/>
      </c>
    </row>
    <row r="458" spans="3:15" hidden="1" outlineLevel="2" x14ac:dyDescent="0.25">
      <c r="C458" s="59" t="s">
        <v>321</v>
      </c>
      <c r="D458" s="82" t="str">
        <f>INDEX(Input_DecisionActual[[Decision]:[Decision]],MATCH(Calc_TU_values!$D$235,Input_DecisionActual[[VDO period]:[VDO period]],0),1)</f>
        <v>VDO 2021 - Final</v>
      </c>
      <c r="E458" s="23" t="s">
        <v>587</v>
      </c>
      <c r="F458" s="82" t="str">
        <f>IF($D458="-","-",INDEX(Inputs!$H$10:$U$10,1,MATCH($D458,Inputs!$H$8:$U$8,0)))</f>
        <v>F-PreviousVDO_Input</v>
      </c>
      <c r="G458" s="59"/>
      <c r="H458" s="23" t="s">
        <v>130</v>
      </c>
      <c r="I458" s="23" t="s">
        <v>109</v>
      </c>
      <c r="J458" s="59" t="s">
        <v>93</v>
      </c>
      <c r="K458" s="66" cm="1">
        <f t="array" ref="K458">IFERROR(SUM(K456:K457)*(INDEX(Inputs!$H$11:$U$128,MATCH("Retail operating margin",Input_ForRateCalc[[Cost item]:[Cost item]],0),MATCH(Calc_TUV_Net_2[[#This Row],[Decision ref]:[Decision ref]],Inputs!$H$10:$U$10,0))),"-")</f>
        <v>-3.1804155280996329</v>
      </c>
      <c r="L458" s="66" cm="1">
        <f t="array" ref="L458">IFERROR(SUM(L456:L457)*(INDEX(Inputs!$H$11:$U$128,MATCH("Retail operating margin",Input_ForRateCalc[[Cost item]:[Cost item]],0),MATCH(Calc_TUV_Net_2[[#This Row],[Decision ref]:[Decision ref]],Inputs!$H$10:$U$10,0))),"-")</f>
        <v>0.25445851059638108</v>
      </c>
      <c r="M458" s="66" cm="1">
        <f t="array" ref="M458">IFERROR(SUM(M456:M457)*(INDEX(Inputs!$H$11:$U$128,MATCH("Retail operating margin",Input_ForRateCalc[[Cost item]:[Cost item]],0),MATCH(Calc_TUV_Net_2[[#This Row],[Decision ref]:[Decision ref]],Inputs!$H$10:$U$10,0))),"-")</f>
        <v>-0.60616608346691203</v>
      </c>
      <c r="N458" s="66" cm="1">
        <f t="array" ref="N458">IFERROR(SUM(N456:N457)*(INDEX(Inputs!$H$11:$U$128,MATCH("Retail operating margin",Input_ForRateCalc[[Cost item]:[Cost item]],0),MATCH(Calc_TUV_Net_2[[#This Row],[Decision ref]:[Decision ref]],Inputs!$H$10:$U$10,0))),"-")</f>
        <v>0.37337345370581648</v>
      </c>
      <c r="O458" s="66" cm="1">
        <f t="array" ref="O458">IFERROR(SUM(O456:O457)*(INDEX(Inputs!$H$11:$U$128,MATCH("Retail operating margin",Input_ForRateCalc[[Cost item]:[Cost item]],0),MATCH(Calc_TUV_Net_2[[#This Row],[Decision ref]:[Decision ref]],Inputs!$H$10:$U$10,0))),"-")</f>
        <v>-0.67228311629671877</v>
      </c>
    </row>
    <row r="459" spans="3:15" hidden="1" outlineLevel="2" x14ac:dyDescent="0.25">
      <c r="C459" s="59" t="s">
        <v>443</v>
      </c>
      <c r="D459" s="59"/>
      <c r="E459" s="59"/>
      <c r="F459" s="59"/>
      <c r="G459" s="59"/>
      <c r="H459" s="23" t="s">
        <v>130</v>
      </c>
      <c r="I459" s="23" t="s">
        <v>109</v>
      </c>
      <c r="J459" s="59" t="s">
        <v>93</v>
      </c>
      <c r="K459" s="66">
        <f>IF(K455=0,"-",SUM(K456:K458)*GST)</f>
        <v>-5.583630175491475</v>
      </c>
      <c r="L459" s="66">
        <f>IF(L455=0,"-",SUM(L456:L458)*GST)</f>
        <v>0.44673477588808358</v>
      </c>
      <c r="M459" s="66">
        <f>IF(M455=0,"-",SUM(M456:M458)*GST)</f>
        <v>-1.0642028392521747</v>
      </c>
      <c r="N459" s="66">
        <f>IF(N455=0,"-",SUM(N456:N458)*GST)</f>
        <v>0.65550531508219834</v>
      </c>
      <c r="O459" s="66">
        <f>IF(O455=0,"-",SUM(O456:O458)*GST)</f>
        <v>-1.1802798286772196</v>
      </c>
    </row>
    <row r="460" spans="3:15" hidden="1" outlineLevel="2" x14ac:dyDescent="0.25">
      <c r="C460" s="23" t="s">
        <v>538</v>
      </c>
      <c r="D460" s="59"/>
      <c r="E460" s="59"/>
      <c r="F460" s="59"/>
      <c r="H460" s="23" t="s">
        <v>130</v>
      </c>
      <c r="I460" s="23" t="s">
        <v>109</v>
      </c>
      <c r="J460" s="59" t="s">
        <v>93</v>
      </c>
      <c r="K460" s="66">
        <f>IF(K455=0,"-",SUM(K456:K459))</f>
        <v>-61.419931930406221</v>
      </c>
      <c r="L460" s="66">
        <f t="shared" ref="L460" si="143">IF(L455=0,"-",SUM(L456:L459))</f>
        <v>4.9140825347689194</v>
      </c>
      <c r="M460" s="66">
        <f t="shared" ref="M460" si="144">IF(M455=0,"-",SUM(M456:M459))</f>
        <v>-11.706231231773922</v>
      </c>
      <c r="N460" s="66">
        <f t="shared" ref="N460" si="145">IF(N455=0,"-",SUM(N456:N459))</f>
        <v>7.2105584659041817</v>
      </c>
      <c r="O460" s="66">
        <f t="shared" ref="O460" si="146">IF(O455=0,"-",SUM(O456:O459))</f>
        <v>-12.983078115449414</v>
      </c>
    </row>
    <row r="461" spans="3:15" hidden="1" outlineLevel="2" x14ac:dyDescent="0.25">
      <c r="C461" s="57"/>
      <c r="D461" s="57"/>
      <c r="E461" s="57"/>
      <c r="F461" s="57"/>
      <c r="G461" s="68"/>
      <c r="H461" s="68"/>
      <c r="I461" s="59"/>
      <c r="J461" s="59"/>
      <c r="K461" s="66"/>
      <c r="L461" s="59"/>
      <c r="M461" s="59"/>
      <c r="N461" s="59"/>
      <c r="O461" s="59"/>
    </row>
    <row r="462" spans="3:15" hidden="1" outlineLevel="2" x14ac:dyDescent="0.25"/>
    <row r="463" spans="3:15" hidden="1" outlineLevel="2" x14ac:dyDescent="0.25"/>
    <row r="464" spans="3:15" hidden="1" outlineLevel="2" x14ac:dyDescent="0.25"/>
    <row r="465" hidden="1" outlineLevel="2" x14ac:dyDescent="0.25"/>
    <row r="466" hidden="1" outlineLevel="2" x14ac:dyDescent="0.25"/>
    <row r="467" hidden="1" outlineLevel="2" x14ac:dyDescent="0.25"/>
    <row r="468" hidden="1" outlineLevel="2" x14ac:dyDescent="0.25"/>
    <row r="469" hidden="1" outlineLevel="2" x14ac:dyDescent="0.25"/>
    <row r="470" hidden="1" outlineLevel="2" x14ac:dyDescent="0.25"/>
    <row r="471" hidden="1" outlineLevel="1" x14ac:dyDescent="0.25"/>
  </sheetData>
  <sheetProtection algorithmName="SHA-512" hashValue="DfINGWmdeAX1QQ380Bbj3+PRUE88U6jwEwuHgrVOe39MEgRHHnVzWtymLGvkCLE1Cb000YbmSlUz73d3QJHHlw==" saltValue="ZuUeg7T5fNRHr0FYSlO+dw==" spinCount="100000" sheet="1" objects="1" scenarios="1"/>
  <mergeCells count="1">
    <mergeCell ref="A2:A3"/>
  </mergeCells>
  <phoneticPr fontId="30" type="noConversion"/>
  <dataValidations count="1">
    <dataValidation type="list" allowBlank="1" showInputMessage="1" showErrorMessage="1" sqref="G461:I461 G377:I377 G17:G23 G261:G267 H17:I17 G31:G37 H31:I31 H261:I261 G45:G51 H45:I45 G275:G281 D311 G392:G398 G404:I405 H407:I407 H275:I275 D80 G247:G253 G338:G343 G420 G378:G383 G390 G230:I230 G450:G455 H247:I247 G406:G413 G435:I435 G436:G441 D11 G376 G434 G336 G448 G422:G427 G337:I337 G352:G358 G350 G146:I146 G161:G167 G173:I174 H176:I176 G107:G112 G189 G147:G152 G159 G219:G224 G134 G204:I204 G205:G210 G119 D241 G145 G105 G217 G191:G196 G106:I106 G121:G127 G365 G175:G182 G203" xr:uid="{1AE6ACDE-CA28-4EF7-9893-0F6188807EA2}">
      <formula1>"Yes,No"</formula1>
    </dataValidation>
  </dataValidations>
  <pageMargins left="0.7" right="0.7" top="0.75" bottom="0.75" header="0.3" footer="0.3"/>
  <pageSetup paperSize="9" orientation="portrait" r:id="rId1"/>
  <ignoredErrors>
    <ignoredError sqref="K347:K348 K371 K360:O360 L359:O359 K362:O363 K373:K374" calculatedColumn="1"/>
  </ignoredErrors>
  <tableParts count="8">
    <tablePart r:id="rId2"/>
    <tablePart r:id="rId3"/>
    <tablePart r:id="rId4"/>
    <tablePart r:id="rId5"/>
    <tablePart r:id="rId6"/>
    <tablePart r:id="rId7"/>
    <tablePart r:id="rId8"/>
    <tablePart r:id="rId9"/>
  </tableParts>
  <extLst>
    <ext xmlns:x14="http://schemas.microsoft.com/office/spreadsheetml/2009/9/main" uri="{CCE6A557-97BC-4b89-ADB6-D9C93CAAB3DF}">
      <x14:dataValidations xmlns:xm="http://schemas.microsoft.com/office/excel/2006/main" count="3">
        <x14:dataValidation type="list" allowBlank="1" showInputMessage="1" showErrorMessage="1" xr:uid="{E815EA05-8F41-4BAC-860A-D30B0531C615}">
          <x14:formula1>
            <xm:f>'Lookup refs'!$E$8:$E$20</xm:f>
          </x14:formula1>
          <xm:sqref>I16:I57 I104:I230 F58 F231 I293:I304 I62:I73 I246:I287 I335:I461 I240:I242 I10:I12</xm:sqref>
        </x14:dataValidation>
        <x14:dataValidation type="list" allowBlank="1" showInputMessage="1" showErrorMessage="1" xr:uid="{057ACAD4-5C6C-42F9-B5A1-859B19EB380F}">
          <x14:formula1>
            <xm:f>'Lookup refs'!$G$8:$G$10</xm:f>
          </x14:formula1>
          <xm:sqref>J276:J287 J248:J260 J262:J274 J18:J30 J32:J44 J338:J375 J46:J57 G58 G231 J378:J403 J408:J433 J436:J460 J293 J299 J296 J302 J177:J202 J10:J12 J205:J229 J107:J144 J147:J172 J75:J76 J240:J242 J306:J307</xm:sqref>
        </x14:dataValidation>
        <x14:dataValidation type="list" allowBlank="1" showInputMessage="1" showErrorMessage="1" xr:uid="{5CD920AE-075C-4307-97A9-458228D01FB3}">
          <x14:formula1>
            <xm:f>'Lookup refs'!$C$8:$C$10</xm:f>
          </x14:formula1>
          <xm:sqref>H276:H287 H248:H260 H262:H274 H18:H30 H32:H44 H378:H403 H46:H57 E58 E231 H205:H229 H408:H433 H436:H460 H338:H375 H147:H172 H177:H202 H107:H144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86CEB-3301-4A59-8593-A05FFA1D9B81}">
  <sheetPr>
    <tabColor rgb="FF236192"/>
    <outlinePr summaryBelow="0"/>
  </sheetPr>
  <dimension ref="A1:V267"/>
  <sheetViews>
    <sheetView showGridLines="0" topLeftCell="B1" zoomScale="85" zoomScaleNormal="85" workbookViewId="0">
      <pane ySplit="3" topLeftCell="A4" activePane="bottomLeft" state="frozen"/>
      <selection pane="bottomLeft" activeCell="C4" sqref="C4"/>
    </sheetView>
  </sheetViews>
  <sheetFormatPr defaultColWidth="9.42578125" defaultRowHeight="15" outlineLevelRow="1" outlineLevelCol="1" x14ac:dyDescent="0.25"/>
  <cols>
    <col min="1" max="1" width="100.5703125" hidden="1" customWidth="1" outlineLevel="1" collapsed="1"/>
    <col min="2" max="2" width="10.5703125" style="6" customWidth="1" collapsed="1"/>
    <col min="3" max="3" width="50.5703125" customWidth="1"/>
    <col min="4" max="12" width="20.5703125" customWidth="1"/>
  </cols>
  <sheetData>
    <row r="1" spans="1:12" ht="15" customHeight="1" x14ac:dyDescent="0.25">
      <c r="A1" s="1" t="s">
        <v>20</v>
      </c>
      <c r="B1" s="21"/>
      <c r="C1" s="22"/>
      <c r="D1" s="123" t="s">
        <v>264</v>
      </c>
      <c r="E1" s="96"/>
      <c r="F1" s="22"/>
      <c r="G1" s="22"/>
      <c r="H1" s="22"/>
      <c r="I1" s="22"/>
      <c r="J1" s="22"/>
      <c r="K1" s="22"/>
      <c r="L1" s="22"/>
    </row>
    <row r="2" spans="1:12" s="4" customFormat="1" ht="50.1" customHeight="1" x14ac:dyDescent="0.25">
      <c r="A2" s="382" t="s">
        <v>21</v>
      </c>
      <c r="B2" s="25"/>
      <c r="C2" s="25" t="str">
        <f>Disclaimer!$B$1</f>
        <v>VDO calculation model</v>
      </c>
      <c r="D2" s="240" t="str">
        <f>$D$5</f>
        <v>VDO 2022-23 - Draft</v>
      </c>
      <c r="E2" s="240" t="str">
        <f>$D$135</f>
        <v>VDO 2022 - Final</v>
      </c>
      <c r="F2" s="25"/>
      <c r="G2" s="25"/>
      <c r="H2" s="25"/>
      <c r="I2" s="25"/>
      <c r="J2" s="25"/>
      <c r="K2" s="25"/>
      <c r="L2" s="25"/>
    </row>
    <row r="3" spans="1:12" s="4" customFormat="1" ht="30" customHeight="1" x14ac:dyDescent="0.25">
      <c r="A3" s="383"/>
      <c r="B3" s="27">
        <f ca="1">_xlfn.SHEET()</f>
        <v>14</v>
      </c>
      <c r="C3" s="26" t="s">
        <v>600</v>
      </c>
      <c r="D3" s="95">
        <f>SUM($H$44:$L$48,$H$100:$L$132)</f>
        <v>0</v>
      </c>
      <c r="E3" s="95">
        <f>SUM($H$174:$L$178,$H$230:$L$262)</f>
        <v>0</v>
      </c>
      <c r="F3" s="26"/>
      <c r="G3" s="26"/>
      <c r="H3" s="26"/>
      <c r="I3" s="26"/>
      <c r="J3" s="26"/>
      <c r="K3" s="26"/>
      <c r="L3" s="26"/>
    </row>
    <row r="4" spans="1:12" x14ac:dyDescent="0.25">
      <c r="B4"/>
    </row>
    <row r="5" spans="1:12" ht="15.75" x14ac:dyDescent="0.25">
      <c r="B5"/>
      <c r="C5" s="54" t="s">
        <v>101</v>
      </c>
      <c r="D5" s="41" t="str">
        <f>Calc_Rates!$D$5</f>
        <v>VDO 2022-23 - Draft</v>
      </c>
    </row>
    <row r="6" spans="1:12" x14ac:dyDescent="0.25">
      <c r="B6"/>
    </row>
    <row r="7" spans="1:12" ht="16.5" collapsed="1" thickBot="1" x14ac:dyDescent="0.3">
      <c r="B7" s="9">
        <f ca="1">MAX(B$3:B6)+0.1</f>
        <v>14.1</v>
      </c>
      <c r="C7" s="28" t="s">
        <v>599</v>
      </c>
      <c r="D7" s="28"/>
      <c r="E7" s="28"/>
      <c r="F7" s="28"/>
      <c r="G7" s="28"/>
      <c r="H7" s="28"/>
      <c r="I7" s="28"/>
      <c r="J7" s="28"/>
      <c r="K7" s="28"/>
      <c r="L7" s="28"/>
    </row>
    <row r="8" spans="1:12" ht="15.75" hidden="1" outlineLevel="1" x14ac:dyDescent="0.25">
      <c r="C8" s="29"/>
    </row>
    <row r="9" spans="1:12" ht="15.75" hidden="1" outlineLevel="1" x14ac:dyDescent="0.25">
      <c r="C9" s="29" t="s">
        <v>657</v>
      </c>
    </row>
    <row r="10" spans="1:12" ht="15.75" hidden="1" outlineLevel="1" x14ac:dyDescent="0.25">
      <c r="C10" s="168" t="s">
        <v>46</v>
      </c>
      <c r="D10" s="168" t="s">
        <v>102</v>
      </c>
      <c r="E10" s="168" t="s">
        <v>103</v>
      </c>
      <c r="F10" s="168" t="s">
        <v>91</v>
      </c>
      <c r="G10" s="168" t="s">
        <v>45</v>
      </c>
      <c r="H10" s="169" t="s">
        <v>268</v>
      </c>
      <c r="I10" s="169" t="s">
        <v>269</v>
      </c>
      <c r="J10" s="169" t="s">
        <v>270</v>
      </c>
      <c r="K10" s="169" t="s">
        <v>271</v>
      </c>
      <c r="L10" s="169" t="s">
        <v>272</v>
      </c>
    </row>
    <row r="11" spans="1:12" hidden="1" outlineLevel="1" x14ac:dyDescent="0.25">
      <c r="C11" s="23" t="str">
        <f>IF(COUNTIFS(Calc_TUV_Net_1[Pass through (Yes/No)],"Yes",Calc_TUV_Net_1[Cost item],"Anytime - "&amp;Calc_TUV_NetGroup_1[[#This Row],[Customer type]])=1,"Anytime - supply","-")</f>
        <v>-</v>
      </c>
      <c r="D11" s="23" t="s">
        <v>108</v>
      </c>
      <c r="E11" s="181" t="s">
        <v>109</v>
      </c>
      <c r="F11" s="23" t="s">
        <v>92</v>
      </c>
      <c r="G11" s="23" t="s">
        <v>121</v>
      </c>
      <c r="H11" s="186">
        <f>IFERROR(SUMIFS(INDEX(Calc_TUV_Net_1[[Ausnet]:[United Energy]],0,MATCH(Calc_TUV_NetGroup_1[[#Headers],[Ausnet]],Calc_TUV_Net_1[[#Headers],[Ausnet]:[United Energy]],0)),
Calc_TUV_Net_1[Cost item],Calc_TUV_NetGroup_1[[#This Row],[Cost item]]&amp;" cost true up",
Calc_TUV_Net_1[Customer type],Calc_TUV_NetGroup_1[[#This Row],[Customer type]]),"-")</f>
        <v>0</v>
      </c>
      <c r="I11" s="186" cm="1">
        <f t="array" ref="I11">IFERROR(SUMIFS(INDEX(Calc_TUV_Net_1[[Ausnet]:[United Energy]],0,MATCH(Calc_TUV_NetGroup_1[[#Headers],[Citipower]],Calc_TUV_Net_1[[#Headers],[Ausnet]:[United Energy]],0)),
Calc_TUV_Net_1[Cost item],Calc_TUV_NetGroup_1[[#This Row],[Cost item]]&amp;" cost true up",
Calc_TUV_Net_1[Customer type],Calc_TUV_NetGroup_1[[#This Row],[Customer type]]),"-")</f>
        <v>0</v>
      </c>
      <c r="J11" s="186" cm="1">
        <f t="array" ref="J11">IFERROR(SUMIFS(INDEX(Calc_TUV_Net_1[[Ausnet]:[United Energy]],0,MATCH(Calc_TUV_NetGroup_1[[#Headers],[Jemena]],Calc_TUV_Net_1[[#Headers],[Ausnet]:[United Energy]],0)),
Calc_TUV_Net_1[Cost item],Calc_TUV_NetGroup_1[[#This Row],[Cost item]]&amp;" cost true up",
Calc_TUV_Net_1[Customer type],Calc_TUV_NetGroup_1[[#This Row],[Customer type]]),"-")</f>
        <v>0</v>
      </c>
      <c r="K11" s="186" cm="1">
        <f t="array" ref="K11">IFERROR(SUMIFS(INDEX(Calc_TUV_Net_1[[Ausnet]:[United Energy]],0,MATCH(Calc_TUV_NetGroup_1[[#Headers],[Powercor]],Calc_TUV_Net_1[[#Headers],[Ausnet]:[United Energy]],0)),
Calc_TUV_Net_1[Cost item],Calc_TUV_NetGroup_1[[#This Row],[Cost item]]&amp;" cost true up",
Calc_TUV_Net_1[Customer type],Calc_TUV_NetGroup_1[[#This Row],[Customer type]]),"-")</f>
        <v>0</v>
      </c>
      <c r="L11" s="186" cm="1">
        <f t="array" ref="L11">IFERROR(SUMIFS(INDEX(Calc_TUV_Net_1[[Ausnet]:[United Energy]],0,MATCH(Calc_TUV_NetGroup_1[[#Headers],[United Energy]],Calc_TUV_Net_1[[#Headers],[Ausnet]:[United Energy]],0)),
Calc_TUV_Net_1[Cost item],Calc_TUV_NetGroup_1[[#This Row],[Cost item]]&amp;" cost true up",
Calc_TUV_Net_1[Customer type],Calc_TUV_NetGroup_1[[#This Row],[Customer type]]),"-")</f>
        <v>0</v>
      </c>
    </row>
    <row r="12" spans="1:12" hidden="1" outlineLevel="1" x14ac:dyDescent="0.25">
      <c r="C12" s="23" t="str">
        <f>IF(COUNTIFS(Calc_TUV_Net_1[Pass through (Yes/No)],"Yes",Calc_TUV_Net_1[Cost item],"Anytime - "&amp;Calc_TUV_NetGroup_1[[#This Row],[Customer type]])=1,"Anytime - usage","-")</f>
        <v>-</v>
      </c>
      <c r="D12" s="23" t="s">
        <v>130</v>
      </c>
      <c r="E12" s="181" t="s">
        <v>109</v>
      </c>
      <c r="F12" s="23" t="s">
        <v>92</v>
      </c>
      <c r="G12" s="23" t="s">
        <v>121</v>
      </c>
      <c r="H12" s="186" cm="1">
        <f t="array" ref="H12">IFERROR(SUMIFS(INDEX(Calc_TUV_Net_1[[Ausnet]:[United Energy]],0,MATCH(Calc_TUV_NetGroup_1[[#Headers],[Ausnet]],Calc_TUV_Net_1[[#Headers],[Ausnet]:[United Energy]],0)),
Calc_TUV_Net_1[Cost item],Calc_TUV_NetGroup_1[[#This Row],[Cost item]]&amp;" cost true up",
Calc_TUV_Net_1[Customer type],Calc_TUV_NetGroup_1[[#This Row],[Customer type]]),"-")</f>
        <v>0</v>
      </c>
      <c r="I12" s="186" cm="1">
        <f t="array" ref="I12">IFERROR(SUMIFS(INDEX(Calc_TUV_Net_1[[Ausnet]:[United Energy]],0,MATCH(Calc_TUV_NetGroup_1[[#Headers],[Citipower]],Calc_TUV_Net_1[[#Headers],[Ausnet]:[United Energy]],0)),
Calc_TUV_Net_1[Cost item],Calc_TUV_NetGroup_1[[#This Row],[Cost item]]&amp;" cost true up",
Calc_TUV_Net_1[Customer type],Calc_TUV_NetGroup_1[[#This Row],[Customer type]]),"-")</f>
        <v>0</v>
      </c>
      <c r="J12" s="186" cm="1">
        <f t="array" ref="J12">IFERROR(SUMIFS(INDEX(Calc_TUV_Net_1[[Ausnet]:[United Energy]],0,MATCH(Calc_TUV_NetGroup_1[[#Headers],[Jemena]],Calc_TUV_Net_1[[#Headers],[Ausnet]:[United Energy]],0)),
Calc_TUV_Net_1[Cost item],Calc_TUV_NetGroup_1[[#This Row],[Cost item]]&amp;" cost true up",
Calc_TUV_Net_1[Customer type],Calc_TUV_NetGroup_1[[#This Row],[Customer type]]),"-")</f>
        <v>0</v>
      </c>
      <c r="K12" s="186" cm="1">
        <f t="array" ref="K12">IFERROR(SUMIFS(INDEX(Calc_TUV_Net_1[[Ausnet]:[United Energy]],0,MATCH(Calc_TUV_NetGroup_1[[#Headers],[Powercor]],Calc_TUV_Net_1[[#Headers],[Ausnet]:[United Energy]],0)),
Calc_TUV_Net_1[Cost item],Calc_TUV_NetGroup_1[[#This Row],[Cost item]]&amp;" cost true up",
Calc_TUV_Net_1[Customer type],Calc_TUV_NetGroup_1[[#This Row],[Customer type]]),"-")</f>
        <v>0</v>
      </c>
      <c r="L12" s="186" cm="1">
        <f t="array" ref="L12">IFERROR(SUMIFS(INDEX(Calc_TUV_Net_1[[Ausnet]:[United Energy]],0,MATCH(Calc_TUV_NetGroup_1[[#Headers],[United Energy]],Calc_TUV_Net_1[[#Headers],[Ausnet]:[United Energy]],0)),
Calc_TUV_Net_1[Cost item],Calc_TUV_NetGroup_1[[#This Row],[Cost item]]&amp;" cost true up",
Calc_TUV_Net_1[Customer type],Calc_TUV_NetGroup_1[[#This Row],[Customer type]]),"-")</f>
        <v>0</v>
      </c>
    </row>
    <row r="13" spans="1:12" hidden="1" outlineLevel="1" x14ac:dyDescent="0.25">
      <c r="C13" s="23" t="str">
        <f>IF(COUNTIFS(Calc_TUV_Net_1[Pass through (Yes/No)],"Yes",Calc_TUV_Net_1[Cost item],"Anytime - "&amp;Calc_TUV_NetGroup_1[[#This Row],[Customer type]])=1,"Anytime - supply","-")</f>
        <v>-</v>
      </c>
      <c r="D13" s="23" t="s">
        <v>108</v>
      </c>
      <c r="E13" s="181" t="s">
        <v>109</v>
      </c>
      <c r="F13" s="23" t="s">
        <v>93</v>
      </c>
      <c r="G13" s="23" t="s">
        <v>121</v>
      </c>
      <c r="H13" s="186" cm="1">
        <f t="array" ref="H13">IFERROR(SUMIFS(INDEX(Calc_TUV_Net_1[[Ausnet]:[United Energy]],0,MATCH(Calc_TUV_NetGroup_1[[#Headers],[Ausnet]],Calc_TUV_Net_1[[#Headers],[Ausnet]:[United Energy]],0)),
Calc_TUV_Net_1[Cost item],Calc_TUV_NetGroup_1[[#This Row],[Cost item]]&amp;" cost true up",
Calc_TUV_Net_1[Customer type],Calc_TUV_NetGroup_1[[#This Row],[Customer type]]),"-")</f>
        <v>0</v>
      </c>
      <c r="I13" s="186" cm="1">
        <f t="array" ref="I13">IFERROR(SUMIFS(INDEX(Calc_TUV_Net_1[[Ausnet]:[United Energy]],0,MATCH(Calc_TUV_NetGroup_1[[#Headers],[Citipower]],Calc_TUV_Net_1[[#Headers],[Ausnet]:[United Energy]],0)),
Calc_TUV_Net_1[Cost item],Calc_TUV_NetGroup_1[[#This Row],[Cost item]]&amp;" cost true up",
Calc_TUV_Net_1[Customer type],Calc_TUV_NetGroup_1[[#This Row],[Customer type]]),"-")</f>
        <v>0</v>
      </c>
      <c r="J13" s="186" cm="1">
        <f t="array" ref="J13">IFERROR(SUMIFS(INDEX(Calc_TUV_Net_1[[Ausnet]:[United Energy]],0,MATCH(Calc_TUV_NetGroup_1[[#Headers],[Jemena]],Calc_TUV_Net_1[[#Headers],[Ausnet]:[United Energy]],0)),
Calc_TUV_Net_1[Cost item],Calc_TUV_NetGroup_1[[#This Row],[Cost item]]&amp;" cost true up",
Calc_TUV_Net_1[Customer type],Calc_TUV_NetGroup_1[[#This Row],[Customer type]]),"-")</f>
        <v>0</v>
      </c>
      <c r="K13" s="186" cm="1">
        <f t="array" ref="K13">IFERROR(SUMIFS(INDEX(Calc_TUV_Net_1[[Ausnet]:[United Energy]],0,MATCH(Calc_TUV_NetGroup_1[[#Headers],[Powercor]],Calc_TUV_Net_1[[#Headers],[Ausnet]:[United Energy]],0)),
Calc_TUV_Net_1[Cost item],Calc_TUV_NetGroup_1[[#This Row],[Cost item]]&amp;" cost true up",
Calc_TUV_Net_1[Customer type],Calc_TUV_NetGroup_1[[#This Row],[Customer type]]),"-")</f>
        <v>0</v>
      </c>
      <c r="L13" s="186" cm="1">
        <f t="array" ref="L13">IFERROR(SUMIFS(INDEX(Calc_TUV_Net_1[[Ausnet]:[United Energy]],0,MATCH(Calc_TUV_NetGroup_1[[#Headers],[United Energy]],Calc_TUV_Net_1[[#Headers],[Ausnet]:[United Energy]],0)),
Calc_TUV_Net_1[Cost item],Calc_TUV_NetGroup_1[[#This Row],[Cost item]]&amp;" cost true up",
Calc_TUV_Net_1[Customer type],Calc_TUV_NetGroup_1[[#This Row],[Customer type]]),"-")</f>
        <v>0</v>
      </c>
    </row>
    <row r="14" spans="1:12" hidden="1" outlineLevel="1" x14ac:dyDescent="0.25">
      <c r="C14" s="23" t="str">
        <f>IF(COUNTIFS(Calc_TUV_Net_1[Pass through (Yes/No)],"Yes",Calc_TUV_Net_1[Cost item],"Anytime - "&amp;Calc_TUV_NetGroup_1[[#This Row],[Customer type]])=1,"Anytime - usage","-")</f>
        <v>-</v>
      </c>
      <c r="D14" s="23" t="s">
        <v>130</v>
      </c>
      <c r="E14" s="181" t="s">
        <v>109</v>
      </c>
      <c r="F14" s="23" t="s">
        <v>93</v>
      </c>
      <c r="G14" s="23" t="s">
        <v>121</v>
      </c>
      <c r="H14" s="186" cm="1">
        <f t="array" ref="H14">IFERROR(SUMIFS(INDEX(Calc_TUV_Net_1[[Ausnet]:[United Energy]],0,MATCH(Calc_TUV_NetGroup_1[[#Headers],[Ausnet]],Calc_TUV_Net_1[[#Headers],[Ausnet]:[United Energy]],0)),
Calc_TUV_Net_1[Cost item],Calc_TUV_NetGroup_1[[#This Row],[Cost item]]&amp;" cost true up",
Calc_TUV_Net_1[Customer type],Calc_TUV_NetGroup_1[[#This Row],[Customer type]]),"-")</f>
        <v>0</v>
      </c>
      <c r="I14" s="186" cm="1">
        <f t="array" ref="I14">IFERROR(SUMIFS(INDEX(Calc_TUV_Net_1[[Ausnet]:[United Energy]],0,MATCH(Calc_TUV_NetGroup_1[[#Headers],[Citipower]],Calc_TUV_Net_1[[#Headers],[Ausnet]:[United Energy]],0)),
Calc_TUV_Net_1[Cost item],Calc_TUV_NetGroup_1[[#This Row],[Cost item]]&amp;" cost true up",
Calc_TUV_Net_1[Customer type],Calc_TUV_NetGroup_1[[#This Row],[Customer type]]),"-")</f>
        <v>0</v>
      </c>
      <c r="J14" s="186" cm="1">
        <f t="array" ref="J14">IFERROR(SUMIFS(INDEX(Calc_TUV_Net_1[[Ausnet]:[United Energy]],0,MATCH(Calc_TUV_NetGroup_1[[#Headers],[Jemena]],Calc_TUV_Net_1[[#Headers],[Ausnet]:[United Energy]],0)),
Calc_TUV_Net_1[Cost item],Calc_TUV_NetGroup_1[[#This Row],[Cost item]]&amp;" cost true up",
Calc_TUV_Net_1[Customer type],Calc_TUV_NetGroup_1[[#This Row],[Customer type]]),"-")</f>
        <v>0</v>
      </c>
      <c r="K14" s="186" cm="1">
        <f t="array" ref="K14">IFERROR(SUMIFS(INDEX(Calc_TUV_Net_1[[Ausnet]:[United Energy]],0,MATCH(Calc_TUV_NetGroup_1[[#Headers],[Powercor]],Calc_TUV_Net_1[[#Headers],[Ausnet]:[United Energy]],0)),
Calc_TUV_Net_1[Cost item],Calc_TUV_NetGroup_1[[#This Row],[Cost item]]&amp;" cost true up",
Calc_TUV_Net_1[Customer type],Calc_TUV_NetGroup_1[[#This Row],[Customer type]]),"-")</f>
        <v>0</v>
      </c>
      <c r="L14" s="186" cm="1">
        <f t="array" ref="L14">IFERROR(SUMIFS(INDEX(Calc_TUV_Net_1[[Ausnet]:[United Energy]],0,MATCH(Calc_TUV_NetGroup_1[[#Headers],[United Energy]],Calc_TUV_Net_1[[#Headers],[Ausnet]:[United Energy]],0)),
Calc_TUV_Net_1[Cost item],Calc_TUV_NetGroup_1[[#This Row],[Cost item]]&amp;" cost true up",
Calc_TUV_Net_1[Customer type],Calc_TUV_NetGroup_1[[#This Row],[Customer type]]),"-")</f>
        <v>0</v>
      </c>
    </row>
    <row r="15" spans="1:12" hidden="1" outlineLevel="1" x14ac:dyDescent="0.25">
      <c r="C15" s="23" t="str">
        <f>IF(COUNTIFS(Calc_TUV_Net_1[Pass through (Yes/No)],"Yes",Calc_TUV_Net_1[Cost item],"Controlled load cost - "&amp;Calc_TUV_NetGroup_1[[#This Row],[Customer type]])=1,"Controlled load - usage","-")</f>
        <v>-</v>
      </c>
      <c r="D15" s="23" t="s">
        <v>130</v>
      </c>
      <c r="E15" s="181" t="s">
        <v>109</v>
      </c>
      <c r="F15" s="23" t="s">
        <v>92</v>
      </c>
      <c r="G15" s="23" t="s">
        <v>121</v>
      </c>
      <c r="H15" s="186" cm="1">
        <f t="array" ref="H15">IFERROR(SUMIFS(INDEX(Calc_TUV_Net_1[[Ausnet]:[United Energy]],0,MATCH(Calc_TUV_NetGroup_1[[#Headers],[Ausnet]],Calc_TUV_Net_1[[#Headers],[Ausnet]:[United Energy]],0)),
Calc_TUV_Net_1[Cost item],Calc_TUV_NetGroup_1[[#This Row],[Cost item]]&amp;" cost true up",
Calc_TUV_Net_1[Customer type],Calc_TUV_NetGroup_1[[#This Row],[Customer type]]),"-")</f>
        <v>0</v>
      </c>
      <c r="I15" s="186" cm="1">
        <f t="array" ref="I15">IFERROR(SUMIFS(INDEX(Calc_TUV_Net_1[[Ausnet]:[United Energy]],0,MATCH(Calc_TUV_NetGroup_1[[#Headers],[Citipower]],Calc_TUV_Net_1[[#Headers],[Ausnet]:[United Energy]],0)),
Calc_TUV_Net_1[Cost item],Calc_TUV_NetGroup_1[[#This Row],[Cost item]]&amp;" cost true up",
Calc_TUV_Net_1[Customer type],Calc_TUV_NetGroup_1[[#This Row],[Customer type]]),"-")</f>
        <v>0</v>
      </c>
      <c r="J15" s="186" cm="1">
        <f t="array" ref="J15">IFERROR(SUMIFS(INDEX(Calc_TUV_Net_1[[Ausnet]:[United Energy]],0,MATCH(Calc_TUV_NetGroup_1[[#Headers],[Jemena]],Calc_TUV_Net_1[[#Headers],[Ausnet]:[United Energy]],0)),
Calc_TUV_Net_1[Cost item],Calc_TUV_NetGroup_1[[#This Row],[Cost item]]&amp;" cost true up",
Calc_TUV_Net_1[Customer type],Calc_TUV_NetGroup_1[[#This Row],[Customer type]]),"-")</f>
        <v>0</v>
      </c>
      <c r="K15" s="186" cm="1">
        <f t="array" ref="K15">IFERROR(SUMIFS(INDEX(Calc_TUV_Net_1[[Ausnet]:[United Energy]],0,MATCH(Calc_TUV_NetGroup_1[[#Headers],[Powercor]],Calc_TUV_Net_1[[#Headers],[Ausnet]:[United Energy]],0)),
Calc_TUV_Net_1[Cost item],Calc_TUV_NetGroup_1[[#This Row],[Cost item]]&amp;" cost true up",
Calc_TUV_Net_1[Customer type],Calc_TUV_NetGroup_1[[#This Row],[Customer type]]),"-")</f>
        <v>0</v>
      </c>
      <c r="L15" s="186" cm="1">
        <f t="array" ref="L15">IFERROR(SUMIFS(INDEX(Calc_TUV_Net_1[[Ausnet]:[United Energy]],0,MATCH(Calc_TUV_NetGroup_1[[#Headers],[United Energy]],Calc_TUV_Net_1[[#Headers],[Ausnet]:[United Energy]],0)),
Calc_TUV_Net_1[Cost item],Calc_TUV_NetGroup_1[[#This Row],[Cost item]]&amp;" cost true up",
Calc_TUV_Net_1[Customer type],Calc_TUV_NetGroup_1[[#This Row],[Customer type]]),"-")</f>
        <v>0</v>
      </c>
    </row>
    <row r="16" spans="1:12" hidden="1" outlineLevel="1" x14ac:dyDescent="0.25">
      <c r="C16" s="23" t="str">
        <f>IF(COUNTIFS(Calc_TUV_Net_1[Pass through (Yes/No)],"Yes",Calc_TUV_Net_1[Cost item],"TOU - "&amp;Calc_TUV_NetGroup_1[[#This Row],[Customer type]])=1,"TOU - supply","-")</f>
        <v>-</v>
      </c>
      <c r="D16" s="23" t="s">
        <v>108</v>
      </c>
      <c r="E16" s="181" t="s">
        <v>109</v>
      </c>
      <c r="F16" s="23" t="s">
        <v>92</v>
      </c>
      <c r="G16" s="23" t="s">
        <v>121</v>
      </c>
      <c r="H16" s="186" cm="1">
        <f t="array" ref="H16">IFERROR(SUMIFS(INDEX(Calc_TUV_Net_1[[Ausnet]:[United Energy]],0,MATCH(Calc_TUV_NetGroup_1[[#Headers],[Ausnet]],Calc_TUV_Net_1[[#Headers],[Ausnet]:[United Energy]],0)),
Calc_TUV_Net_1[Cost item],Calc_TUV_NetGroup_1[[#This Row],[Cost item]]&amp;" cost true up",
Calc_TUV_Net_1[Customer type],Calc_TUV_NetGroup_1[[#This Row],[Customer type]]),"-")</f>
        <v>0</v>
      </c>
      <c r="I16" s="186" cm="1">
        <f t="array" ref="I16">IFERROR(SUMIFS(INDEX(Calc_TUV_Net_1[[Ausnet]:[United Energy]],0,MATCH(Calc_TUV_NetGroup_1[[#Headers],[Citipower]],Calc_TUV_Net_1[[#Headers],[Ausnet]:[United Energy]],0)),
Calc_TUV_Net_1[Cost item],Calc_TUV_NetGroup_1[[#This Row],[Cost item]]&amp;" cost true up",
Calc_TUV_Net_1[Customer type],Calc_TUV_NetGroup_1[[#This Row],[Customer type]]),"-")</f>
        <v>0</v>
      </c>
      <c r="J16" s="186" cm="1">
        <f t="array" ref="J16">IFERROR(SUMIFS(INDEX(Calc_TUV_Net_1[[Ausnet]:[United Energy]],0,MATCH(Calc_TUV_NetGroup_1[[#Headers],[Jemena]],Calc_TUV_Net_1[[#Headers],[Ausnet]:[United Energy]],0)),
Calc_TUV_Net_1[Cost item],Calc_TUV_NetGroup_1[[#This Row],[Cost item]]&amp;" cost true up",
Calc_TUV_Net_1[Customer type],Calc_TUV_NetGroup_1[[#This Row],[Customer type]]),"-")</f>
        <v>0</v>
      </c>
      <c r="K16" s="186" cm="1">
        <f t="array" ref="K16">IFERROR(SUMIFS(INDEX(Calc_TUV_Net_1[[Ausnet]:[United Energy]],0,MATCH(Calc_TUV_NetGroup_1[[#Headers],[Powercor]],Calc_TUV_Net_1[[#Headers],[Ausnet]:[United Energy]],0)),
Calc_TUV_Net_1[Cost item],Calc_TUV_NetGroup_1[[#This Row],[Cost item]]&amp;" cost true up",
Calc_TUV_Net_1[Customer type],Calc_TUV_NetGroup_1[[#This Row],[Customer type]]),"-")</f>
        <v>0</v>
      </c>
      <c r="L16" s="186" cm="1">
        <f t="array" ref="L16">IFERROR(SUMIFS(INDEX(Calc_TUV_Net_1[[Ausnet]:[United Energy]],0,MATCH(Calc_TUV_NetGroup_1[[#Headers],[United Energy]],Calc_TUV_Net_1[[#Headers],[Ausnet]:[United Energy]],0)),
Calc_TUV_Net_1[Cost item],Calc_TUV_NetGroup_1[[#This Row],[Cost item]]&amp;" cost true up",
Calc_TUV_Net_1[Customer type],Calc_TUV_NetGroup_1[[#This Row],[Customer type]]),"-")</f>
        <v>0</v>
      </c>
    </row>
    <row r="17" spans="3:12" hidden="1" outlineLevel="1" x14ac:dyDescent="0.25">
      <c r="C17" s="23" t="str">
        <f>IF(COUNTIFS(Calc_TUV_Net_1[Pass through (Yes/No)],"Yes",Calc_TUV_Net_1[Cost item],"TOU - "&amp;Calc_TUV_NetGroup_1[[#This Row],[Customer type]])=1,"TOU - usage","-")</f>
        <v>-</v>
      </c>
      <c r="D17" s="23" t="s">
        <v>130</v>
      </c>
      <c r="E17" s="181" t="s">
        <v>109</v>
      </c>
      <c r="F17" s="23" t="s">
        <v>92</v>
      </c>
      <c r="G17" s="23" t="s">
        <v>121</v>
      </c>
      <c r="H17" s="186" cm="1">
        <f t="array" ref="H17">IFERROR(SUMIFS(INDEX(Calc_TUV_Net_1[[Ausnet]:[United Energy]],0,MATCH(Calc_TUV_NetGroup_1[[#Headers],[Ausnet]],Calc_TUV_Net_1[[#Headers],[Ausnet]:[United Energy]],0)),
Calc_TUV_Net_1[Cost item],Calc_TUV_NetGroup_1[[#This Row],[Cost item]]&amp;" cost true up",
Calc_TUV_Net_1[Customer type],Calc_TUV_NetGroup_1[[#This Row],[Customer type]]),"-")</f>
        <v>0</v>
      </c>
      <c r="I17" s="186" cm="1">
        <f t="array" ref="I17">IFERROR(SUMIFS(INDEX(Calc_TUV_Net_1[[Ausnet]:[United Energy]],0,MATCH(Calc_TUV_NetGroup_1[[#Headers],[Citipower]],Calc_TUV_Net_1[[#Headers],[Ausnet]:[United Energy]],0)),
Calc_TUV_Net_1[Cost item],Calc_TUV_NetGroup_1[[#This Row],[Cost item]]&amp;" cost true up",
Calc_TUV_Net_1[Customer type],Calc_TUV_NetGroup_1[[#This Row],[Customer type]]),"-")</f>
        <v>0</v>
      </c>
      <c r="J17" s="186" cm="1">
        <f t="array" ref="J17">IFERROR(SUMIFS(INDEX(Calc_TUV_Net_1[[Ausnet]:[United Energy]],0,MATCH(Calc_TUV_NetGroup_1[[#Headers],[Jemena]],Calc_TUV_Net_1[[#Headers],[Ausnet]:[United Energy]],0)),
Calc_TUV_Net_1[Cost item],Calc_TUV_NetGroup_1[[#This Row],[Cost item]]&amp;" cost true up",
Calc_TUV_Net_1[Customer type],Calc_TUV_NetGroup_1[[#This Row],[Customer type]]),"-")</f>
        <v>0</v>
      </c>
      <c r="K17" s="186" cm="1">
        <f t="array" ref="K17">IFERROR(SUMIFS(INDEX(Calc_TUV_Net_1[[Ausnet]:[United Energy]],0,MATCH(Calc_TUV_NetGroup_1[[#Headers],[Powercor]],Calc_TUV_Net_1[[#Headers],[Ausnet]:[United Energy]],0)),
Calc_TUV_Net_1[Cost item],Calc_TUV_NetGroup_1[[#This Row],[Cost item]]&amp;" cost true up",
Calc_TUV_Net_1[Customer type],Calc_TUV_NetGroup_1[[#This Row],[Customer type]]),"-")</f>
        <v>0</v>
      </c>
      <c r="L17" s="186" cm="1">
        <f t="array" ref="L17">IFERROR(SUMIFS(INDEX(Calc_TUV_Net_1[[Ausnet]:[United Energy]],0,MATCH(Calc_TUV_NetGroup_1[[#Headers],[United Energy]],Calc_TUV_Net_1[[#Headers],[Ausnet]:[United Energy]],0)),
Calc_TUV_Net_1[Cost item],Calc_TUV_NetGroup_1[[#This Row],[Cost item]]&amp;" cost true up",
Calc_TUV_Net_1[Customer type],Calc_TUV_NetGroup_1[[#This Row],[Customer type]]),"-")</f>
        <v>0</v>
      </c>
    </row>
    <row r="18" spans="3:12" hidden="1" outlineLevel="1" x14ac:dyDescent="0.25">
      <c r="C18" s="23" t="str">
        <f>IF(COUNTIFS(Calc_TUV_Net_1[Pass through (Yes/No)],"Yes",Calc_TUV_Net_1[Cost item],"TOU - "&amp;Calc_TUV_NetGroup_1[[#This Row],[Customer type]])=1,"TOU - supply","-")</f>
        <v>-</v>
      </c>
      <c r="D18" s="23" t="s">
        <v>108</v>
      </c>
      <c r="E18" s="181" t="s">
        <v>109</v>
      </c>
      <c r="F18" s="23" t="s">
        <v>93</v>
      </c>
      <c r="G18" s="23" t="s">
        <v>121</v>
      </c>
      <c r="H18" s="186" cm="1">
        <f t="array" ref="H18">IFERROR(SUMIFS(INDEX(Calc_TUV_Net_1[[Ausnet]:[United Energy]],0,MATCH(Calc_TUV_NetGroup_1[[#Headers],[Ausnet]],Calc_TUV_Net_1[[#Headers],[Ausnet]:[United Energy]],0)),
Calc_TUV_Net_1[Cost item],Calc_TUV_NetGroup_1[[#This Row],[Cost item]]&amp;" cost true up",
Calc_TUV_Net_1[Customer type],Calc_TUV_NetGroup_1[[#This Row],[Customer type]]),"-")</f>
        <v>0</v>
      </c>
      <c r="I18" s="186" cm="1">
        <f t="array" ref="I18">IFERROR(SUMIFS(INDEX(Calc_TUV_Net_1[[Ausnet]:[United Energy]],0,MATCH(Calc_TUV_NetGroup_1[[#Headers],[Citipower]],Calc_TUV_Net_1[[#Headers],[Ausnet]:[United Energy]],0)),
Calc_TUV_Net_1[Cost item],Calc_TUV_NetGroup_1[[#This Row],[Cost item]]&amp;" cost true up",
Calc_TUV_Net_1[Customer type],Calc_TUV_NetGroup_1[[#This Row],[Customer type]]),"-")</f>
        <v>0</v>
      </c>
      <c r="J18" s="186" cm="1">
        <f t="array" ref="J18">IFERROR(SUMIFS(INDEX(Calc_TUV_Net_1[[Ausnet]:[United Energy]],0,MATCH(Calc_TUV_NetGroup_1[[#Headers],[Jemena]],Calc_TUV_Net_1[[#Headers],[Ausnet]:[United Energy]],0)),
Calc_TUV_Net_1[Cost item],Calc_TUV_NetGroup_1[[#This Row],[Cost item]]&amp;" cost true up",
Calc_TUV_Net_1[Customer type],Calc_TUV_NetGroup_1[[#This Row],[Customer type]]),"-")</f>
        <v>0</v>
      </c>
      <c r="K18" s="186" cm="1">
        <f t="array" ref="K18">IFERROR(SUMIFS(INDEX(Calc_TUV_Net_1[[Ausnet]:[United Energy]],0,MATCH(Calc_TUV_NetGroup_1[[#Headers],[Powercor]],Calc_TUV_Net_1[[#Headers],[Ausnet]:[United Energy]],0)),
Calc_TUV_Net_1[Cost item],Calc_TUV_NetGroup_1[[#This Row],[Cost item]]&amp;" cost true up",
Calc_TUV_Net_1[Customer type],Calc_TUV_NetGroup_1[[#This Row],[Customer type]]),"-")</f>
        <v>0</v>
      </c>
      <c r="L18" s="186" cm="1">
        <f t="array" ref="L18">IFERROR(SUMIFS(INDEX(Calc_TUV_Net_1[[Ausnet]:[United Energy]],0,MATCH(Calc_TUV_NetGroup_1[[#Headers],[United Energy]],Calc_TUV_Net_1[[#Headers],[Ausnet]:[United Energy]],0)),
Calc_TUV_Net_1[Cost item],Calc_TUV_NetGroup_1[[#This Row],[Cost item]]&amp;" cost true up",
Calc_TUV_Net_1[Customer type],Calc_TUV_NetGroup_1[[#This Row],[Customer type]]),"-")</f>
        <v>0</v>
      </c>
    </row>
    <row r="19" spans="3:12" hidden="1" outlineLevel="1" x14ac:dyDescent="0.25">
      <c r="C19" s="23" t="str">
        <f>IF(COUNTIFS(Calc_TUV_Net_1[Pass through (Yes/No)],"Yes",Calc_TUV_Net_1[Cost item],"TOU - "&amp;Calc_TUV_NetGroup_1[[#This Row],[Customer type]])=1,"TOU - usage","-")</f>
        <v>-</v>
      </c>
      <c r="D19" s="23" t="s">
        <v>130</v>
      </c>
      <c r="E19" s="181" t="s">
        <v>109</v>
      </c>
      <c r="F19" s="23" t="s">
        <v>93</v>
      </c>
      <c r="G19" s="23" t="s">
        <v>121</v>
      </c>
      <c r="H19" s="186" cm="1">
        <f t="array" ref="H19">IFERROR(SUMIFS(INDEX(Calc_TUV_Net_1[[Ausnet]:[United Energy]],0,MATCH(Calc_TUV_NetGroup_1[[#Headers],[Ausnet]],Calc_TUV_Net_1[[#Headers],[Ausnet]:[United Energy]],0)),
Calc_TUV_Net_1[Cost item],Calc_TUV_NetGroup_1[[#This Row],[Cost item]]&amp;" cost true up",
Calc_TUV_Net_1[Customer type],Calc_TUV_NetGroup_1[[#This Row],[Customer type]]),"-")</f>
        <v>0</v>
      </c>
      <c r="I19" s="186" cm="1">
        <f t="array" ref="I19">IFERROR(SUMIFS(INDEX(Calc_TUV_Net_1[[Ausnet]:[United Energy]],0,MATCH(Calc_TUV_NetGroup_1[[#Headers],[Citipower]],Calc_TUV_Net_1[[#Headers],[Ausnet]:[United Energy]],0)),
Calc_TUV_Net_1[Cost item],Calc_TUV_NetGroup_1[[#This Row],[Cost item]]&amp;" cost true up",
Calc_TUV_Net_1[Customer type],Calc_TUV_NetGroup_1[[#This Row],[Customer type]]),"-")</f>
        <v>0</v>
      </c>
      <c r="J19" s="186" cm="1">
        <f t="array" ref="J19">IFERROR(SUMIFS(INDEX(Calc_TUV_Net_1[[Ausnet]:[United Energy]],0,MATCH(Calc_TUV_NetGroup_1[[#Headers],[Jemena]],Calc_TUV_Net_1[[#Headers],[Ausnet]:[United Energy]],0)),
Calc_TUV_Net_1[Cost item],Calc_TUV_NetGroup_1[[#This Row],[Cost item]]&amp;" cost true up",
Calc_TUV_Net_1[Customer type],Calc_TUV_NetGroup_1[[#This Row],[Customer type]]),"-")</f>
        <v>0</v>
      </c>
      <c r="K19" s="186" cm="1">
        <f t="array" ref="K19">IFERROR(SUMIFS(INDEX(Calc_TUV_Net_1[[Ausnet]:[United Energy]],0,MATCH(Calc_TUV_NetGroup_1[[#Headers],[Powercor]],Calc_TUV_Net_1[[#Headers],[Ausnet]:[United Energy]],0)),
Calc_TUV_Net_1[Cost item],Calc_TUV_NetGroup_1[[#This Row],[Cost item]]&amp;" cost true up",
Calc_TUV_Net_1[Customer type],Calc_TUV_NetGroup_1[[#This Row],[Customer type]]),"-")</f>
        <v>0</v>
      </c>
      <c r="L19" s="186" cm="1">
        <f t="array" ref="L19">IFERROR(SUMIFS(INDEX(Calc_TUV_Net_1[[Ausnet]:[United Energy]],0,MATCH(Calc_TUV_NetGroup_1[[#Headers],[United Energy]],Calc_TUV_Net_1[[#Headers],[Ausnet]:[United Energy]],0)),
Calc_TUV_Net_1[Cost item],Calc_TUV_NetGroup_1[[#This Row],[Cost item]]&amp;" cost true up",
Calc_TUV_Net_1[Customer type],Calc_TUV_NetGroup_1[[#This Row],[Customer type]]),"-")</f>
        <v>0</v>
      </c>
    </row>
    <row r="20" spans="3:12" ht="15.75" hidden="1" outlineLevel="1" x14ac:dyDescent="0.25">
      <c r="C20" s="29"/>
    </row>
    <row r="21" spans="3:12" ht="15.75" hidden="1" outlineLevel="1" x14ac:dyDescent="0.25">
      <c r="C21" s="54" t="s">
        <v>554</v>
      </c>
      <c r="D21" s="82" t="e">
        <f>INDEX(Inputs!$H$10:$Q$10,1,MATCH($D$5,Inputs!$H$8:$Q$8,0))</f>
        <v>#N/A</v>
      </c>
      <c r="E21" s="227" t="e">
        <f>INDEX(Input_TUNet_Dates[[F-PreviousVDO_Input]:[F-CurrentVDO_Input]],MATCH(Calc_TU_rates!C21,Input_TUNet_Dates[Item],0),MATCH(Calc_TU_rates!D21,Input_TUNet_Dates[[#Headers],[F-PreviousVDO_Input]:[F-CurrentVDO_Input]],0))</f>
        <v>#N/A</v>
      </c>
    </row>
    <row r="22" spans="3:12" ht="15.75" hidden="1" outlineLevel="1" x14ac:dyDescent="0.25">
      <c r="C22" s="54" t="s">
        <v>555</v>
      </c>
      <c r="D22" s="82" t="e">
        <f>INDEX(Inputs!$H$10:$Q$10,1,MATCH($D$5,Inputs!$H$8:$Q$8,0))</f>
        <v>#N/A</v>
      </c>
      <c r="E22" s="227" t="e">
        <f>INDEX(Input_TUNet_Dates[[F-PreviousVDO_Input]:[F-CurrentVDO_Input]],MATCH(Calc_TU_rates!C22,Input_TUNet_Dates[Item],0),MATCH(Calc_TU_rates!D22,Input_TUNet_Dates[[#Headers],[F-PreviousVDO_Input]:[F-CurrentVDO_Input]],0))</f>
        <v>#N/A</v>
      </c>
    </row>
    <row r="23" spans="3:12" ht="15.75" hidden="1" outlineLevel="1" x14ac:dyDescent="0.25">
      <c r="C23" s="29"/>
    </row>
    <row r="24" spans="3:12" ht="15.75" hidden="1" outlineLevel="1" x14ac:dyDescent="0.25">
      <c r="C24" s="54" t="s">
        <v>643</v>
      </c>
      <c r="E24" s="284" t="str">
        <f>IFERROR(_xlfn.DAYS(E22,E21)+1,"-")</f>
        <v>-</v>
      </c>
    </row>
    <row r="25" spans="3:12" ht="15.75" hidden="1" outlineLevel="1" x14ac:dyDescent="0.25">
      <c r="C25" s="29"/>
    </row>
    <row r="26" spans="3:12" ht="15.75" hidden="1" outlineLevel="1" x14ac:dyDescent="0.25">
      <c r="C26" s="29" t="s">
        <v>658</v>
      </c>
    </row>
    <row r="27" spans="3:12" ht="15.75" hidden="1" outlineLevel="1" x14ac:dyDescent="0.25">
      <c r="C27" s="43" t="s">
        <v>520</v>
      </c>
      <c r="D27" s="168" t="s">
        <v>102</v>
      </c>
      <c r="E27" s="168" t="s">
        <v>103</v>
      </c>
      <c r="F27" s="168" t="s">
        <v>91</v>
      </c>
      <c r="G27" s="168" t="s">
        <v>45</v>
      </c>
      <c r="H27" s="169" t="s">
        <v>268</v>
      </c>
      <c r="I27" s="169" t="s">
        <v>269</v>
      </c>
      <c r="J27" s="169" t="s">
        <v>270</v>
      </c>
      <c r="K27" s="169" t="s">
        <v>271</v>
      </c>
      <c r="L27" s="169" t="s">
        <v>272</v>
      </c>
    </row>
    <row r="28" spans="3:12" hidden="1" outlineLevel="1" collapsed="1" x14ac:dyDescent="0.25">
      <c r="C28" s="23" t="s">
        <v>556</v>
      </c>
      <c r="D28" s="23" t="s">
        <v>108</v>
      </c>
      <c r="E28" s="181" t="s">
        <v>109</v>
      </c>
      <c r="F28" s="23" t="s">
        <v>92</v>
      </c>
      <c r="G28" s="23" t="s">
        <v>121</v>
      </c>
      <c r="H28" s="188" t="str">
        <f>IFERROR(
(SUMIFS(Calc_TUV_NetGroup_1[Ausnet],
Calc_TUV_NetGroup_1[Cost item],Calc_TUR_Net_1[[#This Row],[Rate type]]&amp;" - supply",
Calc_TUV_NetGroup_1[Customer type],Calc_TUR_Net_1[[#This Row],[Customer type]],
Calc_TUV_NetGroup_1[Cost element],Calc_TUR_Net_1[[#This Row],[Cost element]])+
SUMIFS(Calc_TUV_NetGroup_1[Ausnet],
Calc_TUV_NetGroup_1[Cost item],Calc_TUR_Net_1[[#This Row],[Rate type]]&amp;" - usage",
Calc_TUV_NetGroup_1[Customer type],Calc_TUR_Net_1[[#This Row],[Customer type]],
Calc_TUV_NetGroup_1[Cost element],Calc_TUR_Net_1[[#This Row],[Cost element]]))
/$E$24,"-")</f>
        <v>-</v>
      </c>
      <c r="I28" s="188" t="str" cm="1">
        <f t="array" ref="I28">IFERROR(
(SUMIFS(Calc_TUV_NetGroup_1[Citipower],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SUMIFS(Calc_TUV_NetGroup_1[Citipower],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J28" s="188" t="str" cm="1">
        <f t="array" ref="J28">IFERROR(
(SUMIFS(Calc_TUV_NetGroup_1[Jemena],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SUMIFS(Calc_TUV_NetGroup_1[Jemena],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K28" s="188" t="str" cm="1">
        <f t="array" ref="K28">IFERROR(
(SUMIFS(Calc_TUV_NetGroup_1[Powercor],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SUMIFS(Calc_TUV_NetGroup_1[Powercor],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L28" s="188" t="str" cm="1">
        <f t="array" ref="L28">IFERROR(
(SUMIFS(Calc_TUV_NetGroup_1[United Energy],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SUMIFS(Calc_TUV_NetGroup_1[United Energy],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row>
    <row r="29" spans="3:12" hidden="1" outlineLevel="1" x14ac:dyDescent="0.25">
      <c r="C29" s="23" t="s">
        <v>556</v>
      </c>
      <c r="D29" s="23" t="s">
        <v>108</v>
      </c>
      <c r="E29" s="181" t="s">
        <v>109</v>
      </c>
      <c r="F29" s="23" t="s">
        <v>93</v>
      </c>
      <c r="G29" s="23" t="s">
        <v>121</v>
      </c>
      <c r="H29" s="188" t="str" cm="1">
        <f t="array" ref="H29">IFERROR(
(SUMIFS(Calc_TUV_NetGroup_1[Ausnet],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SUMIFS(Calc_TUV_NetGroup_1[Ausnet],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I29" s="188" t="str" cm="1">
        <f t="array" ref="I29">IFERROR(
(SUMIFS(Calc_TUV_NetGroup_1[Citipower],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SUMIFS(Calc_TUV_NetGroup_1[Citipower],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J29" s="188" t="str" cm="1">
        <f t="array" ref="J29">IFERROR(
(SUMIFS(Calc_TUV_NetGroup_1[Jemena],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SUMIFS(Calc_TUV_NetGroup_1[Jemena],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K29" s="188" t="str" cm="1">
        <f t="array" ref="K29">IFERROR(
(SUMIFS(Calc_TUV_NetGroup_1[Powercor],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SUMIFS(Calc_TUV_NetGroup_1[Powercor],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L29" s="188" t="str" cm="1">
        <f t="array" ref="L29">IFERROR(
(SUMIFS(Calc_TUV_NetGroup_1[United Energy],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SUMIFS(Calc_TUV_NetGroup_1[United Energy],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row>
    <row r="30" spans="3:12" hidden="1" outlineLevel="1" x14ac:dyDescent="0.25">
      <c r="C30" s="23" t="s">
        <v>557</v>
      </c>
      <c r="D30" s="23" t="s">
        <v>108</v>
      </c>
      <c r="E30" s="181" t="s">
        <v>109</v>
      </c>
      <c r="F30" s="23" t="s">
        <v>92</v>
      </c>
      <c r="G30" s="23" t="s">
        <v>121</v>
      </c>
      <c r="H30" s="188" t="str" cm="1">
        <f t="array" ref="H30">IFERROR(
(SUMIFS(Calc_TUV_NetGroup_1[Ausnet],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SUMIFS(Calc_TUV_NetGroup_1[Ausnet],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I30" s="188" t="str" cm="1">
        <f t="array" ref="I30">IFERROR(
(SUMIFS(Calc_TUV_NetGroup_1[Citipower],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SUMIFS(Calc_TUV_NetGroup_1[Citipower],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J30" s="188" t="str" cm="1">
        <f t="array" ref="J30">IFERROR(
(SUMIFS(Calc_TUV_NetGroup_1[Jemena],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SUMIFS(Calc_TUV_NetGroup_1[Jemena],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K30" s="188" t="str" cm="1">
        <f t="array" ref="K30">IFERROR(
(SUMIFS(Calc_TUV_NetGroup_1[Powercor],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SUMIFS(Calc_TUV_NetGroup_1[Powercor],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L30" s="188" t="str" cm="1">
        <f t="array" ref="L30">IFERROR(
(SUMIFS(Calc_TUV_NetGroup_1[United Energy],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SUMIFS(Calc_TUV_NetGroup_1[United Energy],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row>
    <row r="31" spans="3:12" hidden="1" outlineLevel="1" x14ac:dyDescent="0.25">
      <c r="C31" s="23" t="s">
        <v>557</v>
      </c>
      <c r="D31" s="23" t="s">
        <v>108</v>
      </c>
      <c r="E31" s="181" t="s">
        <v>109</v>
      </c>
      <c r="F31" s="23" t="s">
        <v>93</v>
      </c>
      <c r="G31" s="23" t="s">
        <v>121</v>
      </c>
      <c r="H31" s="188" t="str" cm="1">
        <f t="array" ref="H31">IFERROR(
(SUMIFS(Calc_TUV_NetGroup_1[Ausnet],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SUMIFS(Calc_TUV_NetGroup_1[Ausnet],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I31" s="188" t="str" cm="1">
        <f t="array" ref="I31">IFERROR(
(SUMIFS(Calc_TUV_NetGroup_1[Citipower],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SUMIFS(Calc_TUV_NetGroup_1[Citipower],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J31" s="188" t="str" cm="1">
        <f t="array" ref="J31">IFERROR(
(SUMIFS(Calc_TUV_NetGroup_1[Jemena],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SUMIFS(Calc_TUV_NetGroup_1[Jemena],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K31" s="188" t="str" cm="1">
        <f t="array" ref="K31">IFERROR(
(SUMIFS(Calc_TUV_NetGroup_1[Powercor],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SUMIFS(Calc_TUV_NetGroup_1[Powercor],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c r="L31" s="188" t="str" cm="1">
        <f t="array" ref="L31">IFERROR(
(SUMIFS(Calc_TUV_NetGroup_1[United Energy],
Calc_TUV_NetGroup_1[[Cost item]:[Cost item]],Calc_TUR_Net_1[[#This Row],[Rate type]:[Rate type]]&amp;" - supply",
Calc_TUV_NetGroup_1[[Customer type]:[Customer type]],Calc_TUR_Net_1[[#This Row],[Customer type]:[Customer type]],
Calc_TUV_NetGroup_1[[Cost element]:[Cost element]],Calc_TUR_Net_1[[#This Row],[Cost element]:[Cost element]])+
SUMIFS(Calc_TUV_NetGroup_1[United Energy],
Calc_TUV_NetGroup_1[[Cost item]:[Cost item]],Calc_TUR_Net_1[[#This Row],[Rate type]:[Rate type]]&amp;" - usage",
Calc_TUV_NetGroup_1[[Customer type]:[Customer type]],Calc_TUR_Net_1[[#This Row],[Customer type]:[Customer type]],
Calc_TUV_NetGroup_1[[Cost element]:[Cost element]],Calc_TUR_Net_1[[#This Row],[Cost element]:[Cost element]]))
/$E$24,"-")</f>
        <v>-</v>
      </c>
    </row>
    <row r="32" spans="3:12" hidden="1" outlineLevel="1" x14ac:dyDescent="0.25">
      <c r="C32" s="180"/>
      <c r="D32" s="180"/>
      <c r="E32" s="182"/>
      <c r="F32" s="180"/>
      <c r="G32" s="180"/>
      <c r="H32" s="180"/>
      <c r="I32" s="180"/>
      <c r="J32" s="180"/>
      <c r="K32" s="180"/>
      <c r="L32" s="180"/>
    </row>
    <row r="33" spans="3:12" ht="15.75" hidden="1" outlineLevel="1" x14ac:dyDescent="0.25">
      <c r="C33" s="54" t="s">
        <v>753</v>
      </c>
      <c r="E33" s="297" t="str">
        <f>IFERROR((_xlfn.DAYS(E22,E21)+1)/DiY,"-")</f>
        <v>-</v>
      </c>
    </row>
    <row r="34" spans="3:12" ht="15.75" hidden="1" outlineLevel="1" x14ac:dyDescent="0.25">
      <c r="C34" s="54" t="s">
        <v>752</v>
      </c>
      <c r="E34" s="298" t="str">
        <f>IFERROR(
INDEX(Input_Usage[[F-PreviousVDO_Input]:[F-CurrentVDO_Input]],MATCH("Residential - medium - Controlled load",Input_Usage[Ref],0),MATCH($D$5,Inputs!$I$134:$M$134,0))*E33,"-")</f>
        <v>-</v>
      </c>
      <c r="G34" s="292"/>
    </row>
    <row r="35" spans="3:12" ht="15.75" hidden="1" outlineLevel="1" x14ac:dyDescent="0.25">
      <c r="C35" s="54" t="s">
        <v>793</v>
      </c>
      <c r="D35" s="82" t="e">
        <f>INDEX(Inputs!$H$10:$Q$10,1,MATCH($D$5,Inputs!$H$8:$Q$8,0))</f>
        <v>#N/A</v>
      </c>
      <c r="E35" s="297" t="str" cm="1">
        <f t="array" ref="E35">IFERROR(INDEX(Input_TUNet_Actual[],MATCH(1,(Input_TUNet_Actual[Item]="Total usage - Controlled Load")*(Input_TUNet_Actual[Customer type]="Residential")*(Input_TUNet_Actual[Month]="January 2021 to June 2021"),0),MATCH($D$35,Input_TUNet_Actual[#Headers],0))
/INDEX(Input_TUNet_Actual[],MATCH(1,(Input_TUNet_Actual[Item]="Total usage - Controlled Load")*(Input_TUNet_Actual[Customer type]="Residential")*(Input_TUNet_Actual[Month]="July 2020 to June 2021"),0),MATCH($D$35,Input_TUNet_Actual[#Headers],0)),"-")</f>
        <v>-</v>
      </c>
      <c r="G35" s="292"/>
    </row>
    <row r="36" spans="3:12" ht="15.75" hidden="1" outlineLevel="1" x14ac:dyDescent="0.25">
      <c r="C36" s="54" t="s">
        <v>794</v>
      </c>
      <c r="E36" s="298" t="str">
        <f>IFERROR(
INDEX(Input_Usage[[F-PreviousVDO_Input]:[F-CurrentVDO_Input]],MATCH("Residential - medium - Controlled load",Input_Usage[Ref],0),MATCH(Calc_TU_rates!$D$135,Inputs!$I$134:$M$134,0))*E35,"-")</f>
        <v>-</v>
      </c>
      <c r="G36" s="292"/>
    </row>
    <row r="37" spans="3:12" hidden="1" outlineLevel="1" x14ac:dyDescent="0.25"/>
    <row r="38" spans="3:12" ht="15.75" hidden="1" outlineLevel="1" x14ac:dyDescent="0.25">
      <c r="C38" s="29" t="s">
        <v>751</v>
      </c>
    </row>
    <row r="39" spans="3:12" ht="15.75" hidden="1" outlineLevel="1" x14ac:dyDescent="0.25">
      <c r="C39" s="43" t="s">
        <v>520</v>
      </c>
      <c r="D39" s="168" t="s">
        <v>102</v>
      </c>
      <c r="E39" s="168" t="s">
        <v>103</v>
      </c>
      <c r="F39" s="168" t="s">
        <v>91</v>
      </c>
      <c r="G39" s="168" t="s">
        <v>45</v>
      </c>
      <c r="H39" s="169" t="s">
        <v>268</v>
      </c>
      <c r="I39" s="169" t="s">
        <v>269</v>
      </c>
      <c r="J39" s="169" t="s">
        <v>270</v>
      </c>
      <c r="K39" s="169" t="s">
        <v>271</v>
      </c>
      <c r="L39" s="169" t="s">
        <v>272</v>
      </c>
    </row>
    <row r="40" spans="3:12" hidden="1" outlineLevel="1" x14ac:dyDescent="0.25">
      <c r="C40" s="23" t="s">
        <v>287</v>
      </c>
      <c r="D40" s="23" t="s">
        <v>130</v>
      </c>
      <c r="E40" s="181" t="s">
        <v>109</v>
      </c>
      <c r="F40" s="23" t="s">
        <v>92</v>
      </c>
      <c r="G40" s="23" t="s">
        <v>121</v>
      </c>
      <c r="H40" s="188" t="str" cm="1">
        <f t="array" ref="H40">IFERROR(
(SUMIFS(Calc_TUV_NetGroup_1[Ausnet],
Calc_TUV_NetGroup_1[[Cost item]:[Cost item]],Calc_TUR_NetCL_1[[#This Row],[Rate type]:[Rate type]]&amp;" - supply",
Calc_TUV_NetGroup_1[[Customer type]:[Customer type]],Calc_TUR_NetCL_1[[#This Row],[Customer type]:[Customer type]],
Calc_TUV_NetGroup_1[[Cost element]:[Cost element]],Calc_TUR_NetCL_1[[#This Row],[Cost element]:[Cost element]])+
SUMIFS(Calc_TUV_NetGroup_1[Ausnet],
Calc_TUV_NetGroup_1[[Cost item]:[Cost item]],Calc_TUR_NetCL_1[[#This Row],[Rate type]:[Rate type]]&amp;" - usage",
Calc_TUV_NetGroup_1[[Customer type]:[Customer type]],Calc_TUR_NetCL_1[[#This Row],[Customer type]:[Customer type]],
Calc_TUV_NetGroup_1[[Cost element]:[Cost element]],Calc_TUR_NetCL_1[[#This Row],[Cost element]:[Cost element]]))
/$E$34,"-")</f>
        <v>-</v>
      </c>
      <c r="I40" s="188" t="str" cm="1">
        <f t="array" ref="I40">IFERROR(
(SUMIFS(Calc_TUV_NetGroup_1[Citipower],
Calc_TUV_NetGroup_1[[Cost item]:[Cost item]],Calc_TUR_NetCL_1[[#This Row],[Rate type]:[Rate type]]&amp;" - supply",
Calc_TUV_NetGroup_1[[Customer type]:[Customer type]],Calc_TUR_NetCL_1[[#This Row],[Customer type]:[Customer type]],
Calc_TUV_NetGroup_1[[Cost element]:[Cost element]],Calc_TUR_NetCL_1[[#This Row],[Cost element]:[Cost element]])+
SUMIFS(Calc_TUV_NetGroup_1[Citipower],
Calc_TUV_NetGroup_1[[Cost item]:[Cost item]],Calc_TUR_NetCL_1[[#This Row],[Rate type]:[Rate type]]&amp;" - usage",
Calc_TUV_NetGroup_1[[Customer type]:[Customer type]],Calc_TUR_NetCL_1[[#This Row],[Customer type]:[Customer type]],
Calc_TUV_NetGroup_1[[Cost element]:[Cost element]],Calc_TUR_NetCL_1[[#This Row],[Cost element]:[Cost element]]))
/$E$34,"-")</f>
        <v>-</v>
      </c>
      <c r="J40" s="188" t="str" cm="1">
        <f t="array" ref="J40">IFERROR(
(SUMIFS(Calc_TUV_NetGroup_1[Jemena],
Calc_TUV_NetGroup_1[[Cost item]:[Cost item]],Calc_TUR_NetCL_1[[#This Row],[Rate type]:[Rate type]]&amp;" - supply",
Calc_TUV_NetGroup_1[[Customer type]:[Customer type]],Calc_TUR_NetCL_1[[#This Row],[Customer type]:[Customer type]],
Calc_TUV_NetGroup_1[[Cost element]:[Cost element]],Calc_TUR_NetCL_1[[#This Row],[Cost element]:[Cost element]])+
SUMIFS(Calc_TUV_NetGroup_1[Jemena],
Calc_TUV_NetGroup_1[[Cost item]:[Cost item]],Calc_TUR_NetCL_1[[#This Row],[Rate type]:[Rate type]]&amp;" - usage",
Calc_TUV_NetGroup_1[[Customer type]:[Customer type]],Calc_TUR_NetCL_1[[#This Row],[Customer type]:[Customer type]],
Calc_TUV_NetGroup_1[[Cost element]:[Cost element]],Calc_TUR_NetCL_1[[#This Row],[Cost element]:[Cost element]]))
/$E$34,"-")</f>
        <v>-</v>
      </c>
      <c r="K40" s="188" t="str" cm="1">
        <f t="array" ref="K40">IFERROR(
(SUMIFS(Calc_TUV_NetGroup_1[Powercor],
Calc_TUV_NetGroup_1[[Cost item]:[Cost item]],Calc_TUR_NetCL_1[[#This Row],[Rate type]:[Rate type]]&amp;" - supply",
Calc_TUV_NetGroup_1[[Customer type]:[Customer type]],Calc_TUR_NetCL_1[[#This Row],[Customer type]:[Customer type]],
Calc_TUV_NetGroup_1[[Cost element]:[Cost element]],Calc_TUR_NetCL_1[[#This Row],[Cost element]:[Cost element]])+
SUMIFS(Calc_TUV_NetGroup_1[Powercor],
Calc_TUV_NetGroup_1[[Cost item]:[Cost item]],Calc_TUR_NetCL_1[[#This Row],[Rate type]:[Rate type]]&amp;" - usage",
Calc_TUV_NetGroup_1[[Customer type]:[Customer type]],Calc_TUR_NetCL_1[[#This Row],[Customer type]:[Customer type]],
Calc_TUV_NetGroup_1[[Cost element]:[Cost element]],Calc_TUR_NetCL_1[[#This Row],[Cost element]:[Cost element]]))
/$E$34,"-")</f>
        <v>-</v>
      </c>
      <c r="L40" s="188" t="str" cm="1">
        <f t="array" ref="L40">IFERROR(
(SUMIFS(Calc_TUV_NetGroup_1[United Energy],
Calc_TUV_NetGroup_1[[Cost item]:[Cost item]],Calc_TUR_NetCL_1[[#This Row],[Rate type]:[Rate type]]&amp;" - supply",
Calc_TUV_NetGroup_1[[Customer type]:[Customer type]],Calc_TUR_NetCL_1[[#This Row],[Customer type]:[Customer type]],
Calc_TUV_NetGroup_1[[Cost element]:[Cost element]],Calc_TUR_NetCL_1[[#This Row],[Cost element]:[Cost element]])+
SUMIFS(Calc_TUV_NetGroup_1[United Energy],
Calc_TUV_NetGroup_1[[Cost item]:[Cost item]],Calc_TUR_NetCL_1[[#This Row],[Rate type]:[Rate type]]&amp;" - usage",
Calc_TUV_NetGroup_1[[Customer type]:[Customer type]],Calc_TUR_NetCL_1[[#This Row],[Customer type]:[Customer type]],
Calc_TUV_NetGroup_1[[Cost element]:[Cost element]],Calc_TUR_NetCL_1[[#This Row],[Cost element]:[Cost element]]))
/$E$34,"-")</f>
        <v>-</v>
      </c>
    </row>
    <row r="41" spans="3:12" hidden="1" outlineLevel="1" x14ac:dyDescent="0.25">
      <c r="C41" s="180"/>
      <c r="D41" s="180"/>
      <c r="E41" s="182"/>
      <c r="F41" s="180"/>
      <c r="G41" s="180"/>
      <c r="H41" s="180"/>
      <c r="I41" s="180"/>
      <c r="J41" s="180"/>
      <c r="K41" s="180"/>
      <c r="L41" s="180"/>
    </row>
    <row r="42" spans="3:12" ht="15.75" hidden="1" outlineLevel="1" x14ac:dyDescent="0.25">
      <c r="C42" s="29" t="s">
        <v>17</v>
      </c>
    </row>
    <row r="43" spans="3:12" ht="15.75" hidden="1" outlineLevel="1" x14ac:dyDescent="0.25">
      <c r="C43" s="167" t="s">
        <v>520</v>
      </c>
      <c r="D43" s="167" t="s">
        <v>102</v>
      </c>
      <c r="E43" s="167" t="s">
        <v>103</v>
      </c>
      <c r="F43" s="167" t="s">
        <v>91</v>
      </c>
      <c r="G43" s="199" t="s">
        <v>45</v>
      </c>
      <c r="H43" s="197" t="s">
        <v>268</v>
      </c>
      <c r="I43" s="197" t="s">
        <v>269</v>
      </c>
      <c r="J43" s="197" t="s">
        <v>270</v>
      </c>
      <c r="K43" s="197" t="s">
        <v>271</v>
      </c>
      <c r="L43" s="197" t="s">
        <v>272</v>
      </c>
    </row>
    <row r="44" spans="3:12" ht="15.75" hidden="1" outlineLevel="1" x14ac:dyDescent="0.25">
      <c r="C44" s="23" t="s">
        <v>556</v>
      </c>
      <c r="D44" s="23" t="s">
        <v>108</v>
      </c>
      <c r="E44" s="23" t="s">
        <v>109</v>
      </c>
      <c r="F44" s="23" t="s">
        <v>92</v>
      </c>
      <c r="G44" s="23" t="s">
        <v>121</v>
      </c>
      <c r="H44" s="93" t="str">
        <f>IFERROR(
IF(
(SUMIFS(Calc_TUV_NetGroup_1[Ausnet],Calc_TUV_NetGroup_1[[Customer type]:[Customer type]],$F44,Calc_TUV_NetGroup_1[[Cost item]:[Cost item]],$C44&amp;" - supply")+
SUMIFS(Calc_TUV_NetGroup_1[Ausnet],Calc_TUV_NetGroup_1[[Customer type]:[Customer type]],$F44,Calc_TUV_NetGroup_1[[Cost item]:[Cost item]],$C44&amp;" - usage"))/
IF($C44&lt;&gt;"Controlled load",$E$24,$E$34)=H28,
0,1),"-")</f>
        <v>-</v>
      </c>
      <c r="I44" s="93" t="str">
        <f>IFERROR(
IF(
(SUMIFS(Calc_TUV_NetGroup_1[Citipower],Calc_TUV_NetGroup_1[[Customer type]:[Customer type]],$F44,Calc_TUV_NetGroup_1[[Cost item]:[Cost item]],$C44&amp;" - supply")+
SUMIFS(Calc_TUV_NetGroup_1[Citipower],Calc_TUV_NetGroup_1[[Customer type]:[Customer type]],$F44,Calc_TUV_NetGroup_1[[Cost item]:[Cost item]],$C44&amp;" - usage"))/
IF($C44&lt;&gt;"Controlled load",$E$24,$E$34)=I28,
0,1),"-")</f>
        <v>-</v>
      </c>
      <c r="J44" s="93" t="str">
        <f>IFERROR(
IF(
(SUMIFS(Calc_TUV_NetGroup_1[Jemena],Calc_TUV_NetGroup_1[[Customer type]:[Customer type]],$F44,Calc_TUV_NetGroup_1[[Cost item]:[Cost item]],$C44&amp;" - supply")+
SUMIFS(Calc_TUV_NetGroup_1[Jemena],Calc_TUV_NetGroup_1[[Customer type]:[Customer type]],$F44,Calc_TUV_NetGroup_1[[Cost item]:[Cost item]],$C44&amp;" - usage"))/
IF($C44&lt;&gt;"Controlled load",$E$24,$E$34)=J28,
0,1),"-")</f>
        <v>-</v>
      </c>
      <c r="K44" s="93" t="str">
        <f>IFERROR(
IF(
(SUMIFS(Calc_TUV_NetGroup_1[Powercor],Calc_TUV_NetGroup_1[[Customer type]:[Customer type]],$F44,Calc_TUV_NetGroup_1[[Cost item]:[Cost item]],$C44&amp;" - supply")+
SUMIFS(Calc_TUV_NetGroup_1[Powercor],Calc_TUV_NetGroup_1[[Customer type]:[Customer type]],$F44,Calc_TUV_NetGroup_1[[Cost item]:[Cost item]],$C44&amp;" - usage"))/
IF($C44&lt;&gt;"Controlled load",$E$24,$E$34)=K28,
0,1),"-")</f>
        <v>-</v>
      </c>
      <c r="L44" s="93" t="str">
        <f>IFERROR(
IF(
(SUMIFS(Calc_TUV_NetGroup_1[United Energy],Calc_TUV_NetGroup_1[[Customer type]:[Customer type]],$F44,Calc_TUV_NetGroup_1[[Cost item]:[Cost item]],$C44&amp;" - supply")+
SUMIFS(Calc_TUV_NetGroup_1[United Energy],Calc_TUV_NetGroup_1[[Customer type]:[Customer type]],$F44,Calc_TUV_NetGroup_1[[Cost item]:[Cost item]],$C44&amp;" - usage"))/
IF($C44&lt;&gt;"Controlled load",$E$24,$E$34)=L28,
0,1),"-")</f>
        <v>-</v>
      </c>
    </row>
    <row r="45" spans="3:12" ht="15.75" hidden="1" outlineLevel="1" x14ac:dyDescent="0.25">
      <c r="C45" s="23" t="s">
        <v>556</v>
      </c>
      <c r="D45" s="23" t="s">
        <v>108</v>
      </c>
      <c r="E45" s="181" t="s">
        <v>109</v>
      </c>
      <c r="F45" s="23" t="s">
        <v>93</v>
      </c>
      <c r="G45" s="23" t="s">
        <v>121</v>
      </c>
      <c r="H45" s="93" t="str">
        <f>IFERROR(
IF(
(SUMIFS(Calc_TUV_NetGroup_1[Ausnet],Calc_TUV_NetGroup_1[[Customer type]:[Customer type]],$F45,Calc_TUV_NetGroup_1[[Cost item]:[Cost item]],$C45&amp;" - supply")+
SUMIFS(Calc_TUV_NetGroup_1[Ausnet],Calc_TUV_NetGroup_1[[Customer type]:[Customer type]],$F45,Calc_TUV_NetGroup_1[[Cost item]:[Cost item]],$C45&amp;" - usage"))/
IF($C45&lt;&gt;"Controlled load",$E$24,$E$34)=H29,
0,1),"-")</f>
        <v>-</v>
      </c>
      <c r="I45" s="93" t="str">
        <f>IFERROR(
IF(
(SUMIFS(Calc_TUV_NetGroup_1[Citipower],Calc_TUV_NetGroup_1[[Customer type]:[Customer type]],$F45,Calc_TUV_NetGroup_1[[Cost item]:[Cost item]],$C45&amp;" - supply")+
SUMIFS(Calc_TUV_NetGroup_1[Citipower],Calc_TUV_NetGroup_1[[Customer type]:[Customer type]],$F45,Calc_TUV_NetGroup_1[[Cost item]:[Cost item]],$C45&amp;" - usage"))/
IF($C45&lt;&gt;"Controlled load",$E$24,$E$34)=I29,
0,1),"-")</f>
        <v>-</v>
      </c>
      <c r="J45" s="93" t="str">
        <f>IFERROR(
IF(
(SUMIFS(Calc_TUV_NetGroup_1[Jemena],Calc_TUV_NetGroup_1[[Customer type]:[Customer type]],$F45,Calc_TUV_NetGroup_1[[Cost item]:[Cost item]],$C45&amp;" - supply")+
SUMIFS(Calc_TUV_NetGroup_1[Jemena],Calc_TUV_NetGroup_1[[Customer type]:[Customer type]],$F45,Calc_TUV_NetGroup_1[[Cost item]:[Cost item]],$C45&amp;" - usage"))/
IF($C45&lt;&gt;"Controlled load",$E$24,$E$34)=J29,
0,1),"-")</f>
        <v>-</v>
      </c>
      <c r="K45" s="93" t="str">
        <f>IFERROR(
IF(
(SUMIFS(Calc_TUV_NetGroup_1[Powercor],Calc_TUV_NetGroup_1[[Customer type]:[Customer type]],$F45,Calc_TUV_NetGroup_1[[Cost item]:[Cost item]],$C45&amp;" - supply")+
SUMIFS(Calc_TUV_NetGroup_1[Powercor],Calc_TUV_NetGroup_1[[Customer type]:[Customer type]],$F45,Calc_TUV_NetGroup_1[[Cost item]:[Cost item]],$C45&amp;" - usage"))/
IF($C45&lt;&gt;"Controlled load",$E$24,$E$34)=K29,
0,1),"-")</f>
        <v>-</v>
      </c>
      <c r="L45" s="93" t="str">
        <f>IFERROR(
IF(
(SUMIFS(Calc_TUV_NetGroup_1[United Energy],Calc_TUV_NetGroup_1[[Customer type]:[Customer type]],$F45,Calc_TUV_NetGroup_1[[Cost item]:[Cost item]],$C45&amp;" - supply")+
SUMIFS(Calc_TUV_NetGroup_1[United Energy],Calc_TUV_NetGroup_1[[Customer type]:[Customer type]],$F45,Calc_TUV_NetGroup_1[[Cost item]:[Cost item]],$C45&amp;" - usage"))/
IF($C45&lt;&gt;"Controlled load",$E$24,$E$34)=L29,
0,1),"-")</f>
        <v>-</v>
      </c>
    </row>
    <row r="46" spans="3:12" ht="15.75" hidden="1" outlineLevel="1" x14ac:dyDescent="0.25">
      <c r="C46" s="23" t="s">
        <v>557</v>
      </c>
      <c r="D46" s="23" t="s">
        <v>108</v>
      </c>
      <c r="E46" s="181" t="s">
        <v>109</v>
      </c>
      <c r="F46" s="23" t="s">
        <v>92</v>
      </c>
      <c r="G46" s="23" t="s">
        <v>121</v>
      </c>
      <c r="H46" s="93" t="str">
        <f>IFERROR(
IF(
(SUMIFS(Calc_TUV_NetGroup_1[Ausnet],Calc_TUV_NetGroup_1[[Customer type]:[Customer type]],$F46,Calc_TUV_NetGroup_1[[Cost item]:[Cost item]],$C46&amp;" - supply")+
SUMIFS(Calc_TUV_NetGroup_1[Ausnet],Calc_TUV_NetGroup_1[[Customer type]:[Customer type]],$F46,Calc_TUV_NetGroup_1[[Cost item]:[Cost item]],$C46&amp;" - usage"))/
IF($C46&lt;&gt;"Controlled load",$E$24,$E$34)=H30,
0,1),"-")</f>
        <v>-</v>
      </c>
      <c r="I46" s="93" t="str">
        <f>IFERROR(
IF(
(SUMIFS(Calc_TUV_NetGroup_1[Citipower],Calc_TUV_NetGroup_1[[Customer type]:[Customer type]],$F46,Calc_TUV_NetGroup_1[[Cost item]:[Cost item]],$C46&amp;" - supply")+
SUMIFS(Calc_TUV_NetGroup_1[Citipower],Calc_TUV_NetGroup_1[[Customer type]:[Customer type]],$F46,Calc_TUV_NetGroup_1[[Cost item]:[Cost item]],$C46&amp;" - usage"))/
IF($C46&lt;&gt;"Controlled load",$E$24,$E$34)=I30,
0,1),"-")</f>
        <v>-</v>
      </c>
      <c r="J46" s="93" t="str">
        <f>IFERROR(
IF(
(SUMIFS(Calc_TUV_NetGroup_1[Jemena],Calc_TUV_NetGroup_1[[Customer type]:[Customer type]],$F46,Calc_TUV_NetGroup_1[[Cost item]:[Cost item]],$C46&amp;" - supply")+
SUMIFS(Calc_TUV_NetGroup_1[Jemena],Calc_TUV_NetGroup_1[[Customer type]:[Customer type]],$F46,Calc_TUV_NetGroup_1[[Cost item]:[Cost item]],$C46&amp;" - usage"))/
IF($C46&lt;&gt;"Controlled load",$E$24,$E$34)=J30,
0,1),"-")</f>
        <v>-</v>
      </c>
      <c r="K46" s="93" t="str">
        <f>IFERROR(
IF(
(SUMIFS(Calc_TUV_NetGroup_1[Powercor],Calc_TUV_NetGroup_1[[Customer type]:[Customer type]],$F46,Calc_TUV_NetGroup_1[[Cost item]:[Cost item]],$C46&amp;" - supply")+
SUMIFS(Calc_TUV_NetGroup_1[Powercor],Calc_TUV_NetGroup_1[[Customer type]:[Customer type]],$F46,Calc_TUV_NetGroup_1[[Cost item]:[Cost item]],$C46&amp;" - usage"))/
IF($C46&lt;&gt;"Controlled load",$E$24,$E$34)=K30,
0,1),"-")</f>
        <v>-</v>
      </c>
      <c r="L46" s="93" t="str">
        <f>IFERROR(
IF(
(SUMIFS(Calc_TUV_NetGroup_1[United Energy],Calc_TUV_NetGroup_1[[Customer type]:[Customer type]],$F46,Calc_TUV_NetGroup_1[[Cost item]:[Cost item]],$C46&amp;" - supply")+
SUMIFS(Calc_TUV_NetGroup_1[United Energy],Calc_TUV_NetGroup_1[[Customer type]:[Customer type]],$F46,Calc_TUV_NetGroup_1[[Cost item]:[Cost item]],$C46&amp;" - usage"))/
IF($C46&lt;&gt;"Controlled load",$E$24,$E$34)=L30,
0,1),"-")</f>
        <v>-</v>
      </c>
    </row>
    <row r="47" spans="3:12" ht="15.75" hidden="1" outlineLevel="1" x14ac:dyDescent="0.25">
      <c r="C47" s="23" t="s">
        <v>557</v>
      </c>
      <c r="D47" s="23" t="s">
        <v>108</v>
      </c>
      <c r="E47" s="181" t="s">
        <v>109</v>
      </c>
      <c r="F47" s="23" t="s">
        <v>93</v>
      </c>
      <c r="G47" s="23" t="s">
        <v>121</v>
      </c>
      <c r="H47" s="93" t="str">
        <f>IFERROR(
IF(
(SUMIFS(Calc_TUV_NetGroup_1[Ausnet],Calc_TUV_NetGroup_1[[Customer type]:[Customer type]],$F47,Calc_TUV_NetGroup_1[[Cost item]:[Cost item]],$C47&amp;" - supply")+
SUMIFS(Calc_TUV_NetGroup_1[Ausnet],Calc_TUV_NetGroup_1[[Customer type]:[Customer type]],$F47,Calc_TUV_NetGroup_1[[Cost item]:[Cost item]],$C47&amp;" - usage"))/
IF($C47&lt;&gt;"Controlled load",$E$24,$E$34)=H31,
0,1),"-")</f>
        <v>-</v>
      </c>
      <c r="I47" s="93" t="str">
        <f>IFERROR(
IF(
(SUMIFS(Calc_TUV_NetGroup_1[Citipower],Calc_TUV_NetGroup_1[[Customer type]:[Customer type]],$F47,Calc_TUV_NetGroup_1[[Cost item]:[Cost item]],$C47&amp;" - supply")+
SUMIFS(Calc_TUV_NetGroup_1[Citipower],Calc_TUV_NetGroup_1[[Customer type]:[Customer type]],$F47,Calc_TUV_NetGroup_1[[Cost item]:[Cost item]],$C47&amp;" - usage"))/
IF($C47&lt;&gt;"Controlled load",$E$24,$E$34)=I31,
0,1),"-")</f>
        <v>-</v>
      </c>
      <c r="J47" s="93" t="str">
        <f>IFERROR(
IF(
(SUMIFS(Calc_TUV_NetGroup_1[Jemena],Calc_TUV_NetGroup_1[[Customer type]:[Customer type]],$F47,Calc_TUV_NetGroup_1[[Cost item]:[Cost item]],$C47&amp;" - supply")+
SUMIFS(Calc_TUV_NetGroup_1[Jemena],Calc_TUV_NetGroup_1[[Customer type]:[Customer type]],$F47,Calc_TUV_NetGroup_1[[Cost item]:[Cost item]],$C47&amp;" - usage"))/
IF($C47&lt;&gt;"Controlled load",$E$24,$E$34)=J31,
0,1),"-")</f>
        <v>-</v>
      </c>
      <c r="K47" s="93" t="str">
        <f>IFERROR(
IF(
(SUMIFS(Calc_TUV_NetGroup_1[Powercor],Calc_TUV_NetGroup_1[[Customer type]:[Customer type]],$F47,Calc_TUV_NetGroup_1[[Cost item]:[Cost item]],$C47&amp;" - supply")+
SUMIFS(Calc_TUV_NetGroup_1[Powercor],Calc_TUV_NetGroup_1[[Customer type]:[Customer type]],$F47,Calc_TUV_NetGroup_1[[Cost item]:[Cost item]],$C47&amp;" - usage"))/
IF($C47&lt;&gt;"Controlled load",$E$24,$E$34)=K31,
0,1),"-")</f>
        <v>-</v>
      </c>
      <c r="L47" s="93" t="str">
        <f>IFERROR(
IF(
(SUMIFS(Calc_TUV_NetGroup_1[United Energy],Calc_TUV_NetGroup_1[[Customer type]:[Customer type]],$F47,Calc_TUV_NetGroup_1[[Cost item]:[Cost item]],$C47&amp;" - supply")+
SUMIFS(Calc_TUV_NetGroup_1[United Energy],Calc_TUV_NetGroup_1[[Customer type]:[Customer type]],$F47,Calc_TUV_NetGroup_1[[Cost item]:[Cost item]],$C47&amp;" - usage"))/
IF($C47&lt;&gt;"Controlled load",$E$24,$E$34)=L31,
0,1),"-")</f>
        <v>-</v>
      </c>
    </row>
    <row r="48" spans="3:12" ht="15.75" hidden="1" outlineLevel="1" x14ac:dyDescent="0.25">
      <c r="C48" s="23" t="s">
        <v>287</v>
      </c>
      <c r="D48" s="23" t="s">
        <v>130</v>
      </c>
      <c r="E48" s="181" t="s">
        <v>109</v>
      </c>
      <c r="F48" s="23" t="s">
        <v>92</v>
      </c>
      <c r="G48" s="23" t="s">
        <v>121</v>
      </c>
      <c r="H48" s="93" t="str">
        <f>IFERROR(
IF(
(SUMIFS(Calc_TUV_NetGroup_1[Ausnet],Calc_TUV_NetGroup_1[[Customer type]:[Customer type]],$F48,Calc_TUV_NetGroup_1[[Cost item]:[Cost item]],$C48&amp;" - supply")+
SUMIFS(Calc_TUV_NetGroup_1[Ausnet],Calc_TUV_NetGroup_1[[Customer type]:[Customer type]],$F48,Calc_TUV_NetGroup_1[[Cost item]:[Cost item]],$C48&amp;" - usage"))/
IF($C48&lt;&gt;"Controlled load",$E$24,$E$34)=H40,
0,1),"-")</f>
        <v>-</v>
      </c>
      <c r="I48" s="93" t="str">
        <f>IFERROR(
IF(
(SUMIFS(Calc_TUV_NetGroup_1[Citipower],Calc_TUV_NetGroup_1[[Customer type]:[Customer type]],$F48,Calc_TUV_NetGroup_1[[Cost item]:[Cost item]],$C48&amp;" - supply")+
SUMIFS(Calc_TUV_NetGroup_1[Citipower],Calc_TUV_NetGroup_1[[Customer type]:[Customer type]],$F48,Calc_TUV_NetGroup_1[[Cost item]:[Cost item]],$C48&amp;" - usage"))/
IF($C48&lt;&gt;"Controlled load",$E$24,$E$34)=I40,
0,1),"-")</f>
        <v>-</v>
      </c>
      <c r="J48" s="93" t="str">
        <f>IFERROR(
IF(
(SUMIFS(Calc_TUV_NetGroup_1[Jemena],Calc_TUV_NetGroup_1[[Customer type]:[Customer type]],$F48,Calc_TUV_NetGroup_1[[Cost item]:[Cost item]],$C48&amp;" - supply")+
SUMIFS(Calc_TUV_NetGroup_1[Jemena],Calc_TUV_NetGroup_1[[Customer type]:[Customer type]],$F48,Calc_TUV_NetGroup_1[[Cost item]:[Cost item]],$C48&amp;" - usage"))/
IF($C48&lt;&gt;"Controlled load",$E$24,$E$34)=J40,
0,1),"-")</f>
        <v>-</v>
      </c>
      <c r="K48" s="93" t="str">
        <f>IFERROR(
IF(
(SUMIFS(Calc_TUV_NetGroup_1[Powercor],Calc_TUV_NetGroup_1[[Customer type]:[Customer type]],$F48,Calc_TUV_NetGroup_1[[Cost item]:[Cost item]],$C48&amp;" - supply")+
SUMIFS(Calc_TUV_NetGroup_1[Powercor],Calc_TUV_NetGroup_1[[Customer type]:[Customer type]],$F48,Calc_TUV_NetGroup_1[[Cost item]:[Cost item]],$C48&amp;" - usage"))/
IF($C48&lt;&gt;"Controlled load",$E$24,$E$34)=K40,
0,1),"-")</f>
        <v>-</v>
      </c>
      <c r="L48" s="93" t="str">
        <f>IFERROR(
IF(
(SUMIFS(Calc_TUV_NetGroup_1[United Energy],Calc_TUV_NetGroup_1[[Customer type]:[Customer type]],$F48,Calc_TUV_NetGroup_1[[Cost item]:[Cost item]],$C48&amp;" - supply")+
SUMIFS(Calc_TUV_NetGroup_1[United Energy],Calc_TUV_NetGroup_1[[Customer type]:[Customer type]],$F48,Calc_TUV_NetGroup_1[[Cost item]:[Cost item]],$C48&amp;" - usage"))/
IF($C48&lt;&gt;"Controlled load",$E$24,$E$34)=L40,
0,1),"-")</f>
        <v>-</v>
      </c>
    </row>
    <row r="50" spans="2:12" ht="16.5" thickBot="1" x14ac:dyDescent="0.3">
      <c r="B50" s="9">
        <f ca="1">MAX(B$3:B49)+0.1</f>
        <v>14.2</v>
      </c>
      <c r="C50" s="28" t="s">
        <v>601</v>
      </c>
      <c r="D50" s="28"/>
      <c r="E50" s="28"/>
      <c r="F50" s="28"/>
      <c r="G50" s="28"/>
      <c r="H50" s="28"/>
      <c r="I50" s="28"/>
      <c r="J50" s="28"/>
      <c r="K50" s="28"/>
      <c r="L50" s="28"/>
    </row>
    <row r="51" spans="2:12" outlineLevel="1" x14ac:dyDescent="0.25"/>
    <row r="52" spans="2:12" ht="15.75" outlineLevel="1" x14ac:dyDescent="0.25">
      <c r="C52" s="29" t="s">
        <v>654</v>
      </c>
    </row>
    <row r="53" spans="2:12" ht="15.75" outlineLevel="1" x14ac:dyDescent="0.25">
      <c r="C53" s="43" t="s">
        <v>46</v>
      </c>
      <c r="D53" s="43" t="s">
        <v>102</v>
      </c>
      <c r="E53" s="43" t="s">
        <v>103</v>
      </c>
      <c r="F53" s="43" t="s">
        <v>91</v>
      </c>
      <c r="G53" s="43" t="s">
        <v>45</v>
      </c>
      <c r="H53" s="60" t="s">
        <v>268</v>
      </c>
      <c r="I53" s="60" t="s">
        <v>269</v>
      </c>
      <c r="J53" s="60" t="s">
        <v>270</v>
      </c>
      <c r="K53" s="60" t="s">
        <v>271</v>
      </c>
      <c r="L53" s="60" t="s">
        <v>272</v>
      </c>
    </row>
    <row r="54" spans="2:12" outlineLevel="1" x14ac:dyDescent="0.25">
      <c r="C54" s="59" t="str">
        <f>IF(COUNTIFS(Calc_TUV_Env_1[Pass through (Yes/No)],"Yes",Calc_TUV_Env_1[Cost item],"Large-scale renewable energy target (LRET)")=1,"LRET True Up","-")</f>
        <v>LRET True Up</v>
      </c>
      <c r="D54" s="59" t="s">
        <v>130</v>
      </c>
      <c r="E54" s="59" t="s">
        <v>282</v>
      </c>
      <c r="F54" s="59" t="s">
        <v>110</v>
      </c>
      <c r="G54" s="59" t="s">
        <v>151</v>
      </c>
      <c r="H54" s="202" cm="1">
        <f t="array" ref="H54">IFERROR(SUMIFS(INDEX(Calc_TUV_Env_1[[Ausnet]:[United Energy]],0,MATCH(Calc_TUV_EnvGroup_1[[#Headers],[Ausnet]],Calc_TUV_Env_1[[#Headers],[Ausnet]:[United Energy]],0)),
Calc_TUV_Env_1[Cost item],Calc_TUV_EnvGroup_1[[#This Row],[Cost item]],
Calc_TUV_Env_1[Customer type],Calc_TUV_EnvGroup_1[[#This Row],[Customer type]]),"-")</f>
        <v>4.336398983398596E-5</v>
      </c>
      <c r="I54" s="202" cm="1">
        <f t="array" ref="I54">IFERROR(SUMIFS(INDEX(Calc_TUV_Env_1[[Ausnet]:[United Energy]],0,MATCH(Calc_TUV_EnvGroup_1[[#Headers],[Citipower]],Calc_TUV_Env_1[[#Headers],[Ausnet]:[United Energy]],0)),
Calc_TUV_Env_1[Cost item],Calc_TUV_EnvGroup_1[[#This Row],[Cost item]],
Calc_TUV_Env_1[Customer type],Calc_TUV_EnvGroup_1[[#This Row],[Customer type]]),"-")</f>
        <v>4.2091286241928205E-5</v>
      </c>
      <c r="J54" s="202" cm="1">
        <f t="array" ref="J54">IFERROR(SUMIFS(INDEX(Calc_TUV_Env_1[[Ausnet]:[United Energy]],0,MATCH(Calc_TUV_EnvGroup_1[[#Headers],[Jemena]],Calc_TUV_Env_1[[#Headers],[Ausnet]:[United Energy]],0)),
Calc_TUV_Env_1[Cost item],Calc_TUV_EnvGroup_1[[#This Row],[Cost item]],
Calc_TUV_Env_1[Customer type],Calc_TUV_EnvGroup_1[[#This Row],[Customer type]]),"-")</f>
        <v>4.1871315696200958E-5</v>
      </c>
      <c r="K54" s="202" cm="1">
        <f t="array" ref="K54">IFERROR(SUMIFS(INDEX(Calc_TUV_Env_1[[Ausnet]:[United Energy]],0,MATCH(Calc_TUV_EnvGroup_1[[#Headers],[Powercor]],Calc_TUV_Env_1[[#Headers],[Ausnet]:[United Energy]],0)),
Calc_TUV_Env_1[Cost item],Calc_TUV_EnvGroup_1[[#This Row],[Cost item]],
Calc_TUV_Env_1[Customer type],Calc_TUV_EnvGroup_1[[#This Row],[Customer type]]),"-")</f>
        <v>4.3045614549519494E-5</v>
      </c>
      <c r="L54" s="202" cm="1">
        <f t="array" ref="L54">IFERROR(SUMIFS(INDEX(Calc_TUV_Env_1[[Ausnet]:[United Energy]],0,MATCH(Calc_TUV_EnvGroup_1[[#Headers],[United Energy]],Calc_TUV_Env_1[[#Headers],[Ausnet]:[United Energy]],0)),
Calc_TUV_Env_1[Cost item],Calc_TUV_EnvGroup_1[[#This Row],[Cost item]],
Calc_TUV_Env_1[Customer type],Calc_TUV_EnvGroup_1[[#This Row],[Customer type]]),"-")</f>
        <v>4.2097886959405397E-5</v>
      </c>
    </row>
    <row r="55" spans="2:12" outlineLevel="1" x14ac:dyDescent="0.25">
      <c r="C55" s="59" t="str">
        <f>IF(COUNTIFS(Calc_TUV_Env_1[Pass through (Yes/No)],"Yes",Calc_TUV_Env_1[Cost item],"Small-scale renewable energy scheme (SRES)")=1,"SRES True Up","-")</f>
        <v>SRES True Up</v>
      </c>
      <c r="D55" s="59" t="s">
        <v>130</v>
      </c>
      <c r="E55" s="59" t="s">
        <v>282</v>
      </c>
      <c r="F55" s="59" t="s">
        <v>110</v>
      </c>
      <c r="G55" s="59" t="s">
        <v>151</v>
      </c>
      <c r="H55" s="202" cm="1">
        <f t="array" ref="H55">IFERROR(SUMIFS(INDEX(Calc_TUV_Env_1[[Ausnet]:[United Energy]],0,MATCH(Calc_TUV_EnvGroup_1[[#Headers],[Ausnet]],Calc_TUV_Env_1[[#Headers],[Ausnet]:[United Energy]],0)),
Calc_TUV_Env_1[Cost item],Calc_TUV_EnvGroup_1[[#This Row],[Cost item]],
Calc_TUV_Env_1[Customer type],Calc_TUV_EnvGroup_1[[#This Row],[Customer type]]),"-")</f>
        <v>8.3605369482481207E-4</v>
      </c>
      <c r="I55" s="202" cm="1">
        <f t="array" ref="I55">IFERROR(SUMIFS(INDEX(Calc_TUV_Env_1[[Ausnet]:[United Energy]],0,MATCH(Calc_TUV_EnvGroup_1[[#Headers],[Citipower]],Calc_TUV_Env_1[[#Headers],[Ausnet]:[United Energy]],0)),
Calc_TUV_Env_1[Cost item],Calc_TUV_EnvGroup_1[[#This Row],[Cost item]],
Calc_TUV_Env_1[Customer type],Calc_TUV_EnvGroup_1[[#This Row],[Customer type]]),"-")</f>
        <v>8.1151608782346635E-4</v>
      </c>
      <c r="J55" s="202" cm="1">
        <f t="array" ref="J55">IFERROR(SUMIFS(INDEX(Calc_TUV_Env_1[[Ausnet]:[United Energy]],0,MATCH(Calc_TUV_EnvGroup_1[[#Headers],[Jemena]],Calc_TUV_Env_1[[#Headers],[Ausnet]:[United Energy]],0)),
Calc_TUV_Env_1[Cost item],Calc_TUV_EnvGroup_1[[#This Row],[Cost item]],
Calc_TUV_Env_1[Customer type],Calc_TUV_EnvGroup_1[[#This Row],[Customer type]]),"-")</f>
        <v>8.0727507614045558E-4</v>
      </c>
      <c r="K55" s="202" cm="1">
        <f t="array" ref="K55">IFERROR(SUMIFS(INDEX(Calc_TUV_Env_1[[Ausnet]:[United Energy]],0,MATCH(Calc_TUV_EnvGroup_1[[#Headers],[Powercor]],Calc_TUV_Env_1[[#Headers],[Ausnet]:[United Energy]],0)),
Calc_TUV_Env_1[Cost item],Calc_TUV_EnvGroup_1[[#This Row],[Cost item]],
Calc_TUV_Env_1[Customer type],Calc_TUV_EnvGroup_1[[#This Row],[Customer type]]),"-")</f>
        <v>8.2991544892220645E-4</v>
      </c>
      <c r="L55" s="202" cm="1">
        <f t="array" ref="L55">IFERROR(SUMIFS(INDEX(Calc_TUV_Env_1[[Ausnet]:[United Energy]],0,MATCH(Calc_TUV_EnvGroup_1[[#Headers],[United Energy]],Calc_TUV_Env_1[[#Headers],[Ausnet]:[United Energy]],0)),
Calc_TUV_Env_1[Cost item],Calc_TUV_EnvGroup_1[[#This Row],[Cost item]],
Calc_TUV_Env_1[Customer type],Calc_TUV_EnvGroup_1[[#This Row],[Customer type]]),"-")</f>
        <v>8.1164334904311962E-4</v>
      </c>
    </row>
    <row r="56" spans="2:12" outlineLevel="1" x14ac:dyDescent="0.25">
      <c r="C56" s="59" t="str">
        <f>IF(COUNTIFS(Calc_TUV_Env_1[Pass through (Yes/No)],"Yes",Calc_TUV_Env_1[Cost item],"Victorian energy upgrades (VEU)")=1,"VEU True Up","-")</f>
        <v>-</v>
      </c>
      <c r="D56" s="59" t="s">
        <v>130</v>
      </c>
      <c r="E56" s="59" t="s">
        <v>282</v>
      </c>
      <c r="F56" s="59" t="s">
        <v>110</v>
      </c>
      <c r="G56" s="59" t="s">
        <v>151</v>
      </c>
      <c r="H56" s="202" cm="1">
        <f t="array" ref="H56">IFERROR(SUMIFS(INDEX(Calc_TUV_Env_1[[Ausnet]:[United Energy]],0,MATCH(Calc_TUV_EnvGroup_1[[#Headers],[Ausnet]],Calc_TUV_Env_1[[#Headers],[Ausnet]:[United Energy]],0)),
Calc_TUV_Env_1[Cost item],Calc_TUV_EnvGroup_1[[#This Row],[Cost item]],
Calc_TUV_Env_1[Customer type],Calc_TUV_EnvGroup_1[[#This Row],[Customer type]]),"-")</f>
        <v>0</v>
      </c>
      <c r="I56" s="202" cm="1">
        <f t="array" ref="I56">IFERROR(SUMIFS(INDEX(Calc_TUV_Env_1[[Ausnet]:[United Energy]],0,MATCH(Calc_TUV_EnvGroup_1[[#Headers],[Citipower]],Calc_TUV_Env_1[[#Headers],[Ausnet]:[United Energy]],0)),
Calc_TUV_Env_1[Cost item],Calc_TUV_EnvGroup_1[[#This Row],[Cost item]],
Calc_TUV_Env_1[Customer type],Calc_TUV_EnvGroup_1[[#This Row],[Customer type]]),"-")</f>
        <v>0</v>
      </c>
      <c r="J56" s="202" cm="1">
        <f t="array" ref="J56">IFERROR(SUMIFS(INDEX(Calc_TUV_Env_1[[Ausnet]:[United Energy]],0,MATCH(Calc_TUV_EnvGroup_1[[#Headers],[Jemena]],Calc_TUV_Env_1[[#Headers],[Ausnet]:[United Energy]],0)),
Calc_TUV_Env_1[Cost item],Calc_TUV_EnvGroup_1[[#This Row],[Cost item]],
Calc_TUV_Env_1[Customer type],Calc_TUV_EnvGroup_1[[#This Row],[Customer type]]),"-")</f>
        <v>0</v>
      </c>
      <c r="K56" s="202" cm="1">
        <f t="array" ref="K56">IFERROR(SUMIFS(INDEX(Calc_TUV_Env_1[[Ausnet]:[United Energy]],0,MATCH(Calc_TUV_EnvGroup_1[[#Headers],[Powercor]],Calc_TUV_Env_1[[#Headers],[Ausnet]:[United Energy]],0)),
Calc_TUV_Env_1[Cost item],Calc_TUV_EnvGroup_1[[#This Row],[Cost item]],
Calc_TUV_Env_1[Customer type],Calc_TUV_EnvGroup_1[[#This Row],[Customer type]]),"-")</f>
        <v>0</v>
      </c>
      <c r="L56" s="202" cm="1">
        <f t="array" ref="L56">IFERROR(SUMIFS(INDEX(Calc_TUV_Env_1[[Ausnet]:[United Energy]],0,MATCH(Calc_TUV_EnvGroup_1[[#Headers],[United Energy]],Calc_TUV_Env_1[[#Headers],[Ausnet]:[United Energy]],0)),
Calc_TUV_Env_1[Cost item],Calc_TUV_EnvGroup_1[[#This Row],[Cost item]],
Calc_TUV_Env_1[Customer type],Calc_TUV_EnvGroup_1[[#This Row],[Customer type]]),"-")</f>
        <v>0</v>
      </c>
    </row>
    <row r="57" spans="2:12" outlineLevel="1" x14ac:dyDescent="0.25"/>
    <row r="58" spans="2:12" ht="15.75" outlineLevel="1" x14ac:dyDescent="0.25">
      <c r="C58" s="54" t="s">
        <v>756</v>
      </c>
      <c r="D58" t="s">
        <v>587</v>
      </c>
      <c r="E58" s="82" t="str">
        <f>INDEX(Input_DecisionActual[Decision],MATCH(Calc_TU_rates!E59,Input_DecisionActual[Actual],0),1)</f>
        <v>VDO 2022 - Final</v>
      </c>
      <c r="F58" s="76">
        <f>E154</f>
        <v>181</v>
      </c>
    </row>
    <row r="59" spans="2:12" ht="15.75" outlineLevel="1" x14ac:dyDescent="0.25">
      <c r="C59" s="54" t="s">
        <v>756</v>
      </c>
      <c r="D59" t="s">
        <v>586</v>
      </c>
      <c r="E59" s="41" t="str">
        <f>D5</f>
        <v>VDO 2022-23 - Draft</v>
      </c>
      <c r="F59" s="76" cm="1">
        <f t="array" ref="F59">Input_TU_Periods[D-NextVDO_Input]</f>
        <v>365</v>
      </c>
    </row>
    <row r="60" spans="2:12" ht="15.75" outlineLevel="1" x14ac:dyDescent="0.25">
      <c r="C60" s="54" t="s">
        <v>755</v>
      </c>
      <c r="F60" s="299">
        <f>F58/F59</f>
        <v>0.49589041095890413</v>
      </c>
    </row>
    <row r="61" spans="2:12" outlineLevel="1" x14ac:dyDescent="0.25"/>
    <row r="62" spans="2:12" ht="15.75" outlineLevel="1" x14ac:dyDescent="0.25">
      <c r="C62" s="29" t="s">
        <v>653</v>
      </c>
    </row>
    <row r="63" spans="2:12" ht="15.75" outlineLevel="1" x14ac:dyDescent="0.25">
      <c r="C63" s="43" t="s">
        <v>520</v>
      </c>
      <c r="D63" s="168" t="s">
        <v>313</v>
      </c>
      <c r="E63" s="168" t="s">
        <v>103</v>
      </c>
      <c r="F63" s="168" t="s">
        <v>91</v>
      </c>
      <c r="G63" s="168" t="s">
        <v>45</v>
      </c>
      <c r="H63" s="169" t="s">
        <v>268</v>
      </c>
      <c r="I63" s="169" t="s">
        <v>269</v>
      </c>
      <c r="J63" s="169" t="s">
        <v>270</v>
      </c>
      <c r="K63" s="169" t="s">
        <v>271</v>
      </c>
      <c r="L63" s="169" t="s">
        <v>272</v>
      </c>
    </row>
    <row r="64" spans="2:12" outlineLevel="1" x14ac:dyDescent="0.25">
      <c r="C64" s="23" t="s">
        <v>549</v>
      </c>
      <c r="D64" s="23" t="s">
        <v>602</v>
      </c>
      <c r="E64" s="181" t="s">
        <v>282</v>
      </c>
      <c r="F64" s="23" t="s">
        <v>92</v>
      </c>
      <c r="G64" s="23" t="s">
        <v>151</v>
      </c>
      <c r="H64" s="204" t="str" cm="1">
        <f t="array" ref="H64">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v>
      </c>
      <c r="I64" s="204" cm="1">
        <f t="array" ref="I64">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2.0872665232298645E-5</v>
      </c>
      <c r="J64" s="204" cm="1">
        <f t="array" ref="J64">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2.0763583947979107E-5</v>
      </c>
      <c r="K64" s="204" cm="1">
        <f t="array" ref="K64">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2.1345907488939805E-5</v>
      </c>
      <c r="L64" s="204" cm="1">
        <f t="array" ref="L64">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2.0875938464801034E-5</v>
      </c>
    </row>
    <row r="65" spans="3:12" outlineLevel="1" x14ac:dyDescent="0.25">
      <c r="C65" s="23" t="s">
        <v>549</v>
      </c>
      <c r="D65" s="23" t="s">
        <v>602</v>
      </c>
      <c r="E65" s="181" t="s">
        <v>282</v>
      </c>
      <c r="F65" s="23" t="s">
        <v>93</v>
      </c>
      <c r="G65" s="23" t="s">
        <v>151</v>
      </c>
      <c r="H65" s="204" t="str" cm="1">
        <f t="array" ref="H65">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v>
      </c>
      <c r="I65" s="204" cm="1">
        <f t="array" ref="I65">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2.0872665232298645E-5</v>
      </c>
      <c r="J65" s="204" cm="1">
        <f t="array" ref="J65">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2.0763583947979107E-5</v>
      </c>
      <c r="K65" s="204" cm="1">
        <f t="array" ref="K65">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2.1345907488939805E-5</v>
      </c>
      <c r="L65" s="204" cm="1">
        <f t="array" ref="L65">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2.0875938464801034E-5</v>
      </c>
    </row>
    <row r="66" spans="3:12" outlineLevel="1" x14ac:dyDescent="0.25">
      <c r="C66" s="23" t="s">
        <v>221</v>
      </c>
      <c r="D66" s="23" t="s">
        <v>602</v>
      </c>
      <c r="E66" s="181" t="s">
        <v>282</v>
      </c>
      <c r="F66" s="23" t="s">
        <v>92</v>
      </c>
      <c r="G66" s="23" t="s">
        <v>151</v>
      </c>
      <c r="H66" s="204" cm="1">
        <f t="array" ref="H66">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2.1503786739593039E-5</v>
      </c>
      <c r="I66" s="204" t="str" cm="1">
        <f t="array" ref="I66">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66" s="204" t="str" cm="1">
        <f t="array" ref="J66">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66" s="204" t="str" cm="1">
        <f t="array" ref="K66">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66" s="204" t="str" cm="1">
        <f t="array" ref="L66">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67" spans="3:12" outlineLevel="1" x14ac:dyDescent="0.25">
      <c r="C67" s="23" t="s">
        <v>221</v>
      </c>
      <c r="D67" s="23" t="s">
        <v>602</v>
      </c>
      <c r="E67" s="181" t="s">
        <v>282</v>
      </c>
      <c r="F67" s="23" t="s">
        <v>93</v>
      </c>
      <c r="G67" s="23" t="s">
        <v>151</v>
      </c>
      <c r="H67" s="204" cm="1">
        <f t="array" ref="H67">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2.1503786739593039E-5</v>
      </c>
      <c r="I67" s="204" t="str" cm="1">
        <f t="array" ref="I67">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67" s="204" t="str" cm="1">
        <f t="array" ref="J67">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67" s="204" t="str" cm="1">
        <f t="array" ref="K67">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67" s="204" t="str" cm="1">
        <f t="array" ref="L67">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68" spans="3:12" outlineLevel="1" x14ac:dyDescent="0.25">
      <c r="C68" s="23" t="s">
        <v>228</v>
      </c>
      <c r="D68" s="23" t="s">
        <v>602</v>
      </c>
      <c r="E68" s="181" t="s">
        <v>282</v>
      </c>
      <c r="F68" s="23" t="s">
        <v>92</v>
      </c>
      <c r="G68" s="23" t="s">
        <v>151</v>
      </c>
      <c r="H68" s="204" cm="1">
        <f t="array" ref="H68">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2.1503786739593039E-5</v>
      </c>
      <c r="I68" s="204" t="str" cm="1">
        <f t="array" ref="I68">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68" s="204" t="str" cm="1">
        <f t="array" ref="J68">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68" s="204" t="str" cm="1">
        <f t="array" ref="K68">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68" s="204" t="str" cm="1">
        <f t="array" ref="L68">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69" spans="3:12" outlineLevel="1" x14ac:dyDescent="0.25">
      <c r="C69" s="23" t="s">
        <v>228</v>
      </c>
      <c r="D69" s="23" t="s">
        <v>602</v>
      </c>
      <c r="E69" s="181" t="s">
        <v>282</v>
      </c>
      <c r="F69" s="23" t="s">
        <v>93</v>
      </c>
      <c r="G69" s="23" t="s">
        <v>151</v>
      </c>
      <c r="H69" s="204" cm="1">
        <f t="array" ref="H69">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2.1503786739593039E-5</v>
      </c>
      <c r="I69" s="204" t="str" cm="1">
        <f t="array" ref="I69">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69" s="204" t="str" cm="1">
        <f t="array" ref="J69">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69" s="204" t="str" cm="1">
        <f t="array" ref="K69">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69" s="204" t="str" cm="1">
        <f t="array" ref="L69">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70" spans="3:12" outlineLevel="1" x14ac:dyDescent="0.25">
      <c r="C70" s="23" t="s">
        <v>287</v>
      </c>
      <c r="D70" s="23" t="s">
        <v>602</v>
      </c>
      <c r="E70" s="181" t="s">
        <v>282</v>
      </c>
      <c r="F70" s="23" t="s">
        <v>92</v>
      </c>
      <c r="G70" s="23" t="s">
        <v>151</v>
      </c>
      <c r="H70" s="204" cm="1">
        <f t="array" ref="H70">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2.1503786739593039E-5</v>
      </c>
      <c r="I70" s="204" cm="1">
        <f t="array" ref="I70">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2.0872665232298645E-5</v>
      </c>
      <c r="J70" s="204" cm="1">
        <f t="array" ref="J70">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2.0763583947979107E-5</v>
      </c>
      <c r="K70" s="204" cm="1">
        <f t="array" ref="K70">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2.1345907488939805E-5</v>
      </c>
      <c r="L70" s="204" cm="1">
        <f t="array" ref="L70">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2.0875938464801034E-5</v>
      </c>
    </row>
    <row r="71" spans="3:12" outlineLevel="1" x14ac:dyDescent="0.25">
      <c r="C71" s="23" t="s">
        <v>230</v>
      </c>
      <c r="D71" s="23" t="s">
        <v>602</v>
      </c>
      <c r="E71" s="181" t="s">
        <v>282</v>
      </c>
      <c r="F71" s="23" t="s">
        <v>92</v>
      </c>
      <c r="G71" s="23" t="s">
        <v>151</v>
      </c>
      <c r="H71" s="204" cm="1">
        <f t="array" ref="H71">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2.1503786739593039E-5</v>
      </c>
      <c r="I71" s="204" cm="1">
        <f t="array" ref="I71">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2.0872665232298645E-5</v>
      </c>
      <c r="J71" s="204" cm="1">
        <f t="array" ref="J71">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2.0763583947979107E-5</v>
      </c>
      <c r="K71" s="204" cm="1">
        <f t="array" ref="K71">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2.1345907488939805E-5</v>
      </c>
      <c r="L71" s="204" cm="1">
        <f t="array" ref="L71">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2.0875938464801034E-5</v>
      </c>
    </row>
    <row r="72" spans="3:12" outlineLevel="1" x14ac:dyDescent="0.25">
      <c r="C72" s="23" t="s">
        <v>230</v>
      </c>
      <c r="D72" s="23" t="s">
        <v>602</v>
      </c>
      <c r="E72" s="181" t="s">
        <v>282</v>
      </c>
      <c r="F72" s="23" t="s">
        <v>93</v>
      </c>
      <c r="G72" s="23" t="s">
        <v>151</v>
      </c>
      <c r="H72" s="204" cm="1">
        <f t="array" ref="H72">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2.1503786739593039E-5</v>
      </c>
      <c r="I72" s="204" cm="1">
        <f t="array" ref="I72">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2.0872665232298645E-5</v>
      </c>
      <c r="J72" s="204" cm="1">
        <f t="array" ref="J72">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2.0763583947979107E-5</v>
      </c>
      <c r="K72" s="204" cm="1">
        <f t="array" ref="K72">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2.1345907488939805E-5</v>
      </c>
      <c r="L72" s="204" cm="1">
        <f t="array" ref="L72">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2.0875938464801034E-5</v>
      </c>
    </row>
    <row r="73" spans="3:12" outlineLevel="1" x14ac:dyDescent="0.25">
      <c r="C73" s="23" t="s">
        <v>609</v>
      </c>
      <c r="D73" s="23" t="s">
        <v>602</v>
      </c>
      <c r="E73" s="181" t="s">
        <v>282</v>
      </c>
      <c r="F73" s="23" t="s">
        <v>92</v>
      </c>
      <c r="G73" s="23" t="s">
        <v>151</v>
      </c>
      <c r="H73" s="204" cm="1">
        <f t="array" ref="H73">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2.1503786739593039E-5</v>
      </c>
      <c r="I73" s="204" cm="1">
        <f t="array" ref="I73">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2.0872665232298645E-5</v>
      </c>
      <c r="J73" s="204" cm="1">
        <f t="array" ref="J73">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2.0763583947979107E-5</v>
      </c>
      <c r="K73" s="204" cm="1">
        <f t="array" ref="K73">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2.1345907488939805E-5</v>
      </c>
      <c r="L73" s="204" cm="1">
        <f t="array" ref="L73">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2.0875938464801034E-5</v>
      </c>
    </row>
    <row r="74" spans="3:12" outlineLevel="1" x14ac:dyDescent="0.25">
      <c r="C74" s="23" t="s">
        <v>609</v>
      </c>
      <c r="D74" s="23" t="s">
        <v>602</v>
      </c>
      <c r="E74" s="181" t="s">
        <v>282</v>
      </c>
      <c r="F74" s="23" t="s">
        <v>93</v>
      </c>
      <c r="G74" s="23" t="s">
        <v>151</v>
      </c>
      <c r="H74" s="204" cm="1">
        <f t="array" ref="H74">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2.1503786739593039E-5</v>
      </c>
      <c r="I74" s="204" cm="1">
        <f t="array" ref="I74">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2.0872665232298645E-5</v>
      </c>
      <c r="J74" s="204" cm="1">
        <f t="array" ref="J74">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2.0763583947979107E-5</v>
      </c>
      <c r="K74" s="204" cm="1">
        <f t="array" ref="K74">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2.1345907488939805E-5</v>
      </c>
      <c r="L74" s="204" cm="1">
        <f t="array" ref="L74">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2.0875938464801034E-5</v>
      </c>
    </row>
    <row r="75" spans="3:12" outlineLevel="1" x14ac:dyDescent="0.25">
      <c r="C75" s="23" t="s">
        <v>549</v>
      </c>
      <c r="D75" s="23" t="s">
        <v>603</v>
      </c>
      <c r="E75" s="181" t="s">
        <v>282</v>
      </c>
      <c r="F75" s="23" t="s">
        <v>92</v>
      </c>
      <c r="G75" s="23" t="s">
        <v>151</v>
      </c>
      <c r="H75" s="204" t="str" cm="1">
        <f t="array" ref="H75">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v>
      </c>
      <c r="I75" s="204" cm="1">
        <f t="array" ref="I75">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4.0242304629054085E-4</v>
      </c>
      <c r="J75" s="204" cm="1">
        <f t="array" ref="J75">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4.0031996926417115E-4</v>
      </c>
      <c r="K75" s="204" cm="1">
        <f t="array" ref="K75">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4.1154711302717639E-4</v>
      </c>
      <c r="L75" s="204" cm="1">
        <f t="array" ref="L75">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4.0248615390905387E-4</v>
      </c>
    </row>
    <row r="76" spans="3:12" outlineLevel="1" x14ac:dyDescent="0.25">
      <c r="C76" s="23" t="s">
        <v>549</v>
      </c>
      <c r="D76" s="23" t="s">
        <v>603</v>
      </c>
      <c r="E76" s="181" t="s">
        <v>282</v>
      </c>
      <c r="F76" s="23" t="s">
        <v>93</v>
      </c>
      <c r="G76" s="23" t="s">
        <v>151</v>
      </c>
      <c r="H76" s="204" t="str" cm="1">
        <f t="array" ref="H76">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v>
      </c>
      <c r="I76" s="204" cm="1">
        <f t="array" ref="I76">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4.0242304629054085E-4</v>
      </c>
      <c r="J76" s="204" cm="1">
        <f t="array" ref="J76">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4.0031996926417115E-4</v>
      </c>
      <c r="K76" s="204" cm="1">
        <f t="array" ref="K76">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4.1154711302717639E-4</v>
      </c>
      <c r="L76" s="204" cm="1">
        <f t="array" ref="L76">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4.0248615390905387E-4</v>
      </c>
    </row>
    <row r="77" spans="3:12" outlineLevel="1" x14ac:dyDescent="0.25">
      <c r="C77" s="23" t="s">
        <v>221</v>
      </c>
      <c r="D77" s="23" t="s">
        <v>603</v>
      </c>
      <c r="E77" s="181" t="s">
        <v>282</v>
      </c>
      <c r="F77" s="23" t="s">
        <v>92</v>
      </c>
      <c r="G77" s="23" t="s">
        <v>151</v>
      </c>
      <c r="H77" s="204" cm="1">
        <f t="array" ref="H77">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4.145910103103863E-4</v>
      </c>
      <c r="I77" s="204" t="str" cm="1">
        <f t="array" ref="I77">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77" s="204" t="str" cm="1">
        <f t="array" ref="J77">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77" s="204" t="str" cm="1">
        <f t="array" ref="K77">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77" s="204" t="str" cm="1">
        <f t="array" ref="L77">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78" spans="3:12" outlineLevel="1" x14ac:dyDescent="0.25">
      <c r="C78" s="23" t="s">
        <v>221</v>
      </c>
      <c r="D78" s="23" t="s">
        <v>603</v>
      </c>
      <c r="E78" s="181" t="s">
        <v>282</v>
      </c>
      <c r="F78" s="23" t="s">
        <v>93</v>
      </c>
      <c r="G78" s="23" t="s">
        <v>151</v>
      </c>
      <c r="H78" s="204" cm="1">
        <f t="array" ref="H78">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4.145910103103863E-4</v>
      </c>
      <c r="I78" s="204" t="str" cm="1">
        <f t="array" ref="I78">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78" s="204" t="str" cm="1">
        <f t="array" ref="J78">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78" s="204" t="str" cm="1">
        <f t="array" ref="K78">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78" s="204" t="str" cm="1">
        <f t="array" ref="L78">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79" spans="3:12" outlineLevel="1" x14ac:dyDescent="0.25">
      <c r="C79" s="23" t="s">
        <v>228</v>
      </c>
      <c r="D79" s="23" t="s">
        <v>603</v>
      </c>
      <c r="E79" s="181" t="s">
        <v>282</v>
      </c>
      <c r="F79" s="23" t="s">
        <v>92</v>
      </c>
      <c r="G79" s="23" t="s">
        <v>151</v>
      </c>
      <c r="H79" s="204" cm="1">
        <f t="array" ref="H79">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4.145910103103863E-4</v>
      </c>
      <c r="I79" s="204" t="str" cm="1">
        <f t="array" ref="I79">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79" s="204" t="str" cm="1">
        <f t="array" ref="J79">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79" s="204" t="str" cm="1">
        <f t="array" ref="K79">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79" s="204" t="str" cm="1">
        <f t="array" ref="L79">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80" spans="3:12" outlineLevel="1" x14ac:dyDescent="0.25">
      <c r="C80" s="23" t="s">
        <v>228</v>
      </c>
      <c r="D80" s="23" t="s">
        <v>603</v>
      </c>
      <c r="E80" s="181" t="s">
        <v>282</v>
      </c>
      <c r="F80" s="23" t="s">
        <v>93</v>
      </c>
      <c r="G80" s="23" t="s">
        <v>151</v>
      </c>
      <c r="H80" s="204" cm="1">
        <f t="array" ref="H80">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4.145910103103863E-4</v>
      </c>
      <c r="I80" s="204" t="str" cm="1">
        <f t="array" ref="I80">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80" s="204" t="str" cm="1">
        <f t="array" ref="J80">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80" s="204" t="str" cm="1">
        <f t="array" ref="K80">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80" s="204" t="str" cm="1">
        <f t="array" ref="L80">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81" spans="3:12" outlineLevel="1" x14ac:dyDescent="0.25">
      <c r="C81" s="23" t="s">
        <v>287</v>
      </c>
      <c r="D81" s="23" t="s">
        <v>603</v>
      </c>
      <c r="E81" s="181" t="s">
        <v>282</v>
      </c>
      <c r="F81" s="23" t="s">
        <v>92</v>
      </c>
      <c r="G81" s="23" t="s">
        <v>151</v>
      </c>
      <c r="H81" s="204" cm="1">
        <f t="array" ref="H81">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4.145910103103863E-4</v>
      </c>
      <c r="I81" s="204" cm="1">
        <f t="array" ref="I81">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4.0242304629054085E-4</v>
      </c>
      <c r="J81" s="204" cm="1">
        <f t="array" ref="J81">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4.0031996926417115E-4</v>
      </c>
      <c r="K81" s="204" cm="1">
        <f t="array" ref="K81">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4.1154711302717639E-4</v>
      </c>
      <c r="L81" s="204" cm="1">
        <f t="array" ref="L81">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4.0248615390905387E-4</v>
      </c>
    </row>
    <row r="82" spans="3:12" outlineLevel="1" x14ac:dyDescent="0.25">
      <c r="C82" s="23" t="s">
        <v>230</v>
      </c>
      <c r="D82" s="23" t="s">
        <v>603</v>
      </c>
      <c r="E82" s="181" t="s">
        <v>282</v>
      </c>
      <c r="F82" s="23" t="s">
        <v>92</v>
      </c>
      <c r="G82" s="23" t="s">
        <v>151</v>
      </c>
      <c r="H82" s="204" cm="1">
        <f t="array" ref="H82">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4.145910103103863E-4</v>
      </c>
      <c r="I82" s="204" cm="1">
        <f t="array" ref="I82">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4.0242304629054085E-4</v>
      </c>
      <c r="J82" s="204" cm="1">
        <f t="array" ref="J82">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4.0031996926417115E-4</v>
      </c>
      <c r="K82" s="204" cm="1">
        <f t="array" ref="K82">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4.1154711302717639E-4</v>
      </c>
      <c r="L82" s="204" cm="1">
        <f t="array" ref="L82">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4.0248615390905387E-4</v>
      </c>
    </row>
    <row r="83" spans="3:12" outlineLevel="1" x14ac:dyDescent="0.25">
      <c r="C83" s="23" t="s">
        <v>230</v>
      </c>
      <c r="D83" s="23" t="s">
        <v>603</v>
      </c>
      <c r="E83" s="181" t="s">
        <v>282</v>
      </c>
      <c r="F83" s="23" t="s">
        <v>93</v>
      </c>
      <c r="G83" s="23" t="s">
        <v>151</v>
      </c>
      <c r="H83" s="204" cm="1">
        <f t="array" ref="H83">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4.145910103103863E-4</v>
      </c>
      <c r="I83" s="204" cm="1">
        <f t="array" ref="I83">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4.0242304629054085E-4</v>
      </c>
      <c r="J83" s="204" cm="1">
        <f t="array" ref="J83">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4.0031996926417115E-4</v>
      </c>
      <c r="K83" s="204" cm="1">
        <f t="array" ref="K83">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4.1154711302717639E-4</v>
      </c>
      <c r="L83" s="204" cm="1">
        <f t="array" ref="L83">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4.0248615390905387E-4</v>
      </c>
    </row>
    <row r="84" spans="3:12" outlineLevel="1" x14ac:dyDescent="0.25">
      <c r="C84" s="23" t="s">
        <v>609</v>
      </c>
      <c r="D84" s="23" t="s">
        <v>603</v>
      </c>
      <c r="E84" s="181" t="s">
        <v>282</v>
      </c>
      <c r="F84" s="23" t="s">
        <v>92</v>
      </c>
      <c r="G84" s="23" t="s">
        <v>151</v>
      </c>
      <c r="H84" s="204" cm="1">
        <f t="array" ref="H84">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4.145910103103863E-4</v>
      </c>
      <c r="I84" s="204" cm="1">
        <f t="array" ref="I84">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4.0242304629054085E-4</v>
      </c>
      <c r="J84" s="204" cm="1">
        <f t="array" ref="J84">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4.0031996926417115E-4</v>
      </c>
      <c r="K84" s="204" cm="1">
        <f t="array" ref="K84">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4.1154711302717639E-4</v>
      </c>
      <c r="L84" s="204" cm="1">
        <f t="array" ref="L84">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4.0248615390905387E-4</v>
      </c>
    </row>
    <row r="85" spans="3:12" outlineLevel="1" x14ac:dyDescent="0.25">
      <c r="C85" s="23" t="s">
        <v>609</v>
      </c>
      <c r="D85" s="23" t="s">
        <v>603</v>
      </c>
      <c r="E85" s="181" t="s">
        <v>282</v>
      </c>
      <c r="F85" s="23" t="s">
        <v>93</v>
      </c>
      <c r="G85" s="23" t="s">
        <v>151</v>
      </c>
      <c r="H85" s="204" cm="1">
        <f t="array" ref="H85">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4.145910103103863E-4</v>
      </c>
      <c r="I85" s="204" cm="1">
        <f t="array" ref="I85">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4.0242304629054085E-4</v>
      </c>
      <c r="J85" s="204" cm="1">
        <f t="array" ref="J85">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4.0031996926417115E-4</v>
      </c>
      <c r="K85" s="204" cm="1">
        <f t="array" ref="K85">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4.1154711302717639E-4</v>
      </c>
      <c r="L85" s="204" cm="1">
        <f t="array" ref="L85">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4.0248615390905387E-4</v>
      </c>
    </row>
    <row r="86" spans="3:12" outlineLevel="1" x14ac:dyDescent="0.25">
      <c r="C86" s="23" t="s">
        <v>549</v>
      </c>
      <c r="D86" s="23" t="s">
        <v>604</v>
      </c>
      <c r="E86" s="181" t="s">
        <v>282</v>
      </c>
      <c r="F86" s="23" t="s">
        <v>92</v>
      </c>
      <c r="G86" s="23" t="s">
        <v>151</v>
      </c>
      <c r="H86" s="204" t="str" cm="1">
        <f t="array" ref="H86">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v>
      </c>
      <c r="I86" s="204" cm="1">
        <f t="array" ref="I86">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0</v>
      </c>
      <c r="J86" s="204" cm="1">
        <f t="array" ref="J86">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0</v>
      </c>
      <c r="K86" s="204" cm="1">
        <f t="array" ref="K86">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0</v>
      </c>
      <c r="L86" s="204" cm="1">
        <f t="array" ref="L86">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0</v>
      </c>
    </row>
    <row r="87" spans="3:12" outlineLevel="1" x14ac:dyDescent="0.25">
      <c r="C87" s="23" t="s">
        <v>549</v>
      </c>
      <c r="D87" s="23" t="s">
        <v>604</v>
      </c>
      <c r="E87" s="181" t="s">
        <v>282</v>
      </c>
      <c r="F87" s="23" t="s">
        <v>93</v>
      </c>
      <c r="G87" s="23" t="s">
        <v>151</v>
      </c>
      <c r="H87" s="204" t="str" cm="1">
        <f t="array" ref="H87">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v>
      </c>
      <c r="I87" s="204" cm="1">
        <f t="array" ref="I87">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0</v>
      </c>
      <c r="J87" s="204" cm="1">
        <f t="array" ref="J87">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0</v>
      </c>
      <c r="K87" s="204" cm="1">
        <f t="array" ref="K87">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0</v>
      </c>
      <c r="L87" s="204" cm="1">
        <f t="array" ref="L87">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0</v>
      </c>
    </row>
    <row r="88" spans="3:12" outlineLevel="1" x14ac:dyDescent="0.25">
      <c r="C88" s="23" t="s">
        <v>221</v>
      </c>
      <c r="D88" s="23" t="s">
        <v>604</v>
      </c>
      <c r="E88" s="181" t="s">
        <v>282</v>
      </c>
      <c r="F88" s="23" t="s">
        <v>92</v>
      </c>
      <c r="G88" s="23" t="s">
        <v>151</v>
      </c>
      <c r="H88" s="204" cm="1">
        <f t="array" ref="H88">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0</v>
      </c>
      <c r="I88" s="204" t="str" cm="1">
        <f t="array" ref="I88">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88" s="204" t="str" cm="1">
        <f t="array" ref="J88">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88" s="204" t="str" cm="1">
        <f t="array" ref="K88">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88" s="204" t="str" cm="1">
        <f t="array" ref="L88">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89" spans="3:12" outlineLevel="1" x14ac:dyDescent="0.25">
      <c r="C89" s="23" t="s">
        <v>221</v>
      </c>
      <c r="D89" s="23" t="s">
        <v>604</v>
      </c>
      <c r="E89" s="181" t="s">
        <v>282</v>
      </c>
      <c r="F89" s="23" t="s">
        <v>93</v>
      </c>
      <c r="G89" s="23" t="s">
        <v>151</v>
      </c>
      <c r="H89" s="204" cm="1">
        <f t="array" ref="H89">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0</v>
      </c>
      <c r="I89" s="204" t="str" cm="1">
        <f t="array" ref="I89">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89" s="204" t="str" cm="1">
        <f t="array" ref="J89">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89" s="204" t="str" cm="1">
        <f t="array" ref="K89">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89" s="204" t="str" cm="1">
        <f t="array" ref="L89">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90" spans="3:12" outlineLevel="1" x14ac:dyDescent="0.25">
      <c r="C90" s="23" t="s">
        <v>228</v>
      </c>
      <c r="D90" s="23" t="s">
        <v>604</v>
      </c>
      <c r="E90" s="181" t="s">
        <v>282</v>
      </c>
      <c r="F90" s="23" t="s">
        <v>92</v>
      </c>
      <c r="G90" s="23" t="s">
        <v>151</v>
      </c>
      <c r="H90" s="204" cm="1">
        <f t="array" ref="H90">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0</v>
      </c>
      <c r="I90" s="204" t="str" cm="1">
        <f t="array" ref="I90">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90" s="204" t="str" cm="1">
        <f t="array" ref="J90">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90" s="204" t="str" cm="1">
        <f t="array" ref="K90">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90" s="204" t="str" cm="1">
        <f t="array" ref="L90">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91" spans="3:12" outlineLevel="1" x14ac:dyDescent="0.25">
      <c r="C91" s="23" t="s">
        <v>228</v>
      </c>
      <c r="D91" s="23" t="s">
        <v>604</v>
      </c>
      <c r="E91" s="181" t="s">
        <v>282</v>
      </c>
      <c r="F91" s="23" t="s">
        <v>93</v>
      </c>
      <c r="G91" s="23" t="s">
        <v>151</v>
      </c>
      <c r="H91" s="204" cm="1">
        <f t="array" ref="H91">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0</v>
      </c>
      <c r="I91" s="204" t="str" cm="1">
        <f t="array" ref="I91">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v>
      </c>
      <c r="J91" s="204" t="str" cm="1">
        <f t="array" ref="J91">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v>
      </c>
      <c r="K91" s="204" t="str" cm="1">
        <f t="array" ref="K91">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v>
      </c>
      <c r="L91" s="204" t="str" cm="1">
        <f t="array" ref="L91">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v>
      </c>
    </row>
    <row r="92" spans="3:12" outlineLevel="1" x14ac:dyDescent="0.25">
      <c r="C92" s="23" t="s">
        <v>287</v>
      </c>
      <c r="D92" s="23" t="s">
        <v>604</v>
      </c>
      <c r="E92" s="181" t="s">
        <v>282</v>
      </c>
      <c r="F92" s="23" t="s">
        <v>92</v>
      </c>
      <c r="G92" s="23" t="s">
        <v>151</v>
      </c>
      <c r="H92" s="204" cm="1">
        <f t="array" ref="H92">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0</v>
      </c>
      <c r="I92" s="204" cm="1">
        <f t="array" ref="I92">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0</v>
      </c>
      <c r="J92" s="204" cm="1">
        <f t="array" ref="J92">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0</v>
      </c>
      <c r="K92" s="204" cm="1">
        <f t="array" ref="K92">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0</v>
      </c>
      <c r="L92" s="204" cm="1">
        <f t="array" ref="L92">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0</v>
      </c>
    </row>
    <row r="93" spans="3:12" outlineLevel="1" x14ac:dyDescent="0.25">
      <c r="C93" s="23" t="s">
        <v>230</v>
      </c>
      <c r="D93" s="23" t="s">
        <v>604</v>
      </c>
      <c r="E93" s="181" t="s">
        <v>282</v>
      </c>
      <c r="F93" s="23" t="s">
        <v>92</v>
      </c>
      <c r="G93" s="23" t="s">
        <v>151</v>
      </c>
      <c r="H93" s="204" cm="1">
        <f t="array" ref="H93">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0</v>
      </c>
      <c r="I93" s="204" cm="1">
        <f t="array" ref="I93">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0</v>
      </c>
      <c r="J93" s="204" cm="1">
        <f t="array" ref="J93">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0</v>
      </c>
      <c r="K93" s="204" cm="1">
        <f t="array" ref="K93">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0</v>
      </c>
      <c r="L93" s="204" cm="1">
        <f t="array" ref="L93">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0</v>
      </c>
    </row>
    <row r="94" spans="3:12" outlineLevel="1" x14ac:dyDescent="0.25">
      <c r="C94" s="23" t="s">
        <v>230</v>
      </c>
      <c r="D94" s="23" t="s">
        <v>604</v>
      </c>
      <c r="E94" s="181" t="s">
        <v>282</v>
      </c>
      <c r="F94" s="23" t="s">
        <v>93</v>
      </c>
      <c r="G94" s="23" t="s">
        <v>151</v>
      </c>
      <c r="H94" s="204" cm="1">
        <f t="array" ref="H94">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0</v>
      </c>
      <c r="I94" s="204" cm="1">
        <f t="array" ref="I94">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0</v>
      </c>
      <c r="J94" s="204" cm="1">
        <f t="array" ref="J94">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0</v>
      </c>
      <c r="K94" s="204" cm="1">
        <f t="array" ref="K94">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0</v>
      </c>
      <c r="L94" s="204" cm="1">
        <f t="array" ref="L94">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0</v>
      </c>
    </row>
    <row r="95" spans="3:12" outlineLevel="1" x14ac:dyDescent="0.25">
      <c r="C95" s="23" t="s">
        <v>609</v>
      </c>
      <c r="D95" s="23" t="s">
        <v>604</v>
      </c>
      <c r="E95" s="181" t="s">
        <v>282</v>
      </c>
      <c r="F95" s="23" t="s">
        <v>92</v>
      </c>
      <c r="G95" s="23" t="s">
        <v>151</v>
      </c>
      <c r="H95" s="204" cm="1">
        <f t="array" ref="H95">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0</v>
      </c>
      <c r="I95" s="204" cm="1">
        <f t="array" ref="I95">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0</v>
      </c>
      <c r="J95" s="204" cm="1">
        <f t="array" ref="J95">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0</v>
      </c>
      <c r="K95" s="204" cm="1">
        <f t="array" ref="K95">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0</v>
      </c>
      <c r="L95" s="204" cm="1">
        <f t="array" ref="L95">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0</v>
      </c>
    </row>
    <row r="96" spans="3:12" outlineLevel="1" x14ac:dyDescent="0.25">
      <c r="C96" s="23" t="s">
        <v>609</v>
      </c>
      <c r="D96" s="23" t="s">
        <v>604</v>
      </c>
      <c r="E96" s="181" t="s">
        <v>282</v>
      </c>
      <c r="F96" s="23" t="s">
        <v>93</v>
      </c>
      <c r="G96" s="23" t="s">
        <v>151</v>
      </c>
      <c r="H96" s="204" cm="1">
        <f t="array" ref="H96">IFERROR(
IF(OR(
AND(Calc_TUR_Env_1[[#Headers],[Ausnet]]="Ausnet",Calc_TUR_Env_1[[#This Row],[Rate type]:[Rate type]]="Single rate"),
AND(Calc_TUR_Env_1[[#Headers],[Ausnet]]&lt;&gt;"Ausnet",OR(Calc_TUR_Env_1[[#This Row],[Rate type]:[Rate type]]="Block 1",Calc_TUR_Env_1[[#This Row],[Rate type]:[Rate type]]="Balance"))),"-",
SUMIFS(Calc_TUV_EnvGroup_1[Ausnet],
Calc_TUV_EnvGroup_1[[Cost item]:[Cost item]],Calc_TUR_Env_1[[#This Row],[True up]:[True up]],
Calc_TUV_EnvGroup_1[[Cost element]:[Cost element]],Calc_TUR_Env_1[[#This Row],[Cost element]:[Cost element]])
*
($F$58/$F$59)),"-")</f>
        <v>0</v>
      </c>
      <c r="I96" s="204" cm="1">
        <f t="array" ref="I96">IFERROR(
IF(OR(
AND(Calc_TUR_Env_1[[#Headers],[Citipower]]="Ausnet",Calc_TUR_Env_1[[#This Row],[Rate type]:[Rate type]]="Single rate"),
AND(Calc_TUR_Env_1[[#Headers],[Citipower]]&lt;&gt;"Ausnet",OR(Calc_TUR_Env_1[[#This Row],[Rate type]:[Rate type]]="Block 1",Calc_TUR_Env_1[[#This Row],[Rate type]:[Rate type]]="Balance"))),"-",
SUMIFS(Calc_TUV_EnvGroup_1[Citipower],
Calc_TUV_EnvGroup_1[[Cost item]:[Cost item]],Calc_TUR_Env_1[[#This Row],[True up]:[True up]],
Calc_TUV_EnvGroup_1[[Cost element]:[Cost element]],Calc_TUR_Env_1[[#This Row],[Cost element]:[Cost element]])
*
($F$58/$F$59)),"-")</f>
        <v>0</v>
      </c>
      <c r="J96" s="204" cm="1">
        <f t="array" ref="J96">IFERROR(
IF(OR(
AND(Calc_TUR_Env_1[[#Headers],[Jemena]]="Ausnet",Calc_TUR_Env_1[[#This Row],[Rate type]:[Rate type]]="Single rate"),
AND(Calc_TUR_Env_1[[#Headers],[Jemena]]&lt;&gt;"Ausnet",OR(Calc_TUR_Env_1[[#This Row],[Rate type]:[Rate type]]="Block 1",Calc_TUR_Env_1[[#This Row],[Rate type]:[Rate type]]="Balance"))),"-",
SUMIFS(Calc_TUV_EnvGroup_1[Jemena],
Calc_TUV_EnvGroup_1[[Cost item]:[Cost item]],Calc_TUR_Env_1[[#This Row],[True up]:[True up]],
Calc_TUV_EnvGroup_1[[Cost element]:[Cost element]],Calc_TUR_Env_1[[#This Row],[Cost element]:[Cost element]])
*
($F$58/$F$59)),"-")</f>
        <v>0</v>
      </c>
      <c r="K96" s="204" cm="1">
        <f t="array" ref="K96">IFERROR(
IF(OR(
AND(Calc_TUR_Env_1[[#Headers],[Powercor]]="Ausnet",Calc_TUR_Env_1[[#This Row],[Rate type]:[Rate type]]="Single rate"),
AND(Calc_TUR_Env_1[[#Headers],[Powercor]]&lt;&gt;"Ausnet",OR(Calc_TUR_Env_1[[#This Row],[Rate type]:[Rate type]]="Block 1",Calc_TUR_Env_1[[#This Row],[Rate type]:[Rate type]]="Balance"))),"-",
SUMIFS(Calc_TUV_EnvGroup_1[Powercor],
Calc_TUV_EnvGroup_1[[Cost item]:[Cost item]],Calc_TUR_Env_1[[#This Row],[True up]:[True up]],
Calc_TUV_EnvGroup_1[[Cost element]:[Cost element]],Calc_TUR_Env_1[[#This Row],[Cost element]:[Cost element]])
*
($F$58/$F$59)),"-")</f>
        <v>0</v>
      </c>
      <c r="L96" s="204" cm="1">
        <f t="array" ref="L96">IFERROR(
IF(OR(
AND(Calc_TUR_Env_1[[#Headers],[United Energy]]="Ausnet",Calc_TUR_Env_1[[#This Row],[Rate type]:[Rate type]]="Single rate"),
AND(Calc_TUR_Env_1[[#Headers],[United Energy]]&lt;&gt;"Ausnet",OR(Calc_TUR_Env_1[[#This Row],[Rate type]:[Rate type]]="Block 1",Calc_TUR_Env_1[[#This Row],[Rate type]:[Rate type]]="Balance"))),"-",
SUMIFS(Calc_TUV_EnvGroup_1[United Energy],
Calc_TUV_EnvGroup_1[[Cost item]:[Cost item]],Calc_TUR_Env_1[[#This Row],[True up]:[True up]],
Calc_TUV_EnvGroup_1[[Cost element]:[Cost element]],Calc_TUR_Env_1[[#This Row],[Cost element]:[Cost element]])
*
($F$58/$F$59)),"-")</f>
        <v>0</v>
      </c>
    </row>
    <row r="97" spans="3:12" outlineLevel="1" x14ac:dyDescent="0.25"/>
    <row r="98" spans="3:12" ht="15.75" outlineLevel="1" x14ac:dyDescent="0.25">
      <c r="C98" s="29" t="s">
        <v>17</v>
      </c>
    </row>
    <row r="99" spans="3:12" ht="15.75" outlineLevel="1" x14ac:dyDescent="0.25">
      <c r="C99" s="167" t="s">
        <v>520</v>
      </c>
      <c r="D99" s="167" t="s">
        <v>313</v>
      </c>
      <c r="E99" s="167" t="s">
        <v>103</v>
      </c>
      <c r="F99" s="167" t="s">
        <v>91</v>
      </c>
      <c r="G99" s="167" t="s">
        <v>45</v>
      </c>
      <c r="H99" s="197" t="s">
        <v>268</v>
      </c>
      <c r="I99" s="197" t="s">
        <v>269</v>
      </c>
      <c r="J99" s="197" t="s">
        <v>270</v>
      </c>
      <c r="K99" s="197" t="s">
        <v>271</v>
      </c>
      <c r="L99" s="197" t="s">
        <v>272</v>
      </c>
    </row>
    <row r="100" spans="3:12" ht="15.75" outlineLevel="1" x14ac:dyDescent="0.25">
      <c r="C100" s="23" t="s">
        <v>549</v>
      </c>
      <c r="D100" s="23" t="s">
        <v>602</v>
      </c>
      <c r="E100" s="181" t="s">
        <v>282</v>
      </c>
      <c r="F100" s="23" t="s">
        <v>92</v>
      </c>
      <c r="G100" s="23" t="s">
        <v>151</v>
      </c>
      <c r="H100" s="93" t="str">
        <f>IF(H64="-","-",
IF(
ROUND(H64,8)=
ROUND(SUMIFS(Calc_TUV_EnvGroup_1[Ausnet],Calc_TUV_EnvGroup_1[[Cost item]:[Cost item]],$D100,Calc_TUV_EnvGroup_1[[Cost element]:[Cost element]],$G100)*($F$58/$F$59),8),
0,1))</f>
        <v>-</v>
      </c>
      <c r="I100" s="93">
        <f>IF(I64="-","-",
IF(
ROUND(I64,8)=
ROUND(SUMIFS(Calc_TUV_EnvGroup_1[Citipower],Calc_TUV_EnvGroup_1[[Cost item]:[Cost item]],$D100,Calc_TUV_EnvGroup_1[[Cost element]:[Cost element]],$G100)*($F$58/$F$59),8),
0,1))</f>
        <v>0</v>
      </c>
      <c r="J100" s="93">
        <f>IF(J64="-","-",
IF(
ROUND(J64,8)=
ROUND(SUMIFS(Calc_TUV_EnvGroup_1[Jemena],Calc_TUV_EnvGroup_1[[Cost item]:[Cost item]],$D100,Calc_TUV_EnvGroup_1[[Cost element]:[Cost element]],$G100)*($F$58/$F$59),8),
0,1))</f>
        <v>0</v>
      </c>
      <c r="K100" s="93">
        <f>IF(K64="-","-",
IF(
ROUND(K64,8)=
ROUND(SUMIFS(Calc_TUV_EnvGroup_1[Powercor],Calc_TUV_EnvGroup_1[[Cost item]:[Cost item]],$D100,Calc_TUV_EnvGroup_1[[Cost element]:[Cost element]],$G100)*($F$58/$F$59),8),
0,1))</f>
        <v>0</v>
      </c>
      <c r="L100" s="93">
        <f>IF(L64="-","-",
IF(
ROUND(L64,8)=
ROUND(SUMIFS(Calc_TUV_EnvGroup_1[United Energy],Calc_TUV_EnvGroup_1[[Cost item]:[Cost item]],$D100,Calc_TUV_EnvGroup_1[[Cost element]:[Cost element]],$G100)*($F$58/$F$59),8),
0,1))</f>
        <v>0</v>
      </c>
    </row>
    <row r="101" spans="3:12" ht="15.75" outlineLevel="1" x14ac:dyDescent="0.25">
      <c r="C101" s="23" t="s">
        <v>549</v>
      </c>
      <c r="D101" s="23" t="s">
        <v>602</v>
      </c>
      <c r="E101" s="181" t="s">
        <v>282</v>
      </c>
      <c r="F101" s="23" t="s">
        <v>93</v>
      </c>
      <c r="G101" s="23" t="s">
        <v>151</v>
      </c>
      <c r="H101" s="93" t="str">
        <f>IF(H65="-","-",
IF(
ROUND(H65,8)=
ROUND(SUMIFS(Calc_TUV_EnvGroup_1[Ausnet],Calc_TUV_EnvGroup_1[[Cost item]:[Cost item]],$D101,Calc_TUV_EnvGroup_1[[Cost element]:[Cost element]],$G101)*($F$58/$F$59),8),
0,1))</f>
        <v>-</v>
      </c>
      <c r="I101" s="93">
        <f>IF(I65="-","-",
IF(
ROUND(I65,8)=
ROUND(SUMIFS(Calc_TUV_EnvGroup_1[Citipower],Calc_TUV_EnvGroup_1[[Cost item]:[Cost item]],$D101,Calc_TUV_EnvGroup_1[[Cost element]:[Cost element]],$G101)*($F$58/$F$59),8),
0,1))</f>
        <v>0</v>
      </c>
      <c r="J101" s="93">
        <f>IF(J65="-","-",
IF(
ROUND(J65,8)=
ROUND(SUMIFS(Calc_TUV_EnvGroup_1[Jemena],Calc_TUV_EnvGroup_1[[Cost item]:[Cost item]],$D101,Calc_TUV_EnvGroup_1[[Cost element]:[Cost element]],$G101)*($F$58/$F$59),8),
0,1))</f>
        <v>0</v>
      </c>
      <c r="K101" s="93">
        <f>IF(K65="-","-",
IF(
ROUND(K65,8)=
ROUND(SUMIFS(Calc_TUV_EnvGroup_1[Powercor],Calc_TUV_EnvGroup_1[[Cost item]:[Cost item]],$D101,Calc_TUV_EnvGroup_1[[Cost element]:[Cost element]],$G101)*($F$58/$F$59),8),
0,1))</f>
        <v>0</v>
      </c>
      <c r="L101" s="93">
        <f>IF(L65="-","-",
IF(
ROUND(L65,8)=
ROUND(SUMIFS(Calc_TUV_EnvGroup_1[United Energy],Calc_TUV_EnvGroup_1[[Cost item]:[Cost item]],$D101,Calc_TUV_EnvGroup_1[[Cost element]:[Cost element]],$G101)*($F$58/$F$59),8),
0,1))</f>
        <v>0</v>
      </c>
    </row>
    <row r="102" spans="3:12" ht="15.75" outlineLevel="1" x14ac:dyDescent="0.25">
      <c r="C102" s="23" t="s">
        <v>221</v>
      </c>
      <c r="D102" s="23" t="s">
        <v>602</v>
      </c>
      <c r="E102" s="181" t="s">
        <v>282</v>
      </c>
      <c r="F102" s="23" t="s">
        <v>92</v>
      </c>
      <c r="G102" s="23" t="s">
        <v>151</v>
      </c>
      <c r="H102" s="93">
        <f>IF(H66="-","-",
IF(
ROUND(H66,8)=
ROUND(SUMIFS(Calc_TUV_EnvGroup_1[Ausnet],Calc_TUV_EnvGroup_1[[Cost item]:[Cost item]],$D102,Calc_TUV_EnvGroup_1[[Cost element]:[Cost element]],$G102)*($F$58/$F$59),8),
0,1))</f>
        <v>0</v>
      </c>
      <c r="I102" s="93" t="str">
        <f>IF(I66="-","-",
IF(
ROUND(I66,8)=
ROUND(SUMIFS(Calc_TUV_EnvGroup_1[Citipower],Calc_TUV_EnvGroup_1[[Cost item]:[Cost item]],$D102,Calc_TUV_EnvGroup_1[[Cost element]:[Cost element]],$G102)*($F$58/$F$59),8),
0,1))</f>
        <v>-</v>
      </c>
      <c r="J102" s="93" t="str">
        <f>IF(J66="-","-",
IF(
ROUND(J66,8)=
ROUND(SUMIFS(Calc_TUV_EnvGroup_1[Jemena],Calc_TUV_EnvGroup_1[[Cost item]:[Cost item]],$D102,Calc_TUV_EnvGroup_1[[Cost element]:[Cost element]],$G102)*($F$58/$F$59),8),
0,1))</f>
        <v>-</v>
      </c>
      <c r="K102" s="93" t="str">
        <f>IF(K66="-","-",
IF(
ROUND(K66,8)=
ROUND(SUMIFS(Calc_TUV_EnvGroup_1[Powercor],Calc_TUV_EnvGroup_1[[Cost item]:[Cost item]],$D102,Calc_TUV_EnvGroup_1[[Cost element]:[Cost element]],$G102)*($F$58/$F$59),8),
0,1))</f>
        <v>-</v>
      </c>
      <c r="L102" s="93" t="str">
        <f>IF(L66="-","-",
IF(
ROUND(L66,8)=
ROUND(SUMIFS(Calc_TUV_EnvGroup_1[United Energy],Calc_TUV_EnvGroup_1[[Cost item]:[Cost item]],$D102,Calc_TUV_EnvGroup_1[[Cost element]:[Cost element]],$G102)*($F$58/$F$59),8),
0,1))</f>
        <v>-</v>
      </c>
    </row>
    <row r="103" spans="3:12" ht="15.75" outlineLevel="1" x14ac:dyDescent="0.25">
      <c r="C103" s="23" t="s">
        <v>221</v>
      </c>
      <c r="D103" s="23" t="s">
        <v>602</v>
      </c>
      <c r="E103" s="181" t="s">
        <v>282</v>
      </c>
      <c r="F103" s="23" t="s">
        <v>93</v>
      </c>
      <c r="G103" s="23" t="s">
        <v>151</v>
      </c>
      <c r="H103" s="93">
        <f>IF(H67="-","-",
IF(
ROUND(H67,8)=
ROUND(SUMIFS(Calc_TUV_EnvGroup_1[Ausnet],Calc_TUV_EnvGroup_1[[Cost item]:[Cost item]],$D103,Calc_TUV_EnvGroup_1[[Cost element]:[Cost element]],$G103)*($F$58/$F$59),8),
0,1))</f>
        <v>0</v>
      </c>
      <c r="I103" s="93" t="str">
        <f>IF(I67="-","-",
IF(
ROUND(I67,8)=
ROUND(SUMIFS(Calc_TUV_EnvGroup_1[Citipower],Calc_TUV_EnvGroup_1[[Cost item]:[Cost item]],$D103,Calc_TUV_EnvGroup_1[[Cost element]:[Cost element]],$G103)*($F$58/$F$59),8),
0,1))</f>
        <v>-</v>
      </c>
      <c r="J103" s="93" t="str">
        <f>IF(J67="-","-",
IF(
ROUND(J67,8)=
ROUND(SUMIFS(Calc_TUV_EnvGroup_1[Jemena],Calc_TUV_EnvGroup_1[[Cost item]:[Cost item]],$D103,Calc_TUV_EnvGroup_1[[Cost element]:[Cost element]],$G103)*($F$58/$F$59),8),
0,1))</f>
        <v>-</v>
      </c>
      <c r="K103" s="93" t="str">
        <f>IF(K67="-","-",
IF(
ROUND(K67,8)=
ROUND(SUMIFS(Calc_TUV_EnvGroup_1[Powercor],Calc_TUV_EnvGroup_1[[Cost item]:[Cost item]],$D103,Calc_TUV_EnvGroup_1[[Cost element]:[Cost element]],$G103)*($F$58/$F$59),8),
0,1))</f>
        <v>-</v>
      </c>
      <c r="L103" s="93" t="str">
        <f>IF(L67="-","-",
IF(
ROUND(L67,8)=
ROUND(SUMIFS(Calc_TUV_EnvGroup_1[United Energy],Calc_TUV_EnvGroup_1[[Cost item]:[Cost item]],$D103,Calc_TUV_EnvGroup_1[[Cost element]:[Cost element]],$G103)*($F$58/$F$59),8),
0,1))</f>
        <v>-</v>
      </c>
    </row>
    <row r="104" spans="3:12" ht="15.75" outlineLevel="1" x14ac:dyDescent="0.25">
      <c r="C104" s="23" t="s">
        <v>228</v>
      </c>
      <c r="D104" s="23" t="s">
        <v>602</v>
      </c>
      <c r="E104" s="181" t="s">
        <v>282</v>
      </c>
      <c r="F104" s="23" t="s">
        <v>92</v>
      </c>
      <c r="G104" s="23" t="s">
        <v>151</v>
      </c>
      <c r="H104" s="93">
        <f>IF(H68="-","-",
IF(
ROUND(H68,8)=
ROUND(SUMIFS(Calc_TUV_EnvGroup_1[Ausnet],Calc_TUV_EnvGroup_1[[Cost item]:[Cost item]],$D104,Calc_TUV_EnvGroup_1[[Cost element]:[Cost element]],$G104)*($F$58/$F$59),8),
0,1))</f>
        <v>0</v>
      </c>
      <c r="I104" s="93" t="str">
        <f>IF(I68="-","-",
IF(
ROUND(I68,8)=
ROUND(SUMIFS(Calc_TUV_EnvGroup_1[Citipower],Calc_TUV_EnvGroup_1[[Cost item]:[Cost item]],$D104,Calc_TUV_EnvGroup_1[[Cost element]:[Cost element]],$G104)*($F$58/$F$59),8),
0,1))</f>
        <v>-</v>
      </c>
      <c r="J104" s="93" t="str">
        <f>IF(J68="-","-",
IF(
ROUND(J68,8)=
ROUND(SUMIFS(Calc_TUV_EnvGroup_1[Jemena],Calc_TUV_EnvGroup_1[[Cost item]:[Cost item]],$D104,Calc_TUV_EnvGroup_1[[Cost element]:[Cost element]],$G104)*($F$58/$F$59),8),
0,1))</f>
        <v>-</v>
      </c>
      <c r="K104" s="93" t="str">
        <f>IF(K68="-","-",
IF(
ROUND(K68,8)=
ROUND(SUMIFS(Calc_TUV_EnvGroup_1[Powercor],Calc_TUV_EnvGroup_1[[Cost item]:[Cost item]],$D104,Calc_TUV_EnvGroup_1[[Cost element]:[Cost element]],$G104)*($F$58/$F$59),8),
0,1))</f>
        <v>-</v>
      </c>
      <c r="L104" s="93" t="str">
        <f>IF(L68="-","-",
IF(
ROUND(L68,8)=
ROUND(SUMIFS(Calc_TUV_EnvGroup_1[United Energy],Calc_TUV_EnvGroup_1[[Cost item]:[Cost item]],$D104,Calc_TUV_EnvGroup_1[[Cost element]:[Cost element]],$G104)*($F$58/$F$59),8),
0,1))</f>
        <v>-</v>
      </c>
    </row>
    <row r="105" spans="3:12" ht="15.75" outlineLevel="1" x14ac:dyDescent="0.25">
      <c r="C105" s="23" t="s">
        <v>228</v>
      </c>
      <c r="D105" s="23" t="s">
        <v>602</v>
      </c>
      <c r="E105" s="181" t="s">
        <v>282</v>
      </c>
      <c r="F105" s="23" t="s">
        <v>93</v>
      </c>
      <c r="G105" s="23" t="s">
        <v>151</v>
      </c>
      <c r="H105" s="93">
        <f>IF(H69="-","-",
IF(
ROUND(H69,8)=
ROUND(SUMIFS(Calc_TUV_EnvGroup_1[Ausnet],Calc_TUV_EnvGroup_1[[Cost item]:[Cost item]],$D105,Calc_TUV_EnvGroup_1[[Cost element]:[Cost element]],$G105)*($F$58/$F$59),8),
0,1))</f>
        <v>0</v>
      </c>
      <c r="I105" s="93" t="str">
        <f>IF(I69="-","-",
IF(
ROUND(I69,8)=
ROUND(SUMIFS(Calc_TUV_EnvGroup_1[Citipower],Calc_TUV_EnvGroup_1[[Cost item]:[Cost item]],$D105,Calc_TUV_EnvGroup_1[[Cost element]:[Cost element]],$G105)*($F$58/$F$59),8),
0,1))</f>
        <v>-</v>
      </c>
      <c r="J105" s="93" t="str">
        <f>IF(J69="-","-",
IF(
ROUND(J69,8)=
ROUND(SUMIFS(Calc_TUV_EnvGroup_1[Jemena],Calc_TUV_EnvGroup_1[[Cost item]:[Cost item]],$D105,Calc_TUV_EnvGroup_1[[Cost element]:[Cost element]],$G105)*($F$58/$F$59),8),
0,1))</f>
        <v>-</v>
      </c>
      <c r="K105" s="93" t="str">
        <f>IF(K69="-","-",
IF(
ROUND(K69,8)=
ROUND(SUMIFS(Calc_TUV_EnvGroup_1[Powercor],Calc_TUV_EnvGroup_1[[Cost item]:[Cost item]],$D105,Calc_TUV_EnvGroup_1[[Cost element]:[Cost element]],$G105)*($F$58/$F$59),8),
0,1))</f>
        <v>-</v>
      </c>
      <c r="L105" s="93" t="str">
        <f>IF(L69="-","-",
IF(
ROUND(L69,8)=
ROUND(SUMIFS(Calc_TUV_EnvGroup_1[United Energy],Calc_TUV_EnvGroup_1[[Cost item]:[Cost item]],$D105,Calc_TUV_EnvGroup_1[[Cost element]:[Cost element]],$G105)*($F$58/$F$59),8),
0,1))</f>
        <v>-</v>
      </c>
    </row>
    <row r="106" spans="3:12" ht="15.75" outlineLevel="1" x14ac:dyDescent="0.25">
      <c r="C106" s="23" t="s">
        <v>287</v>
      </c>
      <c r="D106" s="23" t="s">
        <v>602</v>
      </c>
      <c r="E106" s="181" t="s">
        <v>282</v>
      </c>
      <c r="F106" s="23" t="s">
        <v>92</v>
      </c>
      <c r="G106" s="23" t="s">
        <v>151</v>
      </c>
      <c r="H106" s="93">
        <f>IF(H70="-","-",
IF(
ROUND(H70,8)=
ROUND(SUMIFS(Calc_TUV_EnvGroup_1[Ausnet],Calc_TUV_EnvGroup_1[[Cost item]:[Cost item]],$D106,Calc_TUV_EnvGroup_1[[Cost element]:[Cost element]],$G106)*($F$58/$F$59),8),
0,1))</f>
        <v>0</v>
      </c>
      <c r="I106" s="93">
        <f>IF(I70="-","-",
IF(
ROUND(I70,8)=
ROUND(SUMIFS(Calc_TUV_EnvGroup_1[Citipower],Calc_TUV_EnvGroup_1[[Cost item]:[Cost item]],$D106,Calc_TUV_EnvGroup_1[[Cost element]:[Cost element]],$G106)*($F$58/$F$59),8),
0,1))</f>
        <v>0</v>
      </c>
      <c r="J106" s="93">
        <f>IF(J70="-","-",
IF(
ROUND(J70,8)=
ROUND(SUMIFS(Calc_TUV_EnvGroup_1[Jemena],Calc_TUV_EnvGroup_1[[Cost item]:[Cost item]],$D106,Calc_TUV_EnvGroup_1[[Cost element]:[Cost element]],$G106)*($F$58/$F$59),8),
0,1))</f>
        <v>0</v>
      </c>
      <c r="K106" s="93">
        <f>IF(K70="-","-",
IF(
ROUND(K70,8)=
ROUND(SUMIFS(Calc_TUV_EnvGroup_1[Powercor],Calc_TUV_EnvGroup_1[[Cost item]:[Cost item]],$D106,Calc_TUV_EnvGroup_1[[Cost element]:[Cost element]],$G106)*($F$58/$F$59),8),
0,1))</f>
        <v>0</v>
      </c>
      <c r="L106" s="93">
        <f>IF(L70="-","-",
IF(
ROUND(L70,8)=
ROUND(SUMIFS(Calc_TUV_EnvGroup_1[United Energy],Calc_TUV_EnvGroup_1[[Cost item]:[Cost item]],$D106,Calc_TUV_EnvGroup_1[[Cost element]:[Cost element]],$G106)*($F$58/$F$59),8),
0,1))</f>
        <v>0</v>
      </c>
    </row>
    <row r="107" spans="3:12" ht="15.75" outlineLevel="1" x14ac:dyDescent="0.25">
      <c r="C107" s="23" t="s">
        <v>230</v>
      </c>
      <c r="D107" s="23" t="s">
        <v>602</v>
      </c>
      <c r="E107" s="181" t="s">
        <v>282</v>
      </c>
      <c r="F107" s="23" t="s">
        <v>92</v>
      </c>
      <c r="G107" s="23" t="s">
        <v>151</v>
      </c>
      <c r="H107" s="93">
        <f>IF(H71="-","-",
IF(
ROUND(H71,8)=
ROUND(SUMIFS(Calc_TUV_EnvGroup_1[Ausnet],Calc_TUV_EnvGroup_1[[Cost item]:[Cost item]],$D107,Calc_TUV_EnvGroup_1[[Cost element]:[Cost element]],$G107)*($F$58/$F$59),8),
0,1))</f>
        <v>0</v>
      </c>
      <c r="I107" s="93">
        <f>IF(I71="-","-",
IF(
ROUND(I71,8)=
ROUND(SUMIFS(Calc_TUV_EnvGroup_1[Citipower],Calc_TUV_EnvGroup_1[[Cost item]:[Cost item]],$D107,Calc_TUV_EnvGroup_1[[Cost element]:[Cost element]],$G107)*($F$58/$F$59),8),
0,1))</f>
        <v>0</v>
      </c>
      <c r="J107" s="93">
        <f>IF(J71="-","-",
IF(
ROUND(J71,8)=
ROUND(SUMIFS(Calc_TUV_EnvGroup_1[Jemena],Calc_TUV_EnvGroup_1[[Cost item]:[Cost item]],$D107,Calc_TUV_EnvGroup_1[[Cost element]:[Cost element]],$G107)*($F$58/$F$59),8),
0,1))</f>
        <v>0</v>
      </c>
      <c r="K107" s="93">
        <f>IF(K71="-","-",
IF(
ROUND(K71,8)=
ROUND(SUMIFS(Calc_TUV_EnvGroup_1[Powercor],Calc_TUV_EnvGroup_1[[Cost item]:[Cost item]],$D107,Calc_TUV_EnvGroup_1[[Cost element]:[Cost element]],$G107)*($F$58/$F$59),8),
0,1))</f>
        <v>0</v>
      </c>
      <c r="L107" s="93">
        <f>IF(L71="-","-",
IF(
ROUND(L71,8)=
ROUND(SUMIFS(Calc_TUV_EnvGroup_1[United Energy],Calc_TUV_EnvGroup_1[[Cost item]:[Cost item]],$D107,Calc_TUV_EnvGroup_1[[Cost element]:[Cost element]],$G107)*($F$58/$F$59),8),
0,1))</f>
        <v>0</v>
      </c>
    </row>
    <row r="108" spans="3:12" ht="15.75" outlineLevel="1" x14ac:dyDescent="0.25">
      <c r="C108" s="23" t="s">
        <v>230</v>
      </c>
      <c r="D108" s="23" t="s">
        <v>602</v>
      </c>
      <c r="E108" s="181" t="s">
        <v>282</v>
      </c>
      <c r="F108" s="23" t="s">
        <v>93</v>
      </c>
      <c r="G108" s="23" t="s">
        <v>151</v>
      </c>
      <c r="H108" s="93">
        <f>IF(H72="-","-",
IF(
ROUND(H72,8)=
ROUND(SUMIFS(Calc_TUV_EnvGroup_1[Ausnet],Calc_TUV_EnvGroup_1[[Cost item]:[Cost item]],$D108,Calc_TUV_EnvGroup_1[[Cost element]:[Cost element]],$G108)*($F$58/$F$59),8),
0,1))</f>
        <v>0</v>
      </c>
      <c r="I108" s="93">
        <f>IF(I72="-","-",
IF(
ROUND(I72,8)=
ROUND(SUMIFS(Calc_TUV_EnvGroup_1[Citipower],Calc_TUV_EnvGroup_1[[Cost item]:[Cost item]],$D108,Calc_TUV_EnvGroup_1[[Cost element]:[Cost element]],$G108)*($F$58/$F$59),8),
0,1))</f>
        <v>0</v>
      </c>
      <c r="J108" s="93">
        <f>IF(J72="-","-",
IF(
ROUND(J72,8)=
ROUND(SUMIFS(Calc_TUV_EnvGroup_1[Jemena],Calc_TUV_EnvGroup_1[[Cost item]:[Cost item]],$D108,Calc_TUV_EnvGroup_1[[Cost element]:[Cost element]],$G108)*($F$58/$F$59),8),
0,1))</f>
        <v>0</v>
      </c>
      <c r="K108" s="93">
        <f>IF(K72="-","-",
IF(
ROUND(K72,8)=
ROUND(SUMIFS(Calc_TUV_EnvGroup_1[Powercor],Calc_TUV_EnvGroup_1[[Cost item]:[Cost item]],$D108,Calc_TUV_EnvGroup_1[[Cost element]:[Cost element]],$G108)*($F$58/$F$59),8),
0,1))</f>
        <v>0</v>
      </c>
      <c r="L108" s="93">
        <f>IF(L72="-","-",
IF(
ROUND(L72,8)=
ROUND(SUMIFS(Calc_TUV_EnvGroup_1[United Energy],Calc_TUV_EnvGroup_1[[Cost item]:[Cost item]],$D108,Calc_TUV_EnvGroup_1[[Cost element]:[Cost element]],$G108)*($F$58/$F$59),8),
0,1))</f>
        <v>0</v>
      </c>
    </row>
    <row r="109" spans="3:12" ht="15.75" outlineLevel="1" x14ac:dyDescent="0.25">
      <c r="C109" s="23" t="s">
        <v>609</v>
      </c>
      <c r="D109" s="23" t="s">
        <v>602</v>
      </c>
      <c r="E109" s="181" t="s">
        <v>282</v>
      </c>
      <c r="F109" s="23" t="s">
        <v>92</v>
      </c>
      <c r="G109" s="23" t="s">
        <v>151</v>
      </c>
      <c r="H109" s="93">
        <f>IF(H73="-","-",
IF(
ROUND(H73,8)=
ROUND(SUMIFS(Calc_TUV_EnvGroup_1[Ausnet],Calc_TUV_EnvGroup_1[[Cost item]:[Cost item]],$D109,Calc_TUV_EnvGroup_1[[Cost element]:[Cost element]],$G109)*($F$58/$F$59),8),
0,1))</f>
        <v>0</v>
      </c>
      <c r="I109" s="93">
        <f>IF(I73="-","-",
IF(
ROUND(I73,8)=
ROUND(SUMIFS(Calc_TUV_EnvGroup_1[Citipower],Calc_TUV_EnvGroup_1[[Cost item]:[Cost item]],$D109,Calc_TUV_EnvGroup_1[[Cost element]:[Cost element]],$G109)*($F$58/$F$59),8),
0,1))</f>
        <v>0</v>
      </c>
      <c r="J109" s="93">
        <f>IF(J73="-","-",
IF(
ROUND(J73,8)=
ROUND(SUMIFS(Calc_TUV_EnvGroup_1[Jemena],Calc_TUV_EnvGroup_1[[Cost item]:[Cost item]],$D109,Calc_TUV_EnvGroup_1[[Cost element]:[Cost element]],$G109)*($F$58/$F$59),8),
0,1))</f>
        <v>0</v>
      </c>
      <c r="K109" s="93">
        <f>IF(K73="-","-",
IF(
ROUND(K73,8)=
ROUND(SUMIFS(Calc_TUV_EnvGroup_1[Powercor],Calc_TUV_EnvGroup_1[[Cost item]:[Cost item]],$D109,Calc_TUV_EnvGroup_1[[Cost element]:[Cost element]],$G109)*($F$58/$F$59),8),
0,1))</f>
        <v>0</v>
      </c>
      <c r="L109" s="93">
        <f>IF(L73="-","-",
IF(
ROUND(L73,8)=
ROUND(SUMIFS(Calc_TUV_EnvGroup_1[United Energy],Calc_TUV_EnvGroup_1[[Cost item]:[Cost item]],$D109,Calc_TUV_EnvGroup_1[[Cost element]:[Cost element]],$G109)*($F$58/$F$59),8),
0,1))</f>
        <v>0</v>
      </c>
    </row>
    <row r="110" spans="3:12" ht="15.75" outlineLevel="1" x14ac:dyDescent="0.25">
      <c r="C110" s="23" t="s">
        <v>609</v>
      </c>
      <c r="D110" s="23" t="s">
        <v>602</v>
      </c>
      <c r="E110" s="181" t="s">
        <v>282</v>
      </c>
      <c r="F110" s="23" t="s">
        <v>93</v>
      </c>
      <c r="G110" s="23" t="s">
        <v>151</v>
      </c>
      <c r="H110" s="93">
        <f>IF(H74="-","-",
IF(
ROUND(H74,8)=
ROUND(SUMIFS(Calc_TUV_EnvGroup_1[Ausnet],Calc_TUV_EnvGroup_1[[Cost item]:[Cost item]],$D110,Calc_TUV_EnvGroup_1[[Cost element]:[Cost element]],$G110)*($F$58/$F$59),8),
0,1))</f>
        <v>0</v>
      </c>
      <c r="I110" s="93">
        <f>IF(I74="-","-",
IF(
ROUND(I74,8)=
ROUND(SUMIFS(Calc_TUV_EnvGroup_1[Citipower],Calc_TUV_EnvGroup_1[[Cost item]:[Cost item]],$D110,Calc_TUV_EnvGroup_1[[Cost element]:[Cost element]],$G110)*($F$58/$F$59),8),
0,1))</f>
        <v>0</v>
      </c>
      <c r="J110" s="93">
        <f>IF(J74="-","-",
IF(
ROUND(J74,8)=
ROUND(SUMIFS(Calc_TUV_EnvGroup_1[Jemena],Calc_TUV_EnvGroup_1[[Cost item]:[Cost item]],$D110,Calc_TUV_EnvGroup_1[[Cost element]:[Cost element]],$G110)*($F$58/$F$59),8),
0,1))</f>
        <v>0</v>
      </c>
      <c r="K110" s="93">
        <f>IF(K74="-","-",
IF(
ROUND(K74,8)=
ROUND(SUMIFS(Calc_TUV_EnvGroup_1[Powercor],Calc_TUV_EnvGroup_1[[Cost item]:[Cost item]],$D110,Calc_TUV_EnvGroup_1[[Cost element]:[Cost element]],$G110)*($F$58/$F$59),8),
0,1))</f>
        <v>0</v>
      </c>
      <c r="L110" s="93">
        <f>IF(L74="-","-",
IF(
ROUND(L74,8)=
ROUND(SUMIFS(Calc_TUV_EnvGroup_1[United Energy],Calc_TUV_EnvGroup_1[[Cost item]:[Cost item]],$D110,Calc_TUV_EnvGroup_1[[Cost element]:[Cost element]],$G110)*($F$58/$F$59),8),
0,1))</f>
        <v>0</v>
      </c>
    </row>
    <row r="111" spans="3:12" ht="15.75" outlineLevel="1" x14ac:dyDescent="0.25">
      <c r="C111" s="23" t="s">
        <v>549</v>
      </c>
      <c r="D111" s="23" t="s">
        <v>603</v>
      </c>
      <c r="E111" s="181" t="s">
        <v>282</v>
      </c>
      <c r="F111" s="23" t="s">
        <v>92</v>
      </c>
      <c r="G111" s="23" t="s">
        <v>151</v>
      </c>
      <c r="H111" s="93" t="str">
        <f>IF(H75="-","-",
IF(
ROUND(H75,8)=
ROUND(SUMIFS(Calc_TUV_EnvGroup_1[Ausnet],Calc_TUV_EnvGroup_1[[Cost item]:[Cost item]],$D111,Calc_TUV_EnvGroup_1[[Cost element]:[Cost element]],$G111)*($F$58/$F$59),8),
0,1))</f>
        <v>-</v>
      </c>
      <c r="I111" s="93">
        <f>IF(I75="-","-",
IF(
ROUND(I75,8)=
ROUND(SUMIFS(Calc_TUV_EnvGroup_1[Citipower],Calc_TUV_EnvGroup_1[[Cost item]:[Cost item]],$D111,Calc_TUV_EnvGroup_1[[Cost element]:[Cost element]],$G111)*($F$58/$F$59),8),
0,1))</f>
        <v>0</v>
      </c>
      <c r="J111" s="93">
        <f>IF(J75="-","-",
IF(
ROUND(J75,8)=
ROUND(SUMIFS(Calc_TUV_EnvGroup_1[Jemena],Calc_TUV_EnvGroup_1[[Cost item]:[Cost item]],$D111,Calc_TUV_EnvGroup_1[[Cost element]:[Cost element]],$G111)*($F$58/$F$59),8),
0,1))</f>
        <v>0</v>
      </c>
      <c r="K111" s="93">
        <f>IF(K75="-","-",
IF(
ROUND(K75,8)=
ROUND(SUMIFS(Calc_TUV_EnvGroup_1[Powercor],Calc_TUV_EnvGroup_1[[Cost item]:[Cost item]],$D111,Calc_TUV_EnvGroup_1[[Cost element]:[Cost element]],$G111)*($F$58/$F$59),8),
0,1))</f>
        <v>0</v>
      </c>
      <c r="L111" s="93">
        <f>IF(L75="-","-",
IF(
ROUND(L75,8)=
ROUND(SUMIFS(Calc_TUV_EnvGroup_1[United Energy],Calc_TUV_EnvGroup_1[[Cost item]:[Cost item]],$D111,Calc_TUV_EnvGroup_1[[Cost element]:[Cost element]],$G111)*($F$58/$F$59),8),
0,1))</f>
        <v>0</v>
      </c>
    </row>
    <row r="112" spans="3:12" ht="15.75" outlineLevel="1" x14ac:dyDescent="0.25">
      <c r="C112" s="23" t="s">
        <v>549</v>
      </c>
      <c r="D112" s="23" t="s">
        <v>603</v>
      </c>
      <c r="E112" s="181" t="s">
        <v>282</v>
      </c>
      <c r="F112" s="23" t="s">
        <v>93</v>
      </c>
      <c r="G112" s="23" t="s">
        <v>151</v>
      </c>
      <c r="H112" s="93" t="str">
        <f>IF(H76="-","-",
IF(
ROUND(H76,8)=
ROUND(SUMIFS(Calc_TUV_EnvGroup_1[Ausnet],Calc_TUV_EnvGroup_1[[Cost item]:[Cost item]],$D112,Calc_TUV_EnvGroup_1[[Cost element]:[Cost element]],$G112)*($F$58/$F$59),8),
0,1))</f>
        <v>-</v>
      </c>
      <c r="I112" s="93">
        <f>IF(I76="-","-",
IF(
ROUND(I76,8)=
ROUND(SUMIFS(Calc_TUV_EnvGroup_1[Citipower],Calc_TUV_EnvGroup_1[[Cost item]:[Cost item]],$D112,Calc_TUV_EnvGroup_1[[Cost element]:[Cost element]],$G112)*($F$58/$F$59),8),
0,1))</f>
        <v>0</v>
      </c>
      <c r="J112" s="93">
        <f>IF(J76="-","-",
IF(
ROUND(J76,8)=
ROUND(SUMIFS(Calc_TUV_EnvGroup_1[Jemena],Calc_TUV_EnvGroup_1[[Cost item]:[Cost item]],$D112,Calc_TUV_EnvGroup_1[[Cost element]:[Cost element]],$G112)*($F$58/$F$59),8),
0,1))</f>
        <v>0</v>
      </c>
      <c r="K112" s="93">
        <f>IF(K76="-","-",
IF(
ROUND(K76,8)=
ROUND(SUMIFS(Calc_TUV_EnvGroup_1[Powercor],Calc_TUV_EnvGroup_1[[Cost item]:[Cost item]],$D112,Calc_TUV_EnvGroup_1[[Cost element]:[Cost element]],$G112)*($F$58/$F$59),8),
0,1))</f>
        <v>0</v>
      </c>
      <c r="L112" s="93">
        <f>IF(L76="-","-",
IF(
ROUND(L76,8)=
ROUND(SUMIFS(Calc_TUV_EnvGroup_1[United Energy],Calc_TUV_EnvGroup_1[[Cost item]:[Cost item]],$D112,Calc_TUV_EnvGroup_1[[Cost element]:[Cost element]],$G112)*($F$58/$F$59),8),
0,1))</f>
        <v>0</v>
      </c>
    </row>
    <row r="113" spans="3:12" ht="15.75" outlineLevel="1" x14ac:dyDescent="0.25">
      <c r="C113" s="23" t="s">
        <v>221</v>
      </c>
      <c r="D113" s="23" t="s">
        <v>603</v>
      </c>
      <c r="E113" s="181" t="s">
        <v>282</v>
      </c>
      <c r="F113" s="23" t="s">
        <v>92</v>
      </c>
      <c r="G113" s="23" t="s">
        <v>151</v>
      </c>
      <c r="H113" s="93">
        <f>IF(H77="-","-",
IF(
ROUND(H77,8)=
ROUND(SUMIFS(Calc_TUV_EnvGroup_1[Ausnet],Calc_TUV_EnvGroup_1[[Cost item]:[Cost item]],$D113,Calc_TUV_EnvGroup_1[[Cost element]:[Cost element]],$G113)*($F$58/$F$59),8),
0,1))</f>
        <v>0</v>
      </c>
      <c r="I113" s="93" t="str">
        <f>IF(I77="-","-",
IF(
ROUND(I77,8)=
ROUND(SUMIFS(Calc_TUV_EnvGroup_1[Citipower],Calc_TUV_EnvGroup_1[[Cost item]:[Cost item]],$D113,Calc_TUV_EnvGroup_1[[Cost element]:[Cost element]],$G113)*($F$58/$F$59),8),
0,1))</f>
        <v>-</v>
      </c>
      <c r="J113" s="93" t="str">
        <f>IF(J77="-","-",
IF(
ROUND(J77,8)=
ROUND(SUMIFS(Calc_TUV_EnvGroup_1[Jemena],Calc_TUV_EnvGroup_1[[Cost item]:[Cost item]],$D113,Calc_TUV_EnvGroup_1[[Cost element]:[Cost element]],$G113)*($F$58/$F$59),8),
0,1))</f>
        <v>-</v>
      </c>
      <c r="K113" s="93" t="str">
        <f>IF(K77="-","-",
IF(
ROUND(K77,8)=
ROUND(SUMIFS(Calc_TUV_EnvGroup_1[Powercor],Calc_TUV_EnvGroup_1[[Cost item]:[Cost item]],$D113,Calc_TUV_EnvGroup_1[[Cost element]:[Cost element]],$G113)*($F$58/$F$59),8),
0,1))</f>
        <v>-</v>
      </c>
      <c r="L113" s="93" t="str">
        <f>IF(L77="-","-",
IF(
ROUND(L77,8)=
ROUND(SUMIFS(Calc_TUV_EnvGroup_1[United Energy],Calc_TUV_EnvGroup_1[[Cost item]:[Cost item]],$D113,Calc_TUV_EnvGroup_1[[Cost element]:[Cost element]],$G113)*($F$58/$F$59),8),
0,1))</f>
        <v>-</v>
      </c>
    </row>
    <row r="114" spans="3:12" ht="15.75" outlineLevel="1" x14ac:dyDescent="0.25">
      <c r="C114" s="23" t="s">
        <v>221</v>
      </c>
      <c r="D114" s="23" t="s">
        <v>603</v>
      </c>
      <c r="E114" s="181" t="s">
        <v>282</v>
      </c>
      <c r="F114" s="23" t="s">
        <v>93</v>
      </c>
      <c r="G114" s="23" t="s">
        <v>151</v>
      </c>
      <c r="H114" s="93">
        <f>IF(H78="-","-",
IF(
ROUND(H78,8)=
ROUND(SUMIFS(Calc_TUV_EnvGroup_1[Ausnet],Calc_TUV_EnvGroup_1[[Cost item]:[Cost item]],$D114,Calc_TUV_EnvGroup_1[[Cost element]:[Cost element]],$G114)*($F$58/$F$59),8),
0,1))</f>
        <v>0</v>
      </c>
      <c r="I114" s="93" t="str">
        <f>IF(I78="-","-",
IF(
ROUND(I78,8)=
ROUND(SUMIFS(Calc_TUV_EnvGroup_1[Citipower],Calc_TUV_EnvGroup_1[[Cost item]:[Cost item]],$D114,Calc_TUV_EnvGroup_1[[Cost element]:[Cost element]],$G114)*($F$58/$F$59),8),
0,1))</f>
        <v>-</v>
      </c>
      <c r="J114" s="93" t="str">
        <f>IF(J78="-","-",
IF(
ROUND(J78,8)=
ROUND(SUMIFS(Calc_TUV_EnvGroup_1[Jemena],Calc_TUV_EnvGroup_1[[Cost item]:[Cost item]],$D114,Calc_TUV_EnvGroup_1[[Cost element]:[Cost element]],$G114)*($F$58/$F$59),8),
0,1))</f>
        <v>-</v>
      </c>
      <c r="K114" s="93" t="str">
        <f>IF(K78="-","-",
IF(
ROUND(K78,8)=
ROUND(SUMIFS(Calc_TUV_EnvGroup_1[Powercor],Calc_TUV_EnvGroup_1[[Cost item]:[Cost item]],$D114,Calc_TUV_EnvGroup_1[[Cost element]:[Cost element]],$G114)*($F$58/$F$59),8),
0,1))</f>
        <v>-</v>
      </c>
      <c r="L114" s="93" t="str">
        <f>IF(L78="-","-",
IF(
ROUND(L78,8)=
ROUND(SUMIFS(Calc_TUV_EnvGroup_1[United Energy],Calc_TUV_EnvGroup_1[[Cost item]:[Cost item]],$D114,Calc_TUV_EnvGroup_1[[Cost element]:[Cost element]],$G114)*($F$58/$F$59),8),
0,1))</f>
        <v>-</v>
      </c>
    </row>
    <row r="115" spans="3:12" ht="15.75" outlineLevel="1" x14ac:dyDescent="0.25">
      <c r="C115" s="23" t="s">
        <v>228</v>
      </c>
      <c r="D115" s="23" t="s">
        <v>603</v>
      </c>
      <c r="E115" s="181" t="s">
        <v>282</v>
      </c>
      <c r="F115" s="23" t="s">
        <v>92</v>
      </c>
      <c r="G115" s="23" t="s">
        <v>151</v>
      </c>
      <c r="H115" s="93">
        <f>IF(H79="-","-",
IF(
ROUND(H79,8)=
ROUND(SUMIFS(Calc_TUV_EnvGroup_1[Ausnet],Calc_TUV_EnvGroup_1[[Cost item]:[Cost item]],$D115,Calc_TUV_EnvGroup_1[[Cost element]:[Cost element]],$G115)*($F$58/$F$59),8),
0,1))</f>
        <v>0</v>
      </c>
      <c r="I115" s="93" t="str">
        <f>IF(I79="-","-",
IF(
ROUND(I79,8)=
ROUND(SUMIFS(Calc_TUV_EnvGroup_1[Citipower],Calc_TUV_EnvGroup_1[[Cost item]:[Cost item]],$D115,Calc_TUV_EnvGroup_1[[Cost element]:[Cost element]],$G115)*($F$58/$F$59),8),
0,1))</f>
        <v>-</v>
      </c>
      <c r="J115" s="93" t="str">
        <f>IF(J79="-","-",
IF(
ROUND(J79,8)=
ROUND(SUMIFS(Calc_TUV_EnvGroup_1[Jemena],Calc_TUV_EnvGroup_1[[Cost item]:[Cost item]],$D115,Calc_TUV_EnvGroup_1[[Cost element]:[Cost element]],$G115)*($F$58/$F$59),8),
0,1))</f>
        <v>-</v>
      </c>
      <c r="K115" s="93" t="str">
        <f>IF(K79="-","-",
IF(
ROUND(K79,8)=
ROUND(SUMIFS(Calc_TUV_EnvGroup_1[Powercor],Calc_TUV_EnvGroup_1[[Cost item]:[Cost item]],$D115,Calc_TUV_EnvGroup_1[[Cost element]:[Cost element]],$G115)*($F$58/$F$59),8),
0,1))</f>
        <v>-</v>
      </c>
      <c r="L115" s="93" t="str">
        <f>IF(L79="-","-",
IF(
ROUND(L79,8)=
ROUND(SUMIFS(Calc_TUV_EnvGroup_1[United Energy],Calc_TUV_EnvGroup_1[[Cost item]:[Cost item]],$D115,Calc_TUV_EnvGroup_1[[Cost element]:[Cost element]],$G115)*($F$58/$F$59),8),
0,1))</f>
        <v>-</v>
      </c>
    </row>
    <row r="116" spans="3:12" ht="15.75" outlineLevel="1" x14ac:dyDescent="0.25">
      <c r="C116" s="23" t="s">
        <v>228</v>
      </c>
      <c r="D116" s="23" t="s">
        <v>603</v>
      </c>
      <c r="E116" s="181" t="s">
        <v>282</v>
      </c>
      <c r="F116" s="23" t="s">
        <v>93</v>
      </c>
      <c r="G116" s="23" t="s">
        <v>151</v>
      </c>
      <c r="H116" s="93">
        <f>IF(H80="-","-",
IF(
ROUND(H80,8)=
ROUND(SUMIFS(Calc_TUV_EnvGroup_1[Ausnet],Calc_TUV_EnvGroup_1[[Cost item]:[Cost item]],$D116,Calc_TUV_EnvGroup_1[[Cost element]:[Cost element]],$G116)*($F$58/$F$59),8),
0,1))</f>
        <v>0</v>
      </c>
      <c r="I116" s="93" t="str">
        <f>IF(I80="-","-",
IF(
ROUND(I80,8)=
ROUND(SUMIFS(Calc_TUV_EnvGroup_1[Citipower],Calc_TUV_EnvGroup_1[[Cost item]:[Cost item]],$D116,Calc_TUV_EnvGroup_1[[Cost element]:[Cost element]],$G116)*($F$58/$F$59),8),
0,1))</f>
        <v>-</v>
      </c>
      <c r="J116" s="93" t="str">
        <f>IF(J80="-","-",
IF(
ROUND(J80,8)=
ROUND(SUMIFS(Calc_TUV_EnvGroup_1[Jemena],Calc_TUV_EnvGroup_1[[Cost item]:[Cost item]],$D116,Calc_TUV_EnvGroup_1[[Cost element]:[Cost element]],$G116)*($F$58/$F$59),8),
0,1))</f>
        <v>-</v>
      </c>
      <c r="K116" s="93" t="str">
        <f>IF(K80="-","-",
IF(
ROUND(K80,8)=
ROUND(SUMIFS(Calc_TUV_EnvGroup_1[Powercor],Calc_TUV_EnvGroup_1[[Cost item]:[Cost item]],$D116,Calc_TUV_EnvGroup_1[[Cost element]:[Cost element]],$G116)*($F$58/$F$59),8),
0,1))</f>
        <v>-</v>
      </c>
      <c r="L116" s="93" t="str">
        <f>IF(L80="-","-",
IF(
ROUND(L80,8)=
ROUND(SUMIFS(Calc_TUV_EnvGroup_1[United Energy],Calc_TUV_EnvGroup_1[[Cost item]:[Cost item]],$D116,Calc_TUV_EnvGroup_1[[Cost element]:[Cost element]],$G116)*($F$58/$F$59),8),
0,1))</f>
        <v>-</v>
      </c>
    </row>
    <row r="117" spans="3:12" ht="15.75" outlineLevel="1" x14ac:dyDescent="0.25">
      <c r="C117" s="23" t="s">
        <v>287</v>
      </c>
      <c r="D117" s="23" t="s">
        <v>603</v>
      </c>
      <c r="E117" s="181" t="s">
        <v>282</v>
      </c>
      <c r="F117" s="23" t="s">
        <v>92</v>
      </c>
      <c r="G117" s="23" t="s">
        <v>151</v>
      </c>
      <c r="H117" s="93">
        <f>IF(H81="-","-",
IF(
ROUND(H81,8)=
ROUND(SUMIFS(Calc_TUV_EnvGroup_1[Ausnet],Calc_TUV_EnvGroup_1[[Cost item]:[Cost item]],$D117,Calc_TUV_EnvGroup_1[[Cost element]:[Cost element]],$G117)*($F$58/$F$59),8),
0,1))</f>
        <v>0</v>
      </c>
      <c r="I117" s="93">
        <f>IF(I81="-","-",
IF(
ROUND(I81,8)=
ROUND(SUMIFS(Calc_TUV_EnvGroup_1[Citipower],Calc_TUV_EnvGroup_1[[Cost item]:[Cost item]],$D117,Calc_TUV_EnvGroup_1[[Cost element]:[Cost element]],$G117)*($F$58/$F$59),8),
0,1))</f>
        <v>0</v>
      </c>
      <c r="J117" s="93">
        <f>IF(J81="-","-",
IF(
ROUND(J81,8)=
ROUND(SUMIFS(Calc_TUV_EnvGroup_1[Jemena],Calc_TUV_EnvGroup_1[[Cost item]:[Cost item]],$D117,Calc_TUV_EnvGroup_1[[Cost element]:[Cost element]],$G117)*($F$58/$F$59),8),
0,1))</f>
        <v>0</v>
      </c>
      <c r="K117" s="93">
        <f>IF(K81="-","-",
IF(
ROUND(K81,8)=
ROUND(SUMIFS(Calc_TUV_EnvGroup_1[Powercor],Calc_TUV_EnvGroup_1[[Cost item]:[Cost item]],$D117,Calc_TUV_EnvGroup_1[[Cost element]:[Cost element]],$G117)*($F$58/$F$59),8),
0,1))</f>
        <v>0</v>
      </c>
      <c r="L117" s="93">
        <f>IF(L81="-","-",
IF(
ROUND(L81,8)=
ROUND(SUMIFS(Calc_TUV_EnvGroup_1[United Energy],Calc_TUV_EnvGroup_1[[Cost item]:[Cost item]],$D117,Calc_TUV_EnvGroup_1[[Cost element]:[Cost element]],$G117)*($F$58/$F$59),8),
0,1))</f>
        <v>0</v>
      </c>
    </row>
    <row r="118" spans="3:12" ht="15.75" outlineLevel="1" x14ac:dyDescent="0.25">
      <c r="C118" s="23" t="s">
        <v>230</v>
      </c>
      <c r="D118" s="23" t="s">
        <v>603</v>
      </c>
      <c r="E118" s="181" t="s">
        <v>282</v>
      </c>
      <c r="F118" s="23" t="s">
        <v>92</v>
      </c>
      <c r="G118" s="23" t="s">
        <v>151</v>
      </c>
      <c r="H118" s="93">
        <f>IF(H82="-","-",
IF(
ROUND(H82,8)=
ROUND(SUMIFS(Calc_TUV_EnvGroup_1[Ausnet],Calc_TUV_EnvGroup_1[[Cost item]:[Cost item]],$D118,Calc_TUV_EnvGroup_1[[Cost element]:[Cost element]],$G118)*($F$58/$F$59),8),
0,1))</f>
        <v>0</v>
      </c>
      <c r="I118" s="93">
        <f>IF(I82="-","-",
IF(
ROUND(I82,8)=
ROUND(SUMIFS(Calc_TUV_EnvGroup_1[Citipower],Calc_TUV_EnvGroup_1[[Cost item]:[Cost item]],$D118,Calc_TUV_EnvGroup_1[[Cost element]:[Cost element]],$G118)*($F$58/$F$59),8),
0,1))</f>
        <v>0</v>
      </c>
      <c r="J118" s="93">
        <f>IF(J82="-","-",
IF(
ROUND(J82,8)=
ROUND(SUMIFS(Calc_TUV_EnvGroup_1[Jemena],Calc_TUV_EnvGroup_1[[Cost item]:[Cost item]],$D118,Calc_TUV_EnvGroup_1[[Cost element]:[Cost element]],$G118)*($F$58/$F$59),8),
0,1))</f>
        <v>0</v>
      </c>
      <c r="K118" s="93">
        <f>IF(K82="-","-",
IF(
ROUND(K82,8)=
ROUND(SUMIFS(Calc_TUV_EnvGroup_1[Powercor],Calc_TUV_EnvGroup_1[[Cost item]:[Cost item]],$D118,Calc_TUV_EnvGroup_1[[Cost element]:[Cost element]],$G118)*($F$58/$F$59),8),
0,1))</f>
        <v>0</v>
      </c>
      <c r="L118" s="93">
        <f>IF(L82="-","-",
IF(
ROUND(L82,8)=
ROUND(SUMIFS(Calc_TUV_EnvGroup_1[United Energy],Calc_TUV_EnvGroup_1[[Cost item]:[Cost item]],$D118,Calc_TUV_EnvGroup_1[[Cost element]:[Cost element]],$G118)*($F$58/$F$59),8),
0,1))</f>
        <v>0</v>
      </c>
    </row>
    <row r="119" spans="3:12" ht="15.75" outlineLevel="1" x14ac:dyDescent="0.25">
      <c r="C119" s="23" t="s">
        <v>230</v>
      </c>
      <c r="D119" s="23" t="s">
        <v>603</v>
      </c>
      <c r="E119" s="181" t="s">
        <v>282</v>
      </c>
      <c r="F119" s="23" t="s">
        <v>93</v>
      </c>
      <c r="G119" s="23" t="s">
        <v>151</v>
      </c>
      <c r="H119" s="93">
        <f>IF(H83="-","-",
IF(
ROUND(H83,8)=
ROUND(SUMIFS(Calc_TUV_EnvGroup_1[Ausnet],Calc_TUV_EnvGroup_1[[Cost item]:[Cost item]],$D119,Calc_TUV_EnvGroup_1[[Cost element]:[Cost element]],$G119)*($F$58/$F$59),8),
0,1))</f>
        <v>0</v>
      </c>
      <c r="I119" s="93">
        <f>IF(I83="-","-",
IF(
ROUND(I83,8)=
ROUND(SUMIFS(Calc_TUV_EnvGroup_1[Citipower],Calc_TUV_EnvGroup_1[[Cost item]:[Cost item]],$D119,Calc_TUV_EnvGroup_1[[Cost element]:[Cost element]],$G119)*($F$58/$F$59),8),
0,1))</f>
        <v>0</v>
      </c>
      <c r="J119" s="93">
        <f>IF(J83="-","-",
IF(
ROUND(J83,8)=
ROUND(SUMIFS(Calc_TUV_EnvGroup_1[Jemena],Calc_TUV_EnvGroup_1[[Cost item]:[Cost item]],$D119,Calc_TUV_EnvGroup_1[[Cost element]:[Cost element]],$G119)*($F$58/$F$59),8),
0,1))</f>
        <v>0</v>
      </c>
      <c r="K119" s="93">
        <f>IF(K83="-","-",
IF(
ROUND(K83,8)=
ROUND(SUMIFS(Calc_TUV_EnvGroup_1[Powercor],Calc_TUV_EnvGroup_1[[Cost item]:[Cost item]],$D119,Calc_TUV_EnvGroup_1[[Cost element]:[Cost element]],$G119)*($F$58/$F$59),8),
0,1))</f>
        <v>0</v>
      </c>
      <c r="L119" s="93">
        <f>IF(L83="-","-",
IF(
ROUND(L83,8)=
ROUND(SUMIFS(Calc_TUV_EnvGroup_1[United Energy],Calc_TUV_EnvGroup_1[[Cost item]:[Cost item]],$D119,Calc_TUV_EnvGroup_1[[Cost element]:[Cost element]],$G119)*($F$58/$F$59),8),
0,1))</f>
        <v>0</v>
      </c>
    </row>
    <row r="120" spans="3:12" ht="15.75" outlineLevel="1" x14ac:dyDescent="0.25">
      <c r="C120" s="23" t="s">
        <v>609</v>
      </c>
      <c r="D120" s="23" t="s">
        <v>603</v>
      </c>
      <c r="E120" s="181" t="s">
        <v>282</v>
      </c>
      <c r="F120" s="23" t="s">
        <v>92</v>
      </c>
      <c r="G120" s="23" t="s">
        <v>151</v>
      </c>
      <c r="H120" s="93">
        <f>IF(H84="-","-",
IF(
ROUND(H84,8)=
ROUND(SUMIFS(Calc_TUV_EnvGroup_1[Ausnet],Calc_TUV_EnvGroup_1[[Cost item]:[Cost item]],$D120,Calc_TUV_EnvGroup_1[[Cost element]:[Cost element]],$G120)*($F$58/$F$59),8),
0,1))</f>
        <v>0</v>
      </c>
      <c r="I120" s="93">
        <f>IF(I84="-","-",
IF(
ROUND(I84,8)=
ROUND(SUMIFS(Calc_TUV_EnvGroup_1[Citipower],Calc_TUV_EnvGroup_1[[Cost item]:[Cost item]],$D120,Calc_TUV_EnvGroup_1[[Cost element]:[Cost element]],$G120)*($F$58/$F$59),8),
0,1))</f>
        <v>0</v>
      </c>
      <c r="J120" s="93">
        <f>IF(J84="-","-",
IF(
ROUND(J84,8)=
ROUND(SUMIFS(Calc_TUV_EnvGroup_1[Jemena],Calc_TUV_EnvGroup_1[[Cost item]:[Cost item]],$D120,Calc_TUV_EnvGroup_1[[Cost element]:[Cost element]],$G120)*($F$58/$F$59),8),
0,1))</f>
        <v>0</v>
      </c>
      <c r="K120" s="93">
        <f>IF(K84="-","-",
IF(
ROUND(K84,8)=
ROUND(SUMIFS(Calc_TUV_EnvGroup_1[Powercor],Calc_TUV_EnvGroup_1[[Cost item]:[Cost item]],$D120,Calc_TUV_EnvGroup_1[[Cost element]:[Cost element]],$G120)*($F$58/$F$59),8),
0,1))</f>
        <v>0</v>
      </c>
      <c r="L120" s="93">
        <f>IF(L84="-","-",
IF(
ROUND(L84,8)=
ROUND(SUMIFS(Calc_TUV_EnvGroup_1[United Energy],Calc_TUV_EnvGroup_1[[Cost item]:[Cost item]],$D120,Calc_TUV_EnvGroup_1[[Cost element]:[Cost element]],$G120)*($F$58/$F$59),8),
0,1))</f>
        <v>0</v>
      </c>
    </row>
    <row r="121" spans="3:12" ht="15.75" outlineLevel="1" x14ac:dyDescent="0.25">
      <c r="C121" s="23" t="s">
        <v>609</v>
      </c>
      <c r="D121" s="23" t="s">
        <v>603</v>
      </c>
      <c r="E121" s="181" t="s">
        <v>282</v>
      </c>
      <c r="F121" s="23" t="s">
        <v>93</v>
      </c>
      <c r="G121" s="23" t="s">
        <v>151</v>
      </c>
      <c r="H121" s="93">
        <f>IF(H85="-","-",
IF(
ROUND(H85,8)=
ROUND(SUMIFS(Calc_TUV_EnvGroup_1[Ausnet],Calc_TUV_EnvGroup_1[[Cost item]:[Cost item]],$D121,Calc_TUV_EnvGroup_1[[Cost element]:[Cost element]],$G121)*($F$58/$F$59),8),
0,1))</f>
        <v>0</v>
      </c>
      <c r="I121" s="93">
        <f>IF(I85="-","-",
IF(
ROUND(I85,8)=
ROUND(SUMIFS(Calc_TUV_EnvGroup_1[Citipower],Calc_TUV_EnvGroup_1[[Cost item]:[Cost item]],$D121,Calc_TUV_EnvGroup_1[[Cost element]:[Cost element]],$G121)*($F$58/$F$59),8),
0,1))</f>
        <v>0</v>
      </c>
      <c r="J121" s="93">
        <f>IF(J85="-","-",
IF(
ROUND(J85,8)=
ROUND(SUMIFS(Calc_TUV_EnvGroup_1[Jemena],Calc_TUV_EnvGroup_1[[Cost item]:[Cost item]],$D121,Calc_TUV_EnvGroup_1[[Cost element]:[Cost element]],$G121)*($F$58/$F$59),8),
0,1))</f>
        <v>0</v>
      </c>
      <c r="K121" s="93">
        <f>IF(K85="-","-",
IF(
ROUND(K85,8)=
ROUND(SUMIFS(Calc_TUV_EnvGroup_1[Powercor],Calc_TUV_EnvGroup_1[[Cost item]:[Cost item]],$D121,Calc_TUV_EnvGroup_1[[Cost element]:[Cost element]],$G121)*($F$58/$F$59),8),
0,1))</f>
        <v>0</v>
      </c>
      <c r="L121" s="93">
        <f>IF(L85="-","-",
IF(
ROUND(L85,8)=
ROUND(SUMIFS(Calc_TUV_EnvGroup_1[United Energy],Calc_TUV_EnvGroup_1[[Cost item]:[Cost item]],$D121,Calc_TUV_EnvGroup_1[[Cost element]:[Cost element]],$G121)*($F$58/$F$59),8),
0,1))</f>
        <v>0</v>
      </c>
    </row>
    <row r="122" spans="3:12" ht="15.75" outlineLevel="1" x14ac:dyDescent="0.25">
      <c r="C122" s="23" t="s">
        <v>549</v>
      </c>
      <c r="D122" s="23" t="s">
        <v>604</v>
      </c>
      <c r="E122" s="181" t="s">
        <v>282</v>
      </c>
      <c r="F122" s="23" t="s">
        <v>92</v>
      </c>
      <c r="G122" s="23" t="s">
        <v>151</v>
      </c>
      <c r="H122" s="93" t="str">
        <f>IF(H86="-","-",
IF(
ROUND(H86,8)=
ROUND(SUMIFS(Calc_TUV_EnvGroup_1[Ausnet],Calc_TUV_EnvGroup_1[[Cost item]:[Cost item]],$D122,Calc_TUV_EnvGroup_1[[Cost element]:[Cost element]],$G122)*($F$58/$F$59),8),
0,1))</f>
        <v>-</v>
      </c>
      <c r="I122" s="93">
        <f>IF(I86="-","-",
IF(
ROUND(I86,8)=
ROUND(SUMIFS(Calc_TUV_EnvGroup_1[Citipower],Calc_TUV_EnvGroup_1[[Cost item]:[Cost item]],$D122,Calc_TUV_EnvGroup_1[[Cost element]:[Cost element]],$G122)*($F$58/$F$59),8),
0,1))</f>
        <v>0</v>
      </c>
      <c r="J122" s="93">
        <f>IF(J86="-","-",
IF(
ROUND(J86,8)=
ROUND(SUMIFS(Calc_TUV_EnvGroup_1[Jemena],Calc_TUV_EnvGroup_1[[Cost item]:[Cost item]],$D122,Calc_TUV_EnvGroup_1[[Cost element]:[Cost element]],$G122)*($F$58/$F$59),8),
0,1))</f>
        <v>0</v>
      </c>
      <c r="K122" s="93">
        <f>IF(K86="-","-",
IF(
ROUND(K86,8)=
ROUND(SUMIFS(Calc_TUV_EnvGroup_1[Powercor],Calc_TUV_EnvGroup_1[[Cost item]:[Cost item]],$D122,Calc_TUV_EnvGroup_1[[Cost element]:[Cost element]],$G122)*($F$58/$F$59),8),
0,1))</f>
        <v>0</v>
      </c>
      <c r="L122" s="93">
        <f>IF(L86="-","-",
IF(
ROUND(L86,8)=
ROUND(SUMIFS(Calc_TUV_EnvGroup_1[United Energy],Calc_TUV_EnvGroup_1[[Cost item]:[Cost item]],$D122,Calc_TUV_EnvGroup_1[[Cost element]:[Cost element]],$G122)*($F$58/$F$59),8),
0,1))</f>
        <v>0</v>
      </c>
    </row>
    <row r="123" spans="3:12" ht="15.75" outlineLevel="1" x14ac:dyDescent="0.25">
      <c r="C123" s="23" t="s">
        <v>549</v>
      </c>
      <c r="D123" s="23" t="s">
        <v>604</v>
      </c>
      <c r="E123" s="181" t="s">
        <v>282</v>
      </c>
      <c r="F123" s="23" t="s">
        <v>93</v>
      </c>
      <c r="G123" s="23" t="s">
        <v>151</v>
      </c>
      <c r="H123" s="93" t="str">
        <f>IF(H87="-","-",
IF(
ROUND(H87,8)=
ROUND(SUMIFS(Calc_TUV_EnvGroup_1[Ausnet],Calc_TUV_EnvGroup_1[[Cost item]:[Cost item]],$D123,Calc_TUV_EnvGroup_1[[Cost element]:[Cost element]],$G123)*($F$58/$F$59),8),
0,1))</f>
        <v>-</v>
      </c>
      <c r="I123" s="93">
        <f>IF(I87="-","-",
IF(
ROUND(I87,8)=
ROUND(SUMIFS(Calc_TUV_EnvGroup_1[Citipower],Calc_TUV_EnvGroup_1[[Cost item]:[Cost item]],$D123,Calc_TUV_EnvGroup_1[[Cost element]:[Cost element]],$G123)*($F$58/$F$59),8),
0,1))</f>
        <v>0</v>
      </c>
      <c r="J123" s="93">
        <f>IF(J87="-","-",
IF(
ROUND(J87,8)=
ROUND(SUMIFS(Calc_TUV_EnvGroup_1[Jemena],Calc_TUV_EnvGroup_1[[Cost item]:[Cost item]],$D123,Calc_TUV_EnvGroup_1[[Cost element]:[Cost element]],$G123)*($F$58/$F$59),8),
0,1))</f>
        <v>0</v>
      </c>
      <c r="K123" s="93">
        <f>IF(K87="-","-",
IF(
ROUND(K87,8)=
ROUND(SUMIFS(Calc_TUV_EnvGroup_1[Powercor],Calc_TUV_EnvGroup_1[[Cost item]:[Cost item]],$D123,Calc_TUV_EnvGroup_1[[Cost element]:[Cost element]],$G123)*($F$58/$F$59),8),
0,1))</f>
        <v>0</v>
      </c>
      <c r="L123" s="93">
        <f>IF(L87="-","-",
IF(
ROUND(L87,8)=
ROUND(SUMIFS(Calc_TUV_EnvGroup_1[United Energy],Calc_TUV_EnvGroup_1[[Cost item]:[Cost item]],$D123,Calc_TUV_EnvGroup_1[[Cost element]:[Cost element]],$G123)*($F$58/$F$59),8),
0,1))</f>
        <v>0</v>
      </c>
    </row>
    <row r="124" spans="3:12" ht="15.75" outlineLevel="1" x14ac:dyDescent="0.25">
      <c r="C124" s="23" t="s">
        <v>221</v>
      </c>
      <c r="D124" s="23" t="s">
        <v>604</v>
      </c>
      <c r="E124" s="181" t="s">
        <v>282</v>
      </c>
      <c r="F124" s="23" t="s">
        <v>92</v>
      </c>
      <c r="G124" s="23" t="s">
        <v>151</v>
      </c>
      <c r="H124" s="93">
        <f>IF(H88="-","-",
IF(
ROUND(H88,8)=
ROUND(SUMIFS(Calc_TUV_EnvGroup_1[Ausnet],Calc_TUV_EnvGroup_1[[Cost item]:[Cost item]],$D124,Calc_TUV_EnvGroup_1[[Cost element]:[Cost element]],$G124)*($F$58/$F$59),8),
0,1))</f>
        <v>0</v>
      </c>
      <c r="I124" s="93" t="str">
        <f>IF(I88="-","-",
IF(
ROUND(I88,8)=
ROUND(SUMIFS(Calc_TUV_EnvGroup_1[Citipower],Calc_TUV_EnvGroup_1[[Cost item]:[Cost item]],$D124,Calc_TUV_EnvGroup_1[[Cost element]:[Cost element]],$G124)*($F$58/$F$59),8),
0,1))</f>
        <v>-</v>
      </c>
      <c r="J124" s="93" t="str">
        <f>IF(J88="-","-",
IF(
ROUND(J88,8)=
ROUND(SUMIFS(Calc_TUV_EnvGroup_1[Jemena],Calc_TUV_EnvGroup_1[[Cost item]:[Cost item]],$D124,Calc_TUV_EnvGroup_1[[Cost element]:[Cost element]],$G124)*($F$58/$F$59),8),
0,1))</f>
        <v>-</v>
      </c>
      <c r="K124" s="93" t="str">
        <f>IF(K88="-","-",
IF(
ROUND(K88,8)=
ROUND(SUMIFS(Calc_TUV_EnvGroup_1[Powercor],Calc_TUV_EnvGroup_1[[Cost item]:[Cost item]],$D124,Calc_TUV_EnvGroup_1[[Cost element]:[Cost element]],$G124)*($F$58/$F$59),8),
0,1))</f>
        <v>-</v>
      </c>
      <c r="L124" s="93" t="str">
        <f>IF(L88="-","-",
IF(
ROUND(L88,8)=
ROUND(SUMIFS(Calc_TUV_EnvGroup_1[United Energy],Calc_TUV_EnvGroup_1[[Cost item]:[Cost item]],$D124,Calc_TUV_EnvGroup_1[[Cost element]:[Cost element]],$G124)*($F$58/$F$59),8),
0,1))</f>
        <v>-</v>
      </c>
    </row>
    <row r="125" spans="3:12" ht="15.75" outlineLevel="1" x14ac:dyDescent="0.25">
      <c r="C125" s="23" t="s">
        <v>221</v>
      </c>
      <c r="D125" s="23" t="s">
        <v>604</v>
      </c>
      <c r="E125" s="181" t="s">
        <v>282</v>
      </c>
      <c r="F125" s="23" t="s">
        <v>93</v>
      </c>
      <c r="G125" s="23" t="s">
        <v>151</v>
      </c>
      <c r="H125" s="93">
        <f>IF(H89="-","-",
IF(
ROUND(H89,8)=
ROUND(SUMIFS(Calc_TUV_EnvGroup_1[Ausnet],Calc_TUV_EnvGroup_1[[Cost item]:[Cost item]],$D125,Calc_TUV_EnvGroup_1[[Cost element]:[Cost element]],$G125)*($F$58/$F$59),8),
0,1))</f>
        <v>0</v>
      </c>
      <c r="I125" s="93" t="str">
        <f>IF(I89="-","-",
IF(
ROUND(I89,8)=
ROUND(SUMIFS(Calc_TUV_EnvGroup_1[Citipower],Calc_TUV_EnvGroup_1[[Cost item]:[Cost item]],$D125,Calc_TUV_EnvGroup_1[[Cost element]:[Cost element]],$G125)*($F$58/$F$59),8),
0,1))</f>
        <v>-</v>
      </c>
      <c r="J125" s="93" t="str">
        <f>IF(J89="-","-",
IF(
ROUND(J89,8)=
ROUND(SUMIFS(Calc_TUV_EnvGroup_1[Jemena],Calc_TUV_EnvGroup_1[[Cost item]:[Cost item]],$D125,Calc_TUV_EnvGroup_1[[Cost element]:[Cost element]],$G125)*($F$58/$F$59),8),
0,1))</f>
        <v>-</v>
      </c>
      <c r="K125" s="93" t="str">
        <f>IF(K89="-","-",
IF(
ROUND(K89,8)=
ROUND(SUMIFS(Calc_TUV_EnvGroup_1[Powercor],Calc_TUV_EnvGroup_1[[Cost item]:[Cost item]],$D125,Calc_TUV_EnvGroup_1[[Cost element]:[Cost element]],$G125)*($F$58/$F$59),8),
0,1))</f>
        <v>-</v>
      </c>
      <c r="L125" s="93" t="str">
        <f>IF(L89="-","-",
IF(
ROUND(L89,8)=
ROUND(SUMIFS(Calc_TUV_EnvGroup_1[United Energy],Calc_TUV_EnvGroup_1[[Cost item]:[Cost item]],$D125,Calc_TUV_EnvGroup_1[[Cost element]:[Cost element]],$G125)*($F$58/$F$59),8),
0,1))</f>
        <v>-</v>
      </c>
    </row>
    <row r="126" spans="3:12" ht="15.75" outlineLevel="1" x14ac:dyDescent="0.25">
      <c r="C126" s="23" t="s">
        <v>228</v>
      </c>
      <c r="D126" s="23" t="s">
        <v>604</v>
      </c>
      <c r="E126" s="181" t="s">
        <v>282</v>
      </c>
      <c r="F126" s="23" t="s">
        <v>92</v>
      </c>
      <c r="G126" s="23" t="s">
        <v>151</v>
      </c>
      <c r="H126" s="93">
        <f>IF(H90="-","-",
IF(
ROUND(H90,8)=
ROUND(SUMIFS(Calc_TUV_EnvGroup_1[Ausnet],Calc_TUV_EnvGroup_1[[Cost item]:[Cost item]],$D126,Calc_TUV_EnvGroup_1[[Cost element]:[Cost element]],$G126)*($F$58/$F$59),8),
0,1))</f>
        <v>0</v>
      </c>
      <c r="I126" s="93" t="str">
        <f>IF(I90="-","-",
IF(
ROUND(I90,8)=
ROUND(SUMIFS(Calc_TUV_EnvGroup_1[Citipower],Calc_TUV_EnvGroup_1[[Cost item]:[Cost item]],$D126,Calc_TUV_EnvGroup_1[[Cost element]:[Cost element]],$G126)*($F$58/$F$59),8),
0,1))</f>
        <v>-</v>
      </c>
      <c r="J126" s="93" t="str">
        <f>IF(J90="-","-",
IF(
ROUND(J90,8)=
ROUND(SUMIFS(Calc_TUV_EnvGroup_1[Jemena],Calc_TUV_EnvGroup_1[[Cost item]:[Cost item]],$D126,Calc_TUV_EnvGroup_1[[Cost element]:[Cost element]],$G126)*($F$58/$F$59),8),
0,1))</f>
        <v>-</v>
      </c>
      <c r="K126" s="93" t="str">
        <f>IF(K90="-","-",
IF(
ROUND(K90,8)=
ROUND(SUMIFS(Calc_TUV_EnvGroup_1[Powercor],Calc_TUV_EnvGroup_1[[Cost item]:[Cost item]],$D126,Calc_TUV_EnvGroup_1[[Cost element]:[Cost element]],$G126)*($F$58/$F$59),8),
0,1))</f>
        <v>-</v>
      </c>
      <c r="L126" s="93" t="str">
        <f>IF(L90="-","-",
IF(
ROUND(L90,8)=
ROUND(SUMIFS(Calc_TUV_EnvGroup_1[United Energy],Calc_TUV_EnvGroup_1[[Cost item]:[Cost item]],$D126,Calc_TUV_EnvGroup_1[[Cost element]:[Cost element]],$G126)*($F$58/$F$59),8),
0,1))</f>
        <v>-</v>
      </c>
    </row>
    <row r="127" spans="3:12" ht="15.75" outlineLevel="1" x14ac:dyDescent="0.25">
      <c r="C127" s="23" t="s">
        <v>228</v>
      </c>
      <c r="D127" s="23" t="s">
        <v>604</v>
      </c>
      <c r="E127" s="181" t="s">
        <v>282</v>
      </c>
      <c r="F127" s="23" t="s">
        <v>93</v>
      </c>
      <c r="G127" s="23" t="s">
        <v>151</v>
      </c>
      <c r="H127" s="93">
        <f>IF(H91="-","-",
IF(
ROUND(H91,8)=
ROUND(SUMIFS(Calc_TUV_EnvGroup_1[Ausnet],Calc_TUV_EnvGroup_1[[Cost item]:[Cost item]],$D127,Calc_TUV_EnvGroup_1[[Cost element]:[Cost element]],$G127)*($F$58/$F$59),8),
0,1))</f>
        <v>0</v>
      </c>
      <c r="I127" s="93" t="str">
        <f>IF(I91="-","-",
IF(
ROUND(I91,8)=
ROUND(SUMIFS(Calc_TUV_EnvGroup_1[Citipower],Calc_TUV_EnvGroup_1[[Cost item]:[Cost item]],$D127,Calc_TUV_EnvGroup_1[[Cost element]:[Cost element]],$G127)*($F$58/$F$59),8),
0,1))</f>
        <v>-</v>
      </c>
      <c r="J127" s="93" t="str">
        <f>IF(J91="-","-",
IF(
ROUND(J91,8)=
ROUND(SUMIFS(Calc_TUV_EnvGroup_1[Jemena],Calc_TUV_EnvGroup_1[[Cost item]:[Cost item]],$D127,Calc_TUV_EnvGroup_1[[Cost element]:[Cost element]],$G127)*($F$58/$F$59),8),
0,1))</f>
        <v>-</v>
      </c>
      <c r="K127" s="93" t="str">
        <f>IF(K91="-","-",
IF(
ROUND(K91,8)=
ROUND(SUMIFS(Calc_TUV_EnvGroup_1[Powercor],Calc_TUV_EnvGroup_1[[Cost item]:[Cost item]],$D127,Calc_TUV_EnvGroup_1[[Cost element]:[Cost element]],$G127)*($F$58/$F$59),8),
0,1))</f>
        <v>-</v>
      </c>
      <c r="L127" s="93" t="str">
        <f>IF(L91="-","-",
IF(
ROUND(L91,8)=
ROUND(SUMIFS(Calc_TUV_EnvGroup_1[United Energy],Calc_TUV_EnvGroup_1[[Cost item]:[Cost item]],$D127,Calc_TUV_EnvGroup_1[[Cost element]:[Cost element]],$G127)*($F$58/$F$59),8),
0,1))</f>
        <v>-</v>
      </c>
    </row>
    <row r="128" spans="3:12" ht="15.75" outlineLevel="1" x14ac:dyDescent="0.25">
      <c r="C128" s="23" t="s">
        <v>287</v>
      </c>
      <c r="D128" s="23" t="s">
        <v>604</v>
      </c>
      <c r="E128" s="181" t="s">
        <v>282</v>
      </c>
      <c r="F128" s="23" t="s">
        <v>92</v>
      </c>
      <c r="G128" s="23" t="s">
        <v>151</v>
      </c>
      <c r="H128" s="93">
        <f>IF(H92="-","-",
IF(
ROUND(H92,8)=
ROUND(SUMIFS(Calc_TUV_EnvGroup_1[Ausnet],Calc_TUV_EnvGroup_1[[Cost item]:[Cost item]],$D128,Calc_TUV_EnvGroup_1[[Cost element]:[Cost element]],$G128)*($F$58/$F$59),8),
0,1))</f>
        <v>0</v>
      </c>
      <c r="I128" s="93">
        <f>IF(I92="-","-",
IF(
ROUND(I92,8)=
ROUND(SUMIFS(Calc_TUV_EnvGroup_1[Citipower],Calc_TUV_EnvGroup_1[[Cost item]:[Cost item]],$D128,Calc_TUV_EnvGroup_1[[Cost element]:[Cost element]],$G128)*($F$58/$F$59),8),
0,1))</f>
        <v>0</v>
      </c>
      <c r="J128" s="93">
        <f>IF(J92="-","-",
IF(
ROUND(J92,8)=
ROUND(SUMIFS(Calc_TUV_EnvGroup_1[Jemena],Calc_TUV_EnvGroup_1[[Cost item]:[Cost item]],$D128,Calc_TUV_EnvGroup_1[[Cost element]:[Cost element]],$G128)*($F$58/$F$59),8),
0,1))</f>
        <v>0</v>
      </c>
      <c r="K128" s="93">
        <f>IF(K92="-","-",
IF(
ROUND(K92,8)=
ROUND(SUMIFS(Calc_TUV_EnvGroup_1[Powercor],Calc_TUV_EnvGroup_1[[Cost item]:[Cost item]],$D128,Calc_TUV_EnvGroup_1[[Cost element]:[Cost element]],$G128)*($F$58/$F$59),8),
0,1))</f>
        <v>0</v>
      </c>
      <c r="L128" s="93">
        <f>IF(L92="-","-",
IF(
ROUND(L92,8)=
ROUND(SUMIFS(Calc_TUV_EnvGroup_1[United Energy],Calc_TUV_EnvGroup_1[[Cost item]:[Cost item]],$D128,Calc_TUV_EnvGroup_1[[Cost element]:[Cost element]],$G128)*($F$58/$F$59),8),
0,1))</f>
        <v>0</v>
      </c>
    </row>
    <row r="129" spans="2:22" ht="15.75" outlineLevel="1" x14ac:dyDescent="0.25">
      <c r="C129" s="23" t="s">
        <v>230</v>
      </c>
      <c r="D129" s="23" t="s">
        <v>604</v>
      </c>
      <c r="E129" s="181" t="s">
        <v>282</v>
      </c>
      <c r="F129" s="23" t="s">
        <v>92</v>
      </c>
      <c r="G129" s="23" t="s">
        <v>151</v>
      </c>
      <c r="H129" s="93">
        <f>IF(H93="-","-",
IF(
ROUND(H93,8)=
ROUND(SUMIFS(Calc_TUV_EnvGroup_1[Ausnet],Calc_TUV_EnvGroup_1[[Cost item]:[Cost item]],$D129,Calc_TUV_EnvGroup_1[[Cost element]:[Cost element]],$G129)*($F$58/$F$59),8),
0,1))</f>
        <v>0</v>
      </c>
      <c r="I129" s="93">
        <f>IF(I93="-","-",
IF(
ROUND(I93,8)=
ROUND(SUMIFS(Calc_TUV_EnvGroup_1[Citipower],Calc_TUV_EnvGroup_1[[Cost item]:[Cost item]],$D129,Calc_TUV_EnvGroup_1[[Cost element]:[Cost element]],$G129)*($F$58/$F$59),8),
0,1))</f>
        <v>0</v>
      </c>
      <c r="J129" s="93">
        <f>IF(J93="-","-",
IF(
ROUND(J93,8)=
ROUND(SUMIFS(Calc_TUV_EnvGroup_1[Jemena],Calc_TUV_EnvGroup_1[[Cost item]:[Cost item]],$D129,Calc_TUV_EnvGroup_1[[Cost element]:[Cost element]],$G129)*($F$58/$F$59),8),
0,1))</f>
        <v>0</v>
      </c>
      <c r="K129" s="93">
        <f>IF(K93="-","-",
IF(
ROUND(K93,8)=
ROUND(SUMIFS(Calc_TUV_EnvGroup_1[Powercor],Calc_TUV_EnvGroup_1[[Cost item]:[Cost item]],$D129,Calc_TUV_EnvGroup_1[[Cost element]:[Cost element]],$G129)*($F$58/$F$59),8),
0,1))</f>
        <v>0</v>
      </c>
      <c r="L129" s="93">
        <f>IF(L93="-","-",
IF(
ROUND(L93,8)=
ROUND(SUMIFS(Calc_TUV_EnvGroup_1[United Energy],Calc_TUV_EnvGroup_1[[Cost item]:[Cost item]],$D129,Calc_TUV_EnvGroup_1[[Cost element]:[Cost element]],$G129)*($F$58/$F$59),8),
0,1))</f>
        <v>0</v>
      </c>
    </row>
    <row r="130" spans="2:22" ht="15.75" outlineLevel="1" x14ac:dyDescent="0.25">
      <c r="C130" s="23" t="s">
        <v>230</v>
      </c>
      <c r="D130" s="23" t="s">
        <v>604</v>
      </c>
      <c r="E130" s="181" t="s">
        <v>282</v>
      </c>
      <c r="F130" s="23" t="s">
        <v>93</v>
      </c>
      <c r="G130" s="23" t="s">
        <v>151</v>
      </c>
      <c r="H130" s="93">
        <f>IF(H94="-","-",
IF(
ROUND(H94,8)=
ROUND(SUMIFS(Calc_TUV_EnvGroup_1[Ausnet],Calc_TUV_EnvGroup_1[[Cost item]:[Cost item]],$D130,Calc_TUV_EnvGroup_1[[Cost element]:[Cost element]],$G130)*($F$58/$F$59),8),
0,1))</f>
        <v>0</v>
      </c>
      <c r="I130" s="93">
        <f>IF(I94="-","-",
IF(
ROUND(I94,8)=
ROUND(SUMIFS(Calc_TUV_EnvGroup_1[Citipower],Calc_TUV_EnvGroup_1[[Cost item]:[Cost item]],$D130,Calc_TUV_EnvGroup_1[[Cost element]:[Cost element]],$G130)*($F$58/$F$59),8),
0,1))</f>
        <v>0</v>
      </c>
      <c r="J130" s="93">
        <f>IF(J94="-","-",
IF(
ROUND(J94,8)=
ROUND(SUMIFS(Calc_TUV_EnvGroup_1[Jemena],Calc_TUV_EnvGroup_1[[Cost item]:[Cost item]],$D130,Calc_TUV_EnvGroup_1[[Cost element]:[Cost element]],$G130)*($F$58/$F$59),8),
0,1))</f>
        <v>0</v>
      </c>
      <c r="K130" s="93">
        <f>IF(K94="-","-",
IF(
ROUND(K94,8)=
ROUND(SUMIFS(Calc_TUV_EnvGroup_1[Powercor],Calc_TUV_EnvGroup_1[[Cost item]:[Cost item]],$D130,Calc_TUV_EnvGroup_1[[Cost element]:[Cost element]],$G130)*($F$58/$F$59),8),
0,1))</f>
        <v>0</v>
      </c>
      <c r="L130" s="93">
        <f>IF(L94="-","-",
IF(
ROUND(L94,8)=
ROUND(SUMIFS(Calc_TUV_EnvGroup_1[United Energy],Calc_TUV_EnvGroup_1[[Cost item]:[Cost item]],$D130,Calc_TUV_EnvGroup_1[[Cost element]:[Cost element]],$G130)*($F$58/$F$59),8),
0,1))</f>
        <v>0</v>
      </c>
    </row>
    <row r="131" spans="2:22" ht="15.75" outlineLevel="1" x14ac:dyDescent="0.25">
      <c r="C131" s="23" t="s">
        <v>609</v>
      </c>
      <c r="D131" s="23" t="s">
        <v>604</v>
      </c>
      <c r="E131" s="181" t="s">
        <v>282</v>
      </c>
      <c r="F131" s="23" t="s">
        <v>92</v>
      </c>
      <c r="G131" s="23" t="s">
        <v>151</v>
      </c>
      <c r="H131" s="93">
        <f>IF(H95="-","-",
IF(
ROUND(H95,8)=
ROUND(SUMIFS(Calc_TUV_EnvGroup_1[Ausnet],Calc_TUV_EnvGroup_1[[Cost item]:[Cost item]],$D131,Calc_TUV_EnvGroup_1[[Cost element]:[Cost element]],$G131)*($F$58/$F$59),8),
0,1))</f>
        <v>0</v>
      </c>
      <c r="I131" s="93">
        <f>IF(I95="-","-",
IF(
ROUND(I95,8)=
ROUND(SUMIFS(Calc_TUV_EnvGroup_1[Citipower],Calc_TUV_EnvGroup_1[[Cost item]:[Cost item]],$D131,Calc_TUV_EnvGroup_1[[Cost element]:[Cost element]],$G131)*($F$58/$F$59),8),
0,1))</f>
        <v>0</v>
      </c>
      <c r="J131" s="93">
        <f>IF(J95="-","-",
IF(
ROUND(J95,8)=
ROUND(SUMIFS(Calc_TUV_EnvGroup_1[Jemena],Calc_TUV_EnvGroup_1[[Cost item]:[Cost item]],$D131,Calc_TUV_EnvGroup_1[[Cost element]:[Cost element]],$G131)*($F$58/$F$59),8),
0,1))</f>
        <v>0</v>
      </c>
      <c r="K131" s="93">
        <f>IF(K95="-","-",
IF(
ROUND(K95,8)=
ROUND(SUMIFS(Calc_TUV_EnvGroup_1[Powercor],Calc_TUV_EnvGroup_1[[Cost item]:[Cost item]],$D131,Calc_TUV_EnvGroup_1[[Cost element]:[Cost element]],$G131)*($F$58/$F$59),8),
0,1))</f>
        <v>0</v>
      </c>
      <c r="L131" s="93">
        <f>IF(L95="-","-",
IF(
ROUND(L95,8)=
ROUND(SUMIFS(Calc_TUV_EnvGroup_1[United Energy],Calc_TUV_EnvGroup_1[[Cost item]:[Cost item]],$D131,Calc_TUV_EnvGroup_1[[Cost element]:[Cost element]],$G131)*($F$58/$F$59),8),
0,1))</f>
        <v>0</v>
      </c>
    </row>
    <row r="132" spans="2:22" ht="15.75" outlineLevel="1" x14ac:dyDescent="0.25">
      <c r="C132" s="181" t="s">
        <v>609</v>
      </c>
      <c r="D132" s="181" t="s">
        <v>604</v>
      </c>
      <c r="E132" s="181" t="s">
        <v>282</v>
      </c>
      <c r="F132" s="181" t="s">
        <v>93</v>
      </c>
      <c r="G132" s="181" t="s">
        <v>151</v>
      </c>
      <c r="H132" s="93">
        <f>IF(H96="-","-",
IF(
ROUND(H96,8)=
ROUND(SUMIFS(Calc_TUV_EnvGroup_1[Ausnet],Calc_TUV_EnvGroup_1[[Cost item]:[Cost item]],$D132,Calc_TUV_EnvGroup_1[[Cost element]:[Cost element]],$G132)*($F$58/$F$59),8),
0,1))</f>
        <v>0</v>
      </c>
      <c r="I132" s="93">
        <f>IF(I96="-","-",
IF(
ROUND(I96,8)=
ROUND(SUMIFS(Calc_TUV_EnvGroup_1[Citipower],Calc_TUV_EnvGroup_1[[Cost item]:[Cost item]],$D132,Calc_TUV_EnvGroup_1[[Cost element]:[Cost element]],$G132)*($F$58/$F$59),8),
0,1))</f>
        <v>0</v>
      </c>
      <c r="J132" s="93">
        <f>IF(J96="-","-",
IF(
ROUND(J96,8)=
ROUND(SUMIFS(Calc_TUV_EnvGroup_1[Jemena],Calc_TUV_EnvGroup_1[[Cost item]:[Cost item]],$D132,Calc_TUV_EnvGroup_1[[Cost element]:[Cost element]],$G132)*($F$58/$F$59),8),
0,1))</f>
        <v>0</v>
      </c>
      <c r="K132" s="93">
        <f>IF(K96="-","-",
IF(
ROUND(K96,8)=
ROUND(SUMIFS(Calc_TUV_EnvGroup_1[Powercor],Calc_TUV_EnvGroup_1[[Cost item]:[Cost item]],$D132,Calc_TUV_EnvGroup_1[[Cost element]:[Cost element]],$G132)*($F$58/$F$59),8),
0,1))</f>
        <v>0</v>
      </c>
      <c r="L132" s="93">
        <f>IF(L96="-","-",
IF(
ROUND(L96,8)=
ROUND(SUMIFS(Calc_TUV_EnvGroup_1[United Energy],Calc_TUV_EnvGroup_1[[Cost item]:[Cost item]],$D132,Calc_TUV_EnvGroup_1[[Cost element]:[Cost element]],$G132)*($F$58/$F$59),8),
0,1))</f>
        <v>0</v>
      </c>
    </row>
    <row r="135" spans="2:22" ht="15.75" x14ac:dyDescent="0.25">
      <c r="B135"/>
      <c r="C135" s="54" t="s">
        <v>101</v>
      </c>
      <c r="D135" s="41" t="str">
        <f>Calc_Rates!$D$254</f>
        <v>VDO 2022 - Final</v>
      </c>
      <c r="H135" s="87"/>
      <c r="I135" s="87"/>
      <c r="J135" s="87"/>
      <c r="K135" s="87"/>
      <c r="L135" s="87"/>
    </row>
    <row r="136" spans="2:22" x14ac:dyDescent="0.25">
      <c r="B136"/>
    </row>
    <row r="137" spans="2:22" ht="16.5" collapsed="1" thickBot="1" x14ac:dyDescent="0.3">
      <c r="B137" s="9">
        <f ca="1">MAX(B$3:B136)+0.1</f>
        <v>14.299999999999999</v>
      </c>
      <c r="C137" s="28" t="s">
        <v>599</v>
      </c>
      <c r="D137" s="28"/>
      <c r="E137" s="28"/>
      <c r="F137" s="28"/>
      <c r="G137" s="28"/>
      <c r="H137" s="28"/>
      <c r="I137" s="28"/>
      <c r="J137" s="28"/>
      <c r="K137" s="28"/>
      <c r="L137" s="28"/>
    </row>
    <row r="138" spans="2:22" hidden="1" outlineLevel="1" x14ac:dyDescent="0.25"/>
    <row r="139" spans="2:22" ht="15.75" hidden="1" outlineLevel="1" x14ac:dyDescent="0.25">
      <c r="C139" s="29" t="s">
        <v>659</v>
      </c>
    </row>
    <row r="140" spans="2:22" ht="15.75" hidden="1" outlineLevel="1" x14ac:dyDescent="0.25">
      <c r="C140" s="168" t="s">
        <v>46</v>
      </c>
      <c r="D140" s="168" t="s">
        <v>102</v>
      </c>
      <c r="E140" s="168" t="s">
        <v>103</v>
      </c>
      <c r="F140" s="168" t="s">
        <v>91</v>
      </c>
      <c r="G140" s="168" t="s">
        <v>45</v>
      </c>
      <c r="H140" s="169" t="s">
        <v>268</v>
      </c>
      <c r="I140" s="169" t="s">
        <v>269</v>
      </c>
      <c r="J140" s="169" t="s">
        <v>270</v>
      </c>
      <c r="K140" s="169" t="s">
        <v>271</v>
      </c>
      <c r="L140" s="169" t="s">
        <v>272</v>
      </c>
    </row>
    <row r="141" spans="2:22" hidden="1" outlineLevel="1" x14ac:dyDescent="0.25">
      <c r="C141" s="23" t="str">
        <f>IF(COUNTIFS(Calc_TUV_Net_2[Pass through (Yes/No)],"Yes",Calc_TUV_Net_2[Cost item],"Anytime - "&amp;Calc_TUV_NetGroup_2[[#This Row],[Customer type]])=1,"Anytime - supply","-")</f>
        <v>Anytime - supply</v>
      </c>
      <c r="D141" s="23" t="s">
        <v>108</v>
      </c>
      <c r="E141" s="181" t="s">
        <v>109</v>
      </c>
      <c r="F141" s="23" t="s">
        <v>92</v>
      </c>
      <c r="G141" s="23" t="s">
        <v>121</v>
      </c>
      <c r="H141" s="186">
        <f>IFERROR(SUMIFS(INDEX(Calc_TUV_Net_2[[Ausnet]:[United Energy]],0,MATCH(Calc_TUV_NetGroup_2[[#Headers],[Ausnet]],Calc_TUV_Net_2[[#Headers],[Ausnet]:[United Energy]],0)),
Calc_TUV_Net_2[Cost item],Calc_TUV_NetGroup_2[[#This Row],[Cost item]]&amp;" cost true up",
Calc_TUV_Net_2[Customer type],Calc_TUV_NetGroup_2[[#This Row],[Customer type]]),"-")</f>
        <v>1.8248234761643884</v>
      </c>
      <c r="I141" s="186" cm="1">
        <f t="array" ref="I141">IFERROR(SUMIFS(INDEX(Calc_TUV_Net_2[[Ausnet]:[United Energy]],0,MATCH(Calc_TUV_NetGroup_2[[#Headers],[Citipower]],Calc_TUV_Net_2[[#Headers],[Ausnet]:[United Energy]],0)),
Calc_TUV_Net_2[Cost item],Calc_TUV_NetGroup_2[[#This Row],[Cost item]]&amp;" cost true up",
Calc_TUV_Net_2[Customer type],Calc_TUV_NetGroup_2[[#This Row],[Customer type]]),"-")</f>
        <v>-1.2662808725479466</v>
      </c>
      <c r="J141" s="186" cm="1">
        <f t="array" ref="J141">IFERROR(SUMIFS(INDEX(Calc_TUV_Net_2[[Ausnet]:[United Energy]],0,MATCH(Calc_TUV_NetGroup_2[[#Headers],[Jemena]],Calc_TUV_Net_2[[#Headers],[Ausnet]:[United Energy]],0)),
Calc_TUV_Net_2[Cost item],Calc_TUV_NetGroup_2[[#This Row],[Cost item]]&amp;" cost true up",
Calc_TUV_Net_2[Customer type],Calc_TUV_NetGroup_2[[#This Row],[Customer type]]),"-")</f>
        <v>0.21319327473972866</v>
      </c>
      <c r="K141" s="186" cm="1">
        <f t="array" ref="K141">IFERROR(SUMIFS(INDEX(Calc_TUV_Net_2[[Ausnet]:[United Energy]],0,MATCH(Calc_TUV_NetGroup_2[[#Headers],[Powercor]],Calc_TUV_Net_2[[#Headers],[Ausnet]:[United Energy]],0)),
Calc_TUV_Net_2[Cost item],Calc_TUV_NetGroup_2[[#This Row],[Cost item]]&amp;" cost true up",
Calc_TUV_Net_2[Customer type],Calc_TUV_NetGroup_2[[#This Row],[Customer type]]),"-")</f>
        <v>-1.4904706405479504</v>
      </c>
      <c r="L141" s="186" cm="1">
        <f t="array" ref="L141">IFERROR(SUMIFS(INDEX(Calc_TUV_Net_2[[Ausnet]:[United Energy]],0,MATCH(Calc_TUV_NetGroup_2[[#Headers],[United Energy]],Calc_TUV_Net_2[[#Headers],[Ausnet]:[United Energy]],0)),
Calc_TUV_Net_2[Cost item],Calc_TUV_NetGroup_2[[#This Row],[Cost item]]&amp;" cost true up",
Calc_TUV_Net_2[Customer type],Calc_TUV_NetGroup_2[[#This Row],[Customer type]]),"-")</f>
        <v>2.823027675178083</v>
      </c>
      <c r="O141" s="292"/>
      <c r="P141" s="292"/>
      <c r="Q141" s="292"/>
      <c r="R141" s="292"/>
      <c r="S141" s="292"/>
      <c r="T141" s="292"/>
      <c r="U141" s="292"/>
      <c r="V141" s="292"/>
    </row>
    <row r="142" spans="2:22" hidden="1" outlineLevel="1" x14ac:dyDescent="0.25">
      <c r="C142" s="23" t="str">
        <f>IF(COUNTIFS(Calc_TUV_Net_2[Pass through (Yes/No)],"Yes",Calc_TUV_Net_2[Cost item],"Anytime - "&amp;Calc_TUV_NetGroup_2[[#This Row],[Customer type]])=1,"Anytime - usage","-")</f>
        <v>Anytime - usage</v>
      </c>
      <c r="D142" s="23" t="s">
        <v>130</v>
      </c>
      <c r="E142" s="181" t="s">
        <v>109</v>
      </c>
      <c r="F142" s="23" t="s">
        <v>92</v>
      </c>
      <c r="G142" s="23" t="s">
        <v>121</v>
      </c>
      <c r="H142" s="186" cm="1">
        <f t="array" ref="H142">IFERROR(SUMIFS(INDEX(Calc_TUV_Net_2[[Ausnet]:[United Energy]],0,MATCH(Calc_TUV_NetGroup_2[[#Headers],[Ausnet]],Calc_TUV_Net_2[[#Headers],[Ausnet]:[United Energy]],0)),
Calc_TUV_Net_2[Cost item],Calc_TUV_NetGroup_2[[#This Row],[Cost item]]&amp;" cost true up",
Calc_TUV_Net_2[Customer type],Calc_TUV_NetGroup_2[[#This Row],[Customer type]]),"-")</f>
        <v>10.110848828692266</v>
      </c>
      <c r="I142" s="186" cm="1">
        <f t="array" ref="I142">IFERROR(SUMIFS(INDEX(Calc_TUV_Net_2[[Ausnet]:[United Energy]],0,MATCH(Calc_TUV_NetGroup_2[[#Headers],[Citipower]],Calc_TUV_Net_2[[#Headers],[Ausnet]:[United Energy]],0)),
Calc_TUV_Net_2[Cost item],Calc_TUV_NetGroup_2[[#This Row],[Cost item]]&amp;" cost true up",
Calc_TUV_Net_2[Customer type],Calc_TUV_NetGroup_2[[#This Row],[Customer type]]),"-")</f>
        <v>17.453448212972532</v>
      </c>
      <c r="J142" s="186" cm="1">
        <f t="array" ref="J142">IFERROR(SUMIFS(INDEX(Calc_TUV_Net_2[[Ausnet]:[United Energy]],0,MATCH(Calc_TUV_NetGroup_2[[#Headers],[Jemena]],Calc_TUV_Net_2[[#Headers],[Ausnet]:[United Energy]],0)),
Calc_TUV_Net_2[Cost item],Calc_TUV_NetGroup_2[[#This Row],[Cost item]]&amp;" cost true up",
Calc_TUV_Net_2[Customer type],Calc_TUV_NetGroup_2[[#This Row],[Customer type]]),"-")</f>
        <v>13.874386680692083</v>
      </c>
      <c r="K142" s="186" cm="1">
        <f t="array" ref="K142">IFERROR(SUMIFS(INDEX(Calc_TUV_Net_2[[Ausnet]:[United Energy]],0,MATCH(Calc_TUV_NetGroup_2[[#Headers],[Powercor]],Calc_TUV_Net_2[[#Headers],[Ausnet]:[United Energy]],0)),
Calc_TUV_Net_2[Cost item],Calc_TUV_NetGroup_2[[#This Row],[Cost item]]&amp;" cost true up",
Calc_TUV_Net_2[Customer type],Calc_TUV_NetGroup_2[[#This Row],[Customer type]]),"-")</f>
        <v>15.575545557146384</v>
      </c>
      <c r="L142" s="186" cm="1">
        <f t="array" ref="L142">IFERROR(SUMIFS(INDEX(Calc_TUV_Net_2[[Ausnet]:[United Energy]],0,MATCH(Calc_TUV_NetGroup_2[[#Headers],[United Energy]],Calc_TUV_Net_2[[#Headers],[Ausnet]:[United Energy]],0)),
Calc_TUV_Net_2[Cost item],Calc_TUV_NetGroup_2[[#This Row],[Cost item]]&amp;" cost true up",
Calc_TUV_Net_2[Customer type],Calc_TUV_NetGroup_2[[#This Row],[Customer type]]),"-")</f>
        <v>3.5348755874374662</v>
      </c>
    </row>
    <row r="143" spans="2:22" hidden="1" outlineLevel="1" x14ac:dyDescent="0.25">
      <c r="C143" s="23" t="str">
        <f>IF(COUNTIFS(Calc_TUV_Net_2[Pass through (Yes/No)],"Yes",Calc_TUV_Net_2[Cost item],"Anytime - "&amp;Calc_TUV_NetGroup_2[[#This Row],[Customer type]])=1,"Anytime - supply","-")</f>
        <v>Anytime - supply</v>
      </c>
      <c r="D143" s="23" t="s">
        <v>108</v>
      </c>
      <c r="E143" s="181" t="s">
        <v>109</v>
      </c>
      <c r="F143" s="23" t="s">
        <v>93</v>
      </c>
      <c r="G143" s="23" t="s">
        <v>121</v>
      </c>
      <c r="H143" s="186">
        <f>IFERROR(SUMIFS(INDEX(Calc_TUV_Net_2[[Ausnet]:[United Energy]],0,MATCH(Calc_TUV_NetGroup_2[[#Headers],[Ausnet]],Calc_TUV_Net_2[[#Headers],[Ausnet]:[United Energy]],0)),
Calc_TUV_Net_2[Cost item],Calc_TUV_NetGroup_2[[#This Row],[Cost item]]&amp;" cost true up",
Calc_TUV_Net_2[Customer type],Calc_TUV_NetGroup_2[[#This Row],[Customer type]]),"-")</f>
        <v>1.8248234761643884</v>
      </c>
      <c r="I143" s="186" cm="1">
        <f t="array" ref="I143">IFERROR(SUMIFS(INDEX(Calc_TUV_Net_2[[Ausnet]:[United Energy]],0,MATCH(Calc_TUV_NetGroup_2[[#Headers],[Citipower]],Calc_TUV_Net_2[[#Headers],[Ausnet]:[United Energy]],0)),
Calc_TUV_Net_2[Cost item],Calc_TUV_NetGroup_2[[#This Row],[Cost item]]&amp;" cost true up",
Calc_TUV_Net_2[Customer type],Calc_TUV_NetGroup_2[[#This Row],[Customer type]]),"-")</f>
        <v>-1.2648939274520594</v>
      </c>
      <c r="J143" s="186" cm="1">
        <f t="array" ref="J143">IFERROR(SUMIFS(INDEX(Calc_TUV_Net_2[[Ausnet]:[United Energy]],0,MATCH(Calc_TUV_NetGroup_2[[#Headers],[Jemena]],Calc_TUV_Net_2[[#Headers],[Ausnet]:[United Energy]],0)),
Calc_TUV_Net_2[Cost item],Calc_TUV_NetGroup_2[[#This Row],[Cost item]]&amp;" cost true up",
Calc_TUV_Net_2[Customer type],Calc_TUV_NetGroup_2[[#This Row],[Customer type]]),"-")</f>
        <v>0.7202207747945274</v>
      </c>
      <c r="K143" s="186" cm="1">
        <f t="array" ref="K143">IFERROR(SUMIFS(INDEX(Calc_TUV_Net_2[[Ausnet]:[United Energy]],0,MATCH(Calc_TUV_NetGroup_2[[#Headers],[Powercor]],Calc_TUV_Net_2[[#Headers],[Ausnet]:[United Energy]],0)),
Calc_TUV_Net_2[Cost item],Calc_TUV_NetGroup_2[[#This Row],[Cost item]]&amp;" cost true up",
Calc_TUV_Net_2[Customer type],Calc_TUV_NetGroup_2[[#This Row],[Customer type]]),"-")</f>
        <v>-1.489678100493145</v>
      </c>
      <c r="L143" s="186" cm="1">
        <f t="array" ref="L143">IFERROR(SUMIFS(INDEX(Calc_TUV_Net_2[[Ausnet]:[United Energy]],0,MATCH(Calc_TUV_NetGroup_2[[#Headers],[United Energy]],Calc_TUV_Net_2[[#Headers],[Ausnet]:[United Energy]],0)),
Calc_TUV_Net_2[Cost item],Calc_TUV_NetGroup_2[[#This Row],[Cost item]]&amp;" cost true up",
Calc_TUV_Net_2[Customer type],Calc_TUV_NetGroup_2[[#This Row],[Customer type]]),"-")</f>
        <v>6.7861242191780837</v>
      </c>
    </row>
    <row r="144" spans="2:22" hidden="1" outlineLevel="1" x14ac:dyDescent="0.25">
      <c r="C144" s="23" t="str">
        <f>IF(COUNTIFS(Calc_TUV_Net_2[Pass through (Yes/No)],"Yes",Calc_TUV_Net_2[Cost item],"Anytime - "&amp;Calc_TUV_NetGroup_2[[#This Row],[Customer type]])=1,"Anytime - usage","-")</f>
        <v>Anytime - usage</v>
      </c>
      <c r="D144" s="23" t="s">
        <v>130</v>
      </c>
      <c r="E144" s="181" t="s">
        <v>109</v>
      </c>
      <c r="F144" s="23" t="s">
        <v>93</v>
      </c>
      <c r="G144" s="23" t="s">
        <v>121</v>
      </c>
      <c r="H144" s="186" cm="1">
        <f t="array" ref="H144">IFERROR(SUMIFS(INDEX(Calc_TUV_Net_2[[Ausnet]:[United Energy]],0,MATCH(Calc_TUV_NetGroup_2[[#Headers],[Ausnet]],Calc_TUV_Net_2[[#Headers],[Ausnet]:[United Energy]],0)),
Calc_TUV_Net_2[Cost item],Calc_TUV_NetGroup_2[[#This Row],[Cost item]]&amp;" cost true up",
Calc_TUV_Net_2[Customer type],Calc_TUV_NetGroup_2[[#This Row],[Customer type]]),"-")</f>
        <v>23.796498135601539</v>
      </c>
      <c r="I144" s="186" cm="1">
        <f t="array" ref="I144">IFERROR(SUMIFS(INDEX(Calc_TUV_Net_2[[Ausnet]:[United Energy]],0,MATCH(Calc_TUV_NetGroup_2[[#Headers],[Citipower]],Calc_TUV_Net_2[[#Headers],[Ausnet]:[United Energy]],0)),
Calc_TUV_Net_2[Cost item],Calc_TUV_NetGroup_2[[#This Row],[Cost item]]&amp;" cost true up",
Calc_TUV_Net_2[Customer type],Calc_TUV_NetGroup_2[[#This Row],[Customer type]]),"-")</f>
        <v>10.495490271900495</v>
      </c>
      <c r="J144" s="186" cm="1">
        <f t="array" ref="J144">IFERROR(SUMIFS(INDEX(Calc_TUV_Net_2[[Ausnet]:[United Energy]],0,MATCH(Calc_TUV_NetGroup_2[[#Headers],[Jemena]],Calc_TUV_Net_2[[#Headers],[Ausnet]:[United Energy]],0)),
Calc_TUV_Net_2[Cost item],Calc_TUV_NetGroup_2[[#This Row],[Cost item]]&amp;" cost true up",
Calc_TUV_Net_2[Customer type],Calc_TUV_NetGroup_2[[#This Row],[Customer type]]),"-")</f>
        <v>25.800108175850884</v>
      </c>
      <c r="K144" s="186" cm="1">
        <f t="array" ref="K144">IFERROR(SUMIFS(INDEX(Calc_TUV_Net_2[[Ausnet]:[United Energy]],0,MATCH(Calc_TUV_NetGroup_2[[#Headers],[Powercor]],Calc_TUV_Net_2[[#Headers],[Ausnet]:[United Energy]],0)),
Calc_TUV_Net_2[Cost item],Calc_TUV_NetGroup_2[[#This Row],[Cost item]]&amp;" cost true up",
Calc_TUV_Net_2[Customer type],Calc_TUV_NetGroup_2[[#This Row],[Customer type]]),"-")</f>
        <v>13.315174225545405</v>
      </c>
      <c r="L144" s="186" cm="1">
        <f t="array" ref="L144">IFERROR(SUMIFS(INDEX(Calc_TUV_Net_2[[Ausnet]:[United Energy]],0,MATCH(Calc_TUV_NetGroup_2[[#Headers],[United Energy]],Calc_TUV_Net_2[[#Headers],[Ausnet]:[United Energy]],0)),
Calc_TUV_Net_2[Cost item],Calc_TUV_NetGroup_2[[#This Row],[Cost item]]&amp;" cost true up",
Calc_TUV_Net_2[Customer type],Calc_TUV_NetGroup_2[[#This Row],[Customer type]]),"-")</f>
        <v>-7.5191572097197463</v>
      </c>
    </row>
    <row r="145" spans="3:15" hidden="1" outlineLevel="1" x14ac:dyDescent="0.25">
      <c r="C145" s="23" t="str">
        <f>IF(COUNTIFS(Calc_TUV_Net_2[Pass through (Yes/No)],"Yes",Calc_TUV_Net_2[Cost item],"Controlled load cost - "&amp;Calc_TUV_NetGroup_2[[#This Row],[Customer type]])=1,"Controlled load - usage","-")</f>
        <v>Controlled load - usage</v>
      </c>
      <c r="D145" s="23" t="s">
        <v>130</v>
      </c>
      <c r="E145" s="181" t="s">
        <v>109</v>
      </c>
      <c r="F145" s="23" t="s">
        <v>92</v>
      </c>
      <c r="G145" s="23" t="s">
        <v>121</v>
      </c>
      <c r="H145" s="186" cm="1">
        <f t="array" ref="H145">IFERROR(SUMIFS(INDEX(Calc_TUV_Net_2[[Ausnet]:[United Energy]],0,MATCH(Calc_TUV_NetGroup_2[[#Headers],[Ausnet]],Calc_TUV_Net_2[[#Headers],[Ausnet]:[United Energy]],0)),
Calc_TUV_Net_2[Cost item],Calc_TUV_NetGroup_2[[#This Row],[Cost item]]&amp;" cost true up",
Calc_TUV_Net_2[Customer type],Calc_TUV_NetGroup_2[[#This Row],[Customer type]]),"-")</f>
        <v>2.2712494396904654</v>
      </c>
      <c r="I145" s="186" cm="1">
        <f t="array" ref="I145">IFERROR(SUMIFS(INDEX(Calc_TUV_Net_2[[Ausnet]:[United Energy]],0,MATCH(Calc_TUV_NetGroup_2[[#Headers],[Citipower]],Calc_TUV_Net_2[[#Headers],[Ausnet]:[United Energy]],0)),
Calc_TUV_Net_2[Cost item],Calc_TUV_NetGroup_2[[#This Row],[Cost item]]&amp;" cost true up",
Calc_TUV_Net_2[Customer type],Calc_TUV_NetGroup_2[[#This Row],[Customer type]]),"-")</f>
        <v>2.1517696013023619</v>
      </c>
      <c r="J145" s="186" cm="1">
        <f t="array" ref="J145">IFERROR(SUMIFS(INDEX(Calc_TUV_Net_2[[Ausnet]:[United Energy]],0,MATCH(Calc_TUV_NetGroup_2[[#Headers],[Jemena]],Calc_TUV_Net_2[[#Headers],[Ausnet]:[United Energy]],0)),
Calc_TUV_Net_2[Cost item],Calc_TUV_NetGroup_2[[#This Row],[Cost item]]&amp;" cost true up",
Calc_TUV_Net_2[Customer type],Calc_TUV_NetGroup_2[[#This Row],[Customer type]]),"-")</f>
        <v>3.8675227307618743</v>
      </c>
      <c r="K145" s="186" cm="1">
        <f t="array" ref="K145">IFERROR(SUMIFS(INDEX(Calc_TUV_Net_2[[Ausnet]:[United Energy]],0,MATCH(Calc_TUV_NetGroup_2[[#Headers],[Powercor]],Calc_TUV_Net_2[[#Headers],[Ausnet]:[United Energy]],0)),
Calc_TUV_Net_2[Cost item],Calc_TUV_NetGroup_2[[#This Row],[Cost item]]&amp;" cost true up",
Calc_TUV_Net_2[Customer type],Calc_TUV_NetGroup_2[[#This Row],[Customer type]]),"-")</f>
        <v>1.4156378955936577</v>
      </c>
      <c r="L145" s="186">
        <f>IFERROR(SUMIFS(INDEX(Calc_TUV_Net_2[[Ausnet]:[United Energy]],0,MATCH(Calc_TUV_NetGroup_2[[#Headers],[United Energy]],Calc_TUV_Net_2[[#Headers],[Ausnet]:[United Energy]],0)),
Calc_TUV_Net_2[Cost item],Calc_TUV_NetGroup_2[[#This Row],[Cost item]]&amp;" cost true up",
Calc_TUV_Net_2[Customer type],Calc_TUV_NetGroup_2[[#This Row],[Customer type]]),"-")</f>
        <v>2.4915226962448385</v>
      </c>
    </row>
    <row r="146" spans="3:15" hidden="1" outlineLevel="1" x14ac:dyDescent="0.25">
      <c r="C146" s="23" t="str">
        <f>IF(COUNTIFS(Calc_TUV_Net_2[Pass through (Yes/No)],"Yes",Calc_TUV_Net_2[Cost item],"TOU - "&amp;Calc_TUV_NetGroup_2[[#This Row],[Customer type]])=1,"TOU - supply","-")</f>
        <v>TOU - supply</v>
      </c>
      <c r="D146" s="23" t="s">
        <v>108</v>
      </c>
      <c r="E146" s="181" t="s">
        <v>109</v>
      </c>
      <c r="F146" s="23" t="s">
        <v>92</v>
      </c>
      <c r="G146" s="23" t="s">
        <v>121</v>
      </c>
      <c r="H146" s="186" cm="1">
        <f t="array" ref="H146">IFERROR(SUMIFS(INDEX(Calc_TUV_Net_2[[Ausnet]:[United Energy]],0,MATCH(Calc_TUV_NetGroup_2[[#Headers],[Ausnet]],Calc_TUV_Net_2[[#Headers],[Ausnet]:[United Energy]],0)),
Calc_TUV_Net_2[Cost item],Calc_TUV_NetGroup_2[[#This Row],[Cost item]]&amp;" cost true up",
Calc_TUV_Net_2[Customer type],Calc_TUV_NetGroup_2[[#This Row],[Customer type]]),"-")</f>
        <v>1.8248234761643884</v>
      </c>
      <c r="I146" s="186" cm="1">
        <f t="array" ref="I146">IFERROR(SUMIFS(INDEX(Calc_TUV_Net_2[[Ausnet]:[United Energy]],0,MATCH(Calc_TUV_NetGroup_2[[#Headers],[Citipower]],Calc_TUV_Net_2[[#Headers],[Ausnet]:[United Energy]],0)),
Calc_TUV_Net_2[Cost item],Calc_TUV_NetGroup_2[[#This Row],[Cost item]]&amp;" cost true up",
Calc_TUV_Net_2[Customer type],Calc_TUV_NetGroup_2[[#This Row],[Customer type]]),"-")</f>
        <v>-1.2662808725479466</v>
      </c>
      <c r="J146" s="186" cm="1">
        <f t="array" ref="J146">IFERROR(SUMIFS(INDEX(Calc_TUV_Net_2[[Ausnet]:[United Energy]],0,MATCH(Calc_TUV_NetGroup_2[[#Headers],[Jemena]],Calc_TUV_Net_2[[#Headers],[Ausnet]:[United Energy]],0)),
Calc_TUV_Net_2[Cost item],Calc_TUV_NetGroup_2[[#This Row],[Cost item]]&amp;" cost true up",
Calc_TUV_Net_2[Customer type],Calc_TUV_NetGroup_2[[#This Row],[Customer type]]),"-")</f>
        <v>0.21319327473972866</v>
      </c>
      <c r="K146" s="186" cm="1">
        <f t="array" ref="K146">IFERROR(SUMIFS(INDEX(Calc_TUV_Net_2[[Ausnet]:[United Energy]],0,MATCH(Calc_TUV_NetGroup_2[[#Headers],[Powercor]],Calc_TUV_Net_2[[#Headers],[Ausnet]:[United Energy]],0)),
Calc_TUV_Net_2[Cost item],Calc_TUV_NetGroup_2[[#This Row],[Cost item]]&amp;" cost true up",
Calc_TUV_Net_2[Customer type],Calc_TUV_NetGroup_2[[#This Row],[Customer type]]),"-")</f>
        <v>-1.4904706405479504</v>
      </c>
      <c r="L146" s="186" cm="1">
        <f t="array" ref="L146">IFERROR(SUMIFS(INDEX(Calc_TUV_Net_2[[Ausnet]:[United Energy]],0,MATCH(Calc_TUV_NetGroup_2[[#Headers],[United Energy]],Calc_TUV_Net_2[[#Headers],[Ausnet]:[United Energy]],0)),
Calc_TUV_Net_2[Cost item],Calc_TUV_NetGroup_2[[#This Row],[Cost item]]&amp;" cost true up",
Calc_TUV_Net_2[Customer type],Calc_TUV_NetGroup_2[[#This Row],[Customer type]]),"-")</f>
        <v>2.823027675178083</v>
      </c>
    </row>
    <row r="147" spans="3:15" hidden="1" outlineLevel="1" x14ac:dyDescent="0.25">
      <c r="C147" s="23" t="str">
        <f>IF(COUNTIFS(Calc_TUV_Net_2[Pass through (Yes/No)],"Yes",Calc_TUV_Net_2[Cost item],"TOU - "&amp;Calc_TUV_NetGroup_2[[#This Row],[Customer type]])=1,"TOU - usage","-")</f>
        <v>TOU - usage</v>
      </c>
      <c r="D147" s="23" t="s">
        <v>130</v>
      </c>
      <c r="E147" s="181" t="s">
        <v>109</v>
      </c>
      <c r="F147" s="23" t="s">
        <v>92</v>
      </c>
      <c r="G147" s="23" t="s">
        <v>121</v>
      </c>
      <c r="H147" s="186" cm="1">
        <f t="array" ref="H147">IFERROR(SUMIFS(INDEX(Calc_TUV_Net_2[[Ausnet]:[United Energy]],0,MATCH(Calc_TUV_NetGroup_2[[#Headers],[Ausnet]],Calc_TUV_Net_2[[#Headers],[Ausnet]:[United Energy]],0)),
Calc_TUV_Net_2[Cost item],Calc_TUV_NetGroup_2[[#This Row],[Cost item]]&amp;" cost true up",
Calc_TUV_Net_2[Customer type],Calc_TUV_NetGroup_2[[#This Row],[Customer type]]),"-")</f>
        <v>-8.2226839871762945</v>
      </c>
      <c r="I147" s="186" cm="1">
        <f t="array" ref="I147">IFERROR(SUMIFS(INDEX(Calc_TUV_Net_2[[Ausnet]:[United Energy]],0,MATCH(Calc_TUV_NetGroup_2[[#Headers],[Citipower]],Calc_TUV_Net_2[[#Headers],[Ausnet]:[United Energy]],0)),
Calc_TUV_Net_2[Cost item],Calc_TUV_NetGroup_2[[#This Row],[Cost item]]&amp;" cost true up",
Calc_TUV_Net_2[Customer type],Calc_TUV_NetGroup_2[[#This Row],[Customer type]]),"-")</f>
        <v>16.092521111809106</v>
      </c>
      <c r="J147" s="186" cm="1">
        <f t="array" ref="J147">IFERROR(SUMIFS(INDEX(Calc_TUV_Net_2[[Ausnet]:[United Energy]],0,MATCH(Calc_TUV_NetGroup_2[[#Headers],[Jemena]],Calc_TUV_Net_2[[#Headers],[Ausnet]:[United Energy]],0)),
Calc_TUV_Net_2[Cost item],Calc_TUV_NetGroup_2[[#This Row],[Cost item]]&amp;" cost true up",
Calc_TUV_Net_2[Customer type],Calc_TUV_NetGroup_2[[#This Row],[Customer type]]),"-")</f>
        <v>-3.9252584101251058</v>
      </c>
      <c r="K147" s="186" cm="1">
        <f t="array" ref="K147">IFERROR(SUMIFS(INDEX(Calc_TUV_Net_2[[Ausnet]:[United Energy]],0,MATCH(Calc_TUV_NetGroup_2[[#Headers],[Powercor]],Calc_TUV_Net_2[[#Headers],[Ausnet]:[United Energy]],0)),
Calc_TUV_Net_2[Cost item],Calc_TUV_NetGroup_2[[#This Row],[Cost item]]&amp;" cost true up",
Calc_TUV_Net_2[Customer type],Calc_TUV_NetGroup_2[[#This Row],[Customer type]]),"-")</f>
        <v>12.706773088216648</v>
      </c>
      <c r="L147" s="186" cm="1">
        <f t="array" ref="L147">IFERROR(SUMIFS(INDEX(Calc_TUV_Net_2[[Ausnet]:[United Energy]],0,MATCH(Calc_TUV_NetGroup_2[[#Headers],[United Energy]],Calc_TUV_Net_2[[#Headers],[Ausnet]:[United Energy]],0)),
Calc_TUV_Net_2[Cost item],Calc_TUV_NetGroup_2[[#This Row],[Cost item]]&amp;" cost true up",
Calc_TUV_Net_2[Customer type],Calc_TUV_NetGroup_2[[#This Row],[Customer type]]),"-")</f>
        <v>2.0679022186509202</v>
      </c>
    </row>
    <row r="148" spans="3:15" hidden="1" outlineLevel="1" x14ac:dyDescent="0.25">
      <c r="C148" s="23" t="str">
        <f>IF(COUNTIFS(Calc_TUV_Net_2[Pass through (Yes/No)],"Yes",Calc_TUV_Net_2[Cost item],"TOU - "&amp;Calc_TUV_NetGroup_2[[#This Row],[Customer type]])=1,"TOU - supply","-")</f>
        <v>TOU - supply</v>
      </c>
      <c r="D148" s="23" t="s">
        <v>108</v>
      </c>
      <c r="E148" s="181" t="s">
        <v>109</v>
      </c>
      <c r="F148" s="23" t="s">
        <v>93</v>
      </c>
      <c r="G148" s="23" t="s">
        <v>121</v>
      </c>
      <c r="H148" s="186" cm="1">
        <f t="array" ref="H148">IFERROR(SUMIFS(INDEX(Calc_TUV_Net_2[[Ausnet]:[United Energy]],0,MATCH(Calc_TUV_NetGroup_2[[#Headers],[Ausnet]],Calc_TUV_Net_2[[#Headers],[Ausnet]:[United Energy]],0)),
Calc_TUV_Net_2[Cost item],Calc_TUV_NetGroup_2[[#This Row],[Cost item]]&amp;" cost true up",
Calc_TUV_Net_2[Customer type],Calc_TUV_NetGroup_2[[#This Row],[Customer type]]),"-")</f>
        <v>1.8248234761643884</v>
      </c>
      <c r="I148" s="186" cm="1">
        <f t="array" ref="I148">IFERROR(SUMIFS(INDEX(Calc_TUV_Net_2[[Ausnet]:[United Energy]],0,MATCH(Calc_TUV_NetGroup_2[[#Headers],[Citipower]],Calc_TUV_Net_2[[#Headers],[Ausnet]:[United Energy]],0)),
Calc_TUV_Net_2[Cost item],Calc_TUV_NetGroup_2[[#This Row],[Cost item]]&amp;" cost true up",
Calc_TUV_Net_2[Customer type],Calc_TUV_NetGroup_2[[#This Row],[Customer type]]),"-")</f>
        <v>-1.2648939274520594</v>
      </c>
      <c r="J148" s="186" cm="1">
        <f t="array" ref="J148">IFERROR(SUMIFS(INDEX(Calc_TUV_Net_2[[Ausnet]:[United Energy]],0,MATCH(Calc_TUV_NetGroup_2[[#Headers],[Jemena]],Calc_TUV_Net_2[[#Headers],[Ausnet]:[United Energy]],0)),
Calc_TUV_Net_2[Cost item],Calc_TUV_NetGroup_2[[#This Row],[Cost item]]&amp;" cost true up",
Calc_TUV_Net_2[Customer type],Calc_TUV_NetGroup_2[[#This Row],[Customer type]]),"-")</f>
        <v>22.051040079561648</v>
      </c>
      <c r="K148" s="186" cm="1">
        <f t="array" ref="K148">IFERROR(SUMIFS(INDEX(Calc_TUV_Net_2[[Ausnet]:[United Energy]],0,MATCH(Calc_TUV_NetGroup_2[[#Headers],[Powercor]],Calc_TUV_Net_2[[#Headers],[Ausnet]:[United Energy]],0)),
Calc_TUV_Net_2[Cost item],Calc_TUV_NetGroup_2[[#This Row],[Cost item]]&amp;" cost true up",
Calc_TUV_Net_2[Customer type],Calc_TUV_NetGroup_2[[#This Row],[Customer type]]),"-")</f>
        <v>-1.489678100493145</v>
      </c>
      <c r="L148" s="186" cm="1">
        <f t="array" ref="L148">IFERROR(SUMIFS(INDEX(Calc_TUV_Net_2[[Ausnet]:[United Energy]],0,MATCH(Calc_TUV_NetGroup_2[[#Headers],[United Energy]],Calc_TUV_Net_2[[#Headers],[Ausnet]:[United Energy]],0)),
Calc_TUV_Net_2[Cost item],Calc_TUV_NetGroup_2[[#This Row],[Cost item]]&amp;" cost true up",
Calc_TUV_Net_2[Customer type],Calc_TUV_NetGroup_2[[#This Row],[Customer type]]),"-")</f>
        <v>6.7861242191780837</v>
      </c>
    </row>
    <row r="149" spans="3:15" hidden="1" outlineLevel="1" x14ac:dyDescent="0.25">
      <c r="C149" s="23" t="str">
        <f>IF(COUNTIFS(Calc_TUV_Net_2[Pass through (Yes/No)],"Yes",Calc_TUV_Net_2[Cost item],"TOU - "&amp;Calc_TUV_NetGroup_2[[#This Row],[Customer type]])=1,"TOU - usage","-")</f>
        <v>TOU - usage</v>
      </c>
      <c r="D149" s="23" t="s">
        <v>130</v>
      </c>
      <c r="E149" s="181" t="s">
        <v>109</v>
      </c>
      <c r="F149" s="23" t="s">
        <v>93</v>
      </c>
      <c r="G149" s="23" t="s">
        <v>121</v>
      </c>
      <c r="H149" s="186" cm="1">
        <f t="array" ref="H149">IFERROR(SUMIFS(INDEX(Calc_TUV_Net_2[[Ausnet]:[United Energy]],0,MATCH(Calc_TUV_NetGroup_2[[#Headers],[Ausnet]],Calc_TUV_Net_2[[#Headers],[Ausnet]:[United Energy]],0)),
Calc_TUV_Net_2[Cost item],Calc_TUV_NetGroup_2[[#This Row],[Cost item]]&amp;" cost true up",
Calc_TUV_Net_2[Customer type],Calc_TUV_NetGroup_2[[#This Row],[Customer type]]),"-")</f>
        <v>-61.419931930406221</v>
      </c>
      <c r="I149" s="186" cm="1">
        <f t="array" ref="I149">IFERROR(SUMIFS(INDEX(Calc_TUV_Net_2[[Ausnet]:[United Energy]],0,MATCH(Calc_TUV_NetGroup_2[[#Headers],[Citipower]],Calc_TUV_Net_2[[#Headers],[Ausnet]:[United Energy]],0)),
Calc_TUV_Net_2[Cost item],Calc_TUV_NetGroup_2[[#This Row],[Cost item]]&amp;" cost true up",
Calc_TUV_Net_2[Customer type],Calc_TUV_NetGroup_2[[#This Row],[Customer type]]),"-")</f>
        <v>4.9140825347689194</v>
      </c>
      <c r="J149" s="186" cm="1">
        <f t="array" ref="J149">IFERROR(SUMIFS(INDEX(Calc_TUV_Net_2[[Ausnet]:[United Energy]],0,MATCH(Calc_TUV_NetGroup_2[[#Headers],[Jemena]],Calc_TUV_Net_2[[#Headers],[Ausnet]:[United Energy]],0)),
Calc_TUV_Net_2[Cost item],Calc_TUV_NetGroup_2[[#This Row],[Cost item]]&amp;" cost true up",
Calc_TUV_Net_2[Customer type],Calc_TUV_NetGroup_2[[#This Row],[Customer type]]),"-")</f>
        <v>-11.706231231773922</v>
      </c>
      <c r="K149" s="186" cm="1">
        <f t="array" ref="K149">IFERROR(SUMIFS(INDEX(Calc_TUV_Net_2[[Ausnet]:[United Energy]],0,MATCH(Calc_TUV_NetGroup_2[[#Headers],[Powercor]],Calc_TUV_Net_2[[#Headers],[Ausnet]:[United Energy]],0)),
Calc_TUV_Net_2[Cost item],Calc_TUV_NetGroup_2[[#This Row],[Cost item]]&amp;" cost true up",
Calc_TUV_Net_2[Customer type],Calc_TUV_NetGroup_2[[#This Row],[Customer type]]),"-")</f>
        <v>7.2105584659041817</v>
      </c>
      <c r="L149" s="186" cm="1">
        <f t="array" ref="L149">IFERROR(SUMIFS(INDEX(Calc_TUV_Net_2[[Ausnet]:[United Energy]],0,MATCH(Calc_TUV_NetGroup_2[[#Headers],[United Energy]],Calc_TUV_Net_2[[#Headers],[Ausnet]:[United Energy]],0)),
Calc_TUV_Net_2[Cost item],Calc_TUV_NetGroup_2[[#This Row],[Cost item]]&amp;" cost true up",
Calc_TUV_Net_2[Customer type],Calc_TUV_NetGroup_2[[#This Row],[Customer type]]),"-")</f>
        <v>-12.983078115449414</v>
      </c>
      <c r="O149" s="87"/>
    </row>
    <row r="150" spans="3:15" hidden="1" outlineLevel="1" x14ac:dyDescent="0.25">
      <c r="O150" s="79"/>
    </row>
    <row r="151" spans="3:15" ht="15.75" hidden="1" outlineLevel="1" x14ac:dyDescent="0.25">
      <c r="C151" s="54" t="s">
        <v>554</v>
      </c>
      <c r="D151" s="82" t="str">
        <f>INDEX(Inputs!$H$10:$Q$10,1,MATCH($D$135,Inputs!$H$8:$Q$8,0))</f>
        <v>F-CurrentVDO_Input</v>
      </c>
      <c r="E151" s="227">
        <f>INDEX(Input_TUNet_Dates[[F-PreviousVDO_Input]:[F-CurrentVDO_Input]],MATCH(Calc_TU_rates!C151,Input_TUNet_Dates[Item],0),MATCH(Calc_TU_rates!D151,Input_TUNet_Dates[[#Headers],[F-PreviousVDO_Input]:[F-CurrentVDO_Input]],0))</f>
        <v>44562</v>
      </c>
      <c r="H151" s="292"/>
      <c r="I151" s="292"/>
      <c r="J151" s="292"/>
      <c r="K151" s="292"/>
      <c r="L151" s="292"/>
    </row>
    <row r="152" spans="3:15" ht="15.75" hidden="1" outlineLevel="1" x14ac:dyDescent="0.25">
      <c r="C152" s="54" t="s">
        <v>555</v>
      </c>
      <c r="D152" s="82" t="str">
        <f>INDEX(Inputs!$H$10:$Q$10,1,MATCH($D$135,Inputs!$H$8:$Q$8,0))</f>
        <v>F-CurrentVDO_Input</v>
      </c>
      <c r="E152" s="227">
        <f>INDEX(Input_TUNet_Dates[[F-PreviousVDO_Input]:[F-CurrentVDO_Input]],MATCH(Calc_TU_rates!C152,Input_TUNet_Dates[Item],0),MATCH(Calc_TU_rates!D152,Input_TUNet_Dates[[#Headers],[F-PreviousVDO_Input]:[F-CurrentVDO_Input]],0))</f>
        <v>44742</v>
      </c>
      <c r="H152" s="318"/>
      <c r="I152" s="318"/>
      <c r="J152" s="318"/>
      <c r="K152" s="318"/>
      <c r="L152" s="318"/>
    </row>
    <row r="153" spans="3:15" ht="15.75" hidden="1" outlineLevel="1" x14ac:dyDescent="0.25">
      <c r="C153" s="29"/>
      <c r="H153" s="342"/>
      <c r="I153" s="342"/>
      <c r="J153" s="342"/>
      <c r="K153" s="342"/>
      <c r="L153" s="342"/>
    </row>
    <row r="154" spans="3:15" ht="15.75" hidden="1" outlineLevel="1" x14ac:dyDescent="0.25">
      <c r="C154" s="54" t="s">
        <v>643</v>
      </c>
      <c r="E154" s="284">
        <f>IFERROR(_xlfn.DAYS(E152,E151)+1,"-")</f>
        <v>181</v>
      </c>
    </row>
    <row r="155" spans="3:15" hidden="1" outlineLevel="1" x14ac:dyDescent="0.25">
      <c r="H155" s="342"/>
    </row>
    <row r="156" spans="3:15" ht="15.75" hidden="1" outlineLevel="1" x14ac:dyDescent="0.25">
      <c r="C156" s="29" t="s">
        <v>660</v>
      </c>
    </row>
    <row r="157" spans="3:15" ht="15.75" hidden="1" outlineLevel="1" x14ac:dyDescent="0.25">
      <c r="C157" s="43" t="s">
        <v>520</v>
      </c>
      <c r="D157" s="168" t="s">
        <v>102</v>
      </c>
      <c r="E157" s="168" t="s">
        <v>103</v>
      </c>
      <c r="F157" s="168" t="s">
        <v>91</v>
      </c>
      <c r="G157" s="168" t="s">
        <v>45</v>
      </c>
      <c r="H157" s="169" t="s">
        <v>268</v>
      </c>
      <c r="I157" s="169" t="s">
        <v>269</v>
      </c>
      <c r="J157" s="169" t="s">
        <v>270</v>
      </c>
      <c r="K157" s="169" t="s">
        <v>271</v>
      </c>
      <c r="L157" s="169" t="s">
        <v>272</v>
      </c>
    </row>
    <row r="158" spans="3:15" hidden="1" outlineLevel="1" collapsed="1" x14ac:dyDescent="0.25">
      <c r="C158" s="23" t="s">
        <v>556</v>
      </c>
      <c r="D158" s="23" t="s">
        <v>108</v>
      </c>
      <c r="E158" s="181" t="s">
        <v>109</v>
      </c>
      <c r="F158" s="23" t="s">
        <v>92</v>
      </c>
      <c r="G158" s="23" t="s">
        <v>121</v>
      </c>
      <c r="H158" s="188" cm="1">
        <f t="array" ref="H158">IFERROR(
(SUMIFS(Calc_TUV_NetGroup_2[Ausnet],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SUMIFS(Calc_TUV_NetGroup_2[Ausnet],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6.5942940910810238E-2</v>
      </c>
      <c r="I158" s="188" cm="1">
        <f t="array" ref="I158">IFERROR(
(SUMIFS(Calc_TUV_NetGroup_2[Citipower],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SUMIFS(Calc_TUV_NetGroup_2[Citipower],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8.9431863759251856E-2</v>
      </c>
      <c r="J158" s="188" cm="1">
        <f t="array" ref="J158">IFERROR(
(SUMIFS(Calc_TUV_NetGroup_2[Jemena],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SUMIFS(Calc_TUV_NetGroup_2[Jemena],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7.7831933455424371E-2</v>
      </c>
      <c r="K158" s="188" cm="1">
        <f t="array" ref="K158">IFERROR(
(SUMIFS(Calc_TUV_NetGroup_2[Powercor],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SUMIFS(Calc_TUV_NetGroup_2[Powercor],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7.7818093461869797E-2</v>
      </c>
      <c r="L158" s="188" cm="1">
        <f t="array" ref="L158">IFERROR(
(SUMIFS(Calc_TUV_NetGroup_2[United Energy],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SUMIFS(Calc_TUV_NetGroup_2[United Energy],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3.5126537362516849E-2</v>
      </c>
      <c r="O158" s="78"/>
    </row>
    <row r="159" spans="3:15" hidden="1" outlineLevel="1" x14ac:dyDescent="0.25">
      <c r="C159" s="23" t="s">
        <v>556</v>
      </c>
      <c r="D159" s="23" t="s">
        <v>108</v>
      </c>
      <c r="E159" s="181" t="s">
        <v>109</v>
      </c>
      <c r="F159" s="23" t="s">
        <v>93</v>
      </c>
      <c r="G159" s="23" t="s">
        <v>121</v>
      </c>
      <c r="H159" s="188" cm="1">
        <f t="array" ref="H159">IFERROR(
(SUMIFS(Calc_TUV_NetGroup_2[Ausnet],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SUMIFS(Calc_TUV_NetGroup_2[Ausnet],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0.14155426304843055</v>
      </c>
      <c r="I159" s="188" cm="1">
        <f t="array" ref="I159">IFERROR(
(SUMIFS(Calc_TUV_NetGroup_2[Citipower],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SUMIFS(Calc_TUV_NetGroup_2[Citipower],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5.0997769858831137E-2</v>
      </c>
      <c r="J159" s="188" cm="1">
        <f t="array" ref="J159">IFERROR(
(SUMIFS(Calc_TUV_NetGroup_2[Jemena],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SUMIFS(Calc_TUV_NetGroup_2[Jemena],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0.14652115442345531</v>
      </c>
      <c r="K159" s="188" cm="1">
        <f t="array" ref="K159">IFERROR(
(SUMIFS(Calc_TUV_NetGroup_2[Powercor],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SUMIFS(Calc_TUV_NetGroup_2[Powercor],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6.5334232735095366E-2</v>
      </c>
      <c r="L159" s="188" cm="1">
        <f t="array" ref="L159">IFERROR(
(SUMIFS(Calc_TUV_NetGroup_2[United Energy],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SUMIFS(Calc_TUV_NetGroup_2[United Energy],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-4.0499060250920585E-3</v>
      </c>
    </row>
    <row r="160" spans="3:15" hidden="1" outlineLevel="1" x14ac:dyDescent="0.25">
      <c r="C160" s="23" t="s">
        <v>557</v>
      </c>
      <c r="D160" s="23" t="s">
        <v>108</v>
      </c>
      <c r="E160" s="181" t="s">
        <v>109</v>
      </c>
      <c r="F160" s="23" t="s">
        <v>92</v>
      </c>
      <c r="G160" s="23" t="s">
        <v>121</v>
      </c>
      <c r="H160" s="188" cm="1">
        <f t="array" ref="H160">IFERROR(
(SUMIFS(Calc_TUV_NetGroup_2[Ausnet],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SUMIFS(Calc_TUV_NetGroup_2[Ausnet],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-3.5347295640949759E-2</v>
      </c>
      <c r="I160" s="188" cm="1">
        <f t="array" ref="I160">IFERROR(
(SUMIFS(Calc_TUV_NetGroup_2[Citipower],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SUMIFS(Calc_TUV_NetGroup_2[Citipower],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8.191292949868044E-2</v>
      </c>
      <c r="J160" s="188" cm="1">
        <f t="array" ref="J160">IFERROR(
(SUMIFS(Calc_TUV_NetGroup_2[Jemena],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SUMIFS(Calc_TUV_NetGroup_2[Jemena],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-2.0508647156825287E-2</v>
      </c>
      <c r="K160" s="188" cm="1">
        <f t="array" ref="K160">IFERROR(
(SUMIFS(Calc_TUV_NetGroup_2[Powercor],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SUMIFS(Calc_TUV_NetGroup_2[Powercor],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6.1968521810324292E-2</v>
      </c>
      <c r="L160" s="188" cm="1">
        <f t="array" ref="L160">IFERROR(
(SUMIFS(Calc_TUV_NetGroup_2[United Energy],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SUMIFS(Calc_TUV_NetGroup_2[United Energy],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2.7021712120602229E-2</v>
      </c>
    </row>
    <row r="161" spans="2:12" hidden="1" outlineLevel="1" x14ac:dyDescent="0.25">
      <c r="C161" s="23" t="s">
        <v>557</v>
      </c>
      <c r="D161" s="23" t="s">
        <v>108</v>
      </c>
      <c r="E161" s="181" t="s">
        <v>109</v>
      </c>
      <c r="F161" s="23" t="s">
        <v>93</v>
      </c>
      <c r="G161" s="23" t="s">
        <v>121</v>
      </c>
      <c r="H161" s="188" cm="1">
        <f t="array" ref="H161">IFERROR(
(SUMIFS(Calc_TUV_NetGroup_2[Ausnet],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SUMIFS(Calc_TUV_NetGroup_2[Ausnet],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-0.32925474284111511</v>
      </c>
      <c r="I161" s="188" cm="1">
        <f t="array" ref="I161">IFERROR(
(SUMIFS(Calc_TUV_NetGroup_2[Citipower],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SUMIFS(Calc_TUV_NetGroup_2[Citipower],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2.0161263023850056E-2</v>
      </c>
      <c r="J161" s="188" cm="1">
        <f t="array" ref="J161">IFERROR(
(SUMIFS(Calc_TUV_NetGroup_2[Jemena],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SUMIFS(Calc_TUV_NetGroup_2[Jemena],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5.7153640043026116E-2</v>
      </c>
      <c r="K161" s="188" cm="1">
        <f t="array" ref="K161">IFERROR(
(SUMIFS(Calc_TUV_NetGroup_2[Powercor],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SUMIFS(Calc_TUV_NetGroup_2[Powercor],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3.1607073842049929E-2</v>
      </c>
      <c r="L161" s="188" cm="1">
        <f t="array" ref="L161">IFERROR(
(SUMIFS(Calc_TUV_NetGroup_2[United Energy],
Calc_TUV_NetGroup_2[[Cost item]:[Cost item]],Calc_TUR_Net_2[[#This Row],[Rate type]:[Rate type]]&amp;" - supply",
Calc_TUV_NetGroup_2[[Customer type]:[Customer type]],Calc_TUR_Net_2[[#This Row],[Customer type]:[Customer type]],
Calc_TUV_NetGroup_2[[Cost element]:[Cost element]],Calc_TUR_Net_2[[#This Row],[Cost element]:[Cost element]])+
SUMIFS(Calc_TUV_NetGroup_2[United Energy],
Calc_TUV_NetGroup_2[[Cost item]:[Cost item]],Calc_TUR_Net_2[[#This Row],[Rate type]:[Rate type]]&amp;" - usage",
Calc_TUV_NetGroup_2[[Customer type]:[Customer type]],Calc_TUR_Net_2[[#This Row],[Customer type]:[Customer type]],
Calc_TUV_NetGroup_2[[Cost element]:[Cost element]],Calc_TUR_Net_2[[#This Row],[Cost element]:[Cost element]]))
/$E$154,"-")</f>
        <v>-3.4237314344040502E-2</v>
      </c>
    </row>
    <row r="162" spans="2:12" hidden="1" outlineLevel="1" x14ac:dyDescent="0.25">
      <c r="B162"/>
    </row>
    <row r="163" spans="2:12" ht="15.75" hidden="1" outlineLevel="1" x14ac:dyDescent="0.25">
      <c r="B163"/>
      <c r="C163" s="54" t="s">
        <v>753</v>
      </c>
      <c r="E163" s="297">
        <f>IFERROR((_xlfn.DAYS(E152,E151)+1)/DiY,"-")</f>
        <v>0.49589041095890413</v>
      </c>
    </row>
    <row r="164" spans="2:12" ht="15.75" hidden="1" outlineLevel="1" x14ac:dyDescent="0.25">
      <c r="B164"/>
      <c r="C164" s="54" t="s">
        <v>752</v>
      </c>
      <c r="E164" s="298">
        <f>IFERROR(
INDEX(Input_Usage[[F-PreviousVDO_Input]:[F-CurrentVDO_Input]],MATCH("Residential - medium - Controlled load",Input_Usage[Ref],0),MATCH(Calc_TU_rates!$D$135,Inputs!$I$134:$M$134,0))*E163,"-")</f>
        <v>991.78082191780823</v>
      </c>
    </row>
    <row r="165" spans="2:12" ht="15.75" hidden="1" outlineLevel="1" x14ac:dyDescent="0.25">
      <c r="B165"/>
      <c r="C165" s="54" t="s">
        <v>793</v>
      </c>
      <c r="D165" s="82" t="str">
        <f>INDEX(Inputs!$H$10:$Q$10,1,MATCH($D$135,Inputs!$H$8:$Q$8,0))</f>
        <v>F-CurrentVDO_Input</v>
      </c>
      <c r="E165" s="297" cm="1">
        <f t="array" ref="E165">INDEX(Input_TUNet_Actual[],MATCH(1,(Input_TUNet_Actual[Item]="Total usage - Controlled Load")*(Input_TUNet_Actual[Customer type]="Residential")*(Input_TUNet_Actual[Month]="January 2021 to June 2021"),0),MATCH($D$165,Input_TUNet_Actual[#Headers],0))
/INDEX(Input_TUNet_Actual[],MATCH(1,(Input_TUNet_Actual[Item]="Total usage - Controlled Load")*(Input_TUNet_Actual[Customer type]="Residential")*(Input_TUNet_Actual[Month]="July 2020 to June 2021"),0),MATCH($D$165,Input_TUNet_Actual[#Headers],0))</f>
        <v>0.47733249931105343</v>
      </c>
    </row>
    <row r="166" spans="2:12" ht="15.75" hidden="1" outlineLevel="1" x14ac:dyDescent="0.25">
      <c r="B166"/>
      <c r="C166" s="54" t="s">
        <v>794</v>
      </c>
      <c r="E166" s="298">
        <f>IFERROR(
INDEX(Input_Usage[[F-PreviousVDO_Input]:[F-CurrentVDO_Input]],MATCH("Residential - medium - Controlled load",Input_Usage[Ref],0),MATCH(Calc_TU_rates!$D$135,Inputs!$I$134:$M$134,0))*E165,"-")</f>
        <v>954.66499862210685</v>
      </c>
    </row>
    <row r="167" spans="2:12" hidden="1" outlineLevel="1" x14ac:dyDescent="0.25">
      <c r="B167"/>
    </row>
    <row r="168" spans="2:12" ht="15.75" hidden="1" outlineLevel="1" x14ac:dyDescent="0.25">
      <c r="B168"/>
      <c r="C168" s="29" t="s">
        <v>751</v>
      </c>
    </row>
    <row r="169" spans="2:12" ht="15.75" hidden="1" outlineLevel="1" x14ac:dyDescent="0.25">
      <c r="B169"/>
      <c r="C169" s="43" t="s">
        <v>520</v>
      </c>
      <c r="D169" s="168" t="s">
        <v>102</v>
      </c>
      <c r="E169" s="168" t="s">
        <v>103</v>
      </c>
      <c r="F169" s="168" t="s">
        <v>91</v>
      </c>
      <c r="G169" s="168" t="s">
        <v>45</v>
      </c>
      <c r="H169" s="169" t="s">
        <v>268</v>
      </c>
      <c r="I169" s="169" t="s">
        <v>269</v>
      </c>
      <c r="J169" s="169" t="s">
        <v>270</v>
      </c>
      <c r="K169" s="169" t="s">
        <v>271</v>
      </c>
      <c r="L169" s="169" t="s">
        <v>272</v>
      </c>
    </row>
    <row r="170" spans="2:12" hidden="1" outlineLevel="1" x14ac:dyDescent="0.25">
      <c r="B170"/>
      <c r="C170" s="23" t="s">
        <v>287</v>
      </c>
      <c r="D170" s="23" t="s">
        <v>130</v>
      </c>
      <c r="E170" s="181" t="s">
        <v>109</v>
      </c>
      <c r="F170" s="23" t="s">
        <v>92</v>
      </c>
      <c r="G170" s="23" t="s">
        <v>121</v>
      </c>
      <c r="H170" s="188" cm="1">
        <f t="array" ref="H170">IFERROR(
(SUMIFS(Calc_TUV_NetGroup_2[Ausnet],
Calc_TUV_NetGroup_2[[Cost item]:[Cost item]],Calc_TUR_NetCL_2[[#This Row],[Rate type]:[Rate type]]&amp;" - supply",
Calc_TUV_NetGroup_2[[Customer type]:[Customer type]],Calc_TUR_NetCL_2[[#This Row],[Customer type]:[Customer type]],
Calc_TUV_NetGroup_2[[Cost element]:[Cost element]],Calc_TUR_NetCL_2[[#This Row],[Cost element]:[Cost element]])+
SUMIFS(Calc_TUV_NetGroup_2[Ausnet],
Calc_TUV_NetGroup_2[[Cost item]:[Cost item]],Calc_TUR_NetCL_2[[#This Row],[Rate type]:[Rate type]]&amp;" - usage",
Calc_TUV_NetGroup_2[[Customer type]:[Customer type]],Calc_TUR_NetCL_2[[#This Row],[Customer type]:[Customer type]],
Calc_TUV_NetGroup_2[[Cost element]:[Cost element]],Calc_TUR_NetCL_2[[#This Row],[Cost element]:[Cost element]]))
/$E$166,"-")</f>
        <v>2.3791062236162628E-3</v>
      </c>
      <c r="I170" s="188" cm="1">
        <f t="array" ref="I170">IFERROR(
(SUMIFS(Calc_TUV_NetGroup_2[Citipower],
Calc_TUV_NetGroup_2[[Cost item]:[Cost item]],Calc_TUR_NetCL_2[[#This Row],[Rate type]:[Rate type]]&amp;" - supply",
Calc_TUV_NetGroup_2[[Customer type]:[Customer type]],Calc_TUR_NetCL_2[[#This Row],[Customer type]:[Customer type]],
Calc_TUV_NetGroup_2[[Cost element]:[Cost element]],Calc_TUR_NetCL_2[[#This Row],[Cost element]:[Cost element]])+
SUMIFS(Calc_TUV_NetGroup_2[Citipower],
Calc_TUV_NetGroup_2[[Cost item]:[Cost item]],Calc_TUR_NetCL_2[[#This Row],[Rate type]:[Rate type]]&amp;" - usage",
Calc_TUV_NetGroup_2[[Customer type]:[Customer type]],Calc_TUR_NetCL_2[[#This Row],[Customer type]:[Customer type]],
Calc_TUV_NetGroup_2[[Cost element]:[Cost element]],Calc_TUR_NetCL_2[[#This Row],[Cost element]:[Cost element]]))
/$E$166,"-")</f>
        <v>2.2539525429423595E-3</v>
      </c>
      <c r="J170" s="188" cm="1">
        <f t="array" ref="J170">IFERROR(
(SUMIFS(Calc_TUV_NetGroup_2[Jemena],
Calc_TUV_NetGroup_2[[Cost item]:[Cost item]],Calc_TUR_NetCL_2[[#This Row],[Rate type]:[Rate type]]&amp;" - supply",
Calc_TUV_NetGroup_2[[Customer type]:[Customer type]],Calc_TUR_NetCL_2[[#This Row],[Customer type]:[Customer type]],
Calc_TUV_NetGroup_2[[Cost element]:[Cost element]],Calc_TUR_NetCL_2[[#This Row],[Cost element]:[Cost element]])+
SUMIFS(Calc_TUV_NetGroup_2[Jemena],
Calc_TUV_NetGroup_2[[Cost item]:[Cost item]],Calc_TUR_NetCL_2[[#This Row],[Rate type]:[Rate type]]&amp;" - usage",
Calc_TUV_NetGroup_2[[Customer type]:[Customer type]],Calc_TUR_NetCL_2[[#This Row],[Customer type]:[Customer type]],
Calc_TUV_NetGroup_2[[Cost element]:[Cost element]],Calc_TUR_NetCL_2[[#This Row],[Cost element]:[Cost element]]))
/$E$166,"-")</f>
        <v>4.0511831232358702E-3</v>
      </c>
      <c r="K170" s="188" cm="1">
        <f t="array" ref="K170">IFERROR(
(SUMIFS(Calc_TUV_NetGroup_2[Powercor],
Calc_TUV_NetGroup_2[[Cost item]:[Cost item]],Calc_TUR_NetCL_2[[#This Row],[Rate type]:[Rate type]]&amp;" - supply",
Calc_TUV_NetGroup_2[[Customer type]:[Customer type]],Calc_TUR_NetCL_2[[#This Row],[Customer type]:[Customer type]],
Calc_TUV_NetGroup_2[[Cost element]:[Cost element]],Calc_TUR_NetCL_2[[#This Row],[Cost element]:[Cost element]])+
SUMIFS(Calc_TUV_NetGroup_2[Powercor],
Calc_TUV_NetGroup_2[[Cost item]:[Cost item]],Calc_TUR_NetCL_2[[#This Row],[Rate type]:[Rate type]]&amp;" - usage",
Calc_TUV_NetGroup_2[[Customer type]:[Customer type]],Calc_TUR_NetCL_2[[#This Row],[Customer type]:[Customer type]],
Calc_TUV_NetGroup_2[[Cost element]:[Cost element]],Calc_TUR_NetCL_2[[#This Row],[Cost element]:[Cost element]]))
/$E$166,"-")</f>
        <v>1.4828635150936562E-3</v>
      </c>
      <c r="L170" s="188" cm="1">
        <f t="array" ref="L170">IFERROR(
(SUMIFS(Calc_TUV_NetGroup_2[United Energy],
Calc_TUV_NetGroup_2[[Cost item]:[Cost item]],Calc_TUR_NetCL_2[[#This Row],[Rate type]:[Rate type]]&amp;" - supply",
Calc_TUV_NetGroup_2[[Customer type]:[Customer type]],Calc_TUR_NetCL_2[[#This Row],[Customer type]:[Customer type]],
Calc_TUV_NetGroup_2[[Cost element]:[Cost element]],Calc_TUR_NetCL_2[[#This Row],[Cost element]:[Cost element]])+
SUMIFS(Calc_TUV_NetGroup_2[United Energy],
Calc_TUV_NetGroup_2[[Cost item]:[Cost item]],Calc_TUR_NetCL_2[[#This Row],[Rate type]:[Rate type]]&amp;" - usage",
Calc_TUV_NetGroup_2[[Customer type]:[Customer type]],Calc_TUR_NetCL_2[[#This Row],[Customer type]:[Customer type]],
Calc_TUV_NetGroup_2[[Cost element]:[Cost element]],Calc_TUR_NetCL_2[[#This Row],[Cost element]:[Cost element]]))
/$E$166,"-")</f>
        <v>2.6098397865648355E-3</v>
      </c>
    </row>
    <row r="171" spans="2:12" hidden="1" outlineLevel="1" x14ac:dyDescent="0.25">
      <c r="B171"/>
    </row>
    <row r="172" spans="2:12" ht="15.75" hidden="1" outlineLevel="1" x14ac:dyDescent="0.25">
      <c r="B172"/>
      <c r="C172" s="29" t="s">
        <v>607</v>
      </c>
    </row>
    <row r="173" spans="2:12" ht="15.75" hidden="1" outlineLevel="1" x14ac:dyDescent="0.25">
      <c r="B173"/>
      <c r="C173" s="167" t="s">
        <v>520</v>
      </c>
      <c r="D173" s="167" t="s">
        <v>102</v>
      </c>
      <c r="E173" s="167" t="s">
        <v>103</v>
      </c>
      <c r="F173" s="167" t="s">
        <v>91</v>
      </c>
      <c r="G173" s="200" t="s">
        <v>45</v>
      </c>
      <c r="H173" s="197" t="s">
        <v>268</v>
      </c>
      <c r="I173" s="197" t="s">
        <v>269</v>
      </c>
      <c r="J173" s="197" t="s">
        <v>270</v>
      </c>
      <c r="K173" s="197" t="s">
        <v>271</v>
      </c>
      <c r="L173" s="197" t="s">
        <v>272</v>
      </c>
    </row>
    <row r="174" spans="2:12" ht="15.75" hidden="1" outlineLevel="1" x14ac:dyDescent="0.25">
      <c r="B174"/>
      <c r="C174" s="23" t="s">
        <v>556</v>
      </c>
      <c r="D174" s="23" t="s">
        <v>108</v>
      </c>
      <c r="E174" s="23" t="s">
        <v>109</v>
      </c>
      <c r="F174" s="23" t="s">
        <v>92</v>
      </c>
      <c r="G174" s="59" t="s">
        <v>121</v>
      </c>
      <c r="H174" s="93">
        <f>IFERROR(
IF(
(SUMIFS(Calc_TUV_NetGroup_2[Ausnet],Calc_TUV_NetGroup_2[[Customer type]:[Customer type]],$F174,Calc_TUV_NetGroup_2[[Cost item]:[Cost item]],$C174&amp;" - supply")+
SUMIFS(Calc_TUV_NetGroup_2[Ausnet],Calc_TUV_NetGroup_2[[Customer type]:[Customer type]],$F174,Calc_TUV_NetGroup_2[[Cost item]:[Cost item]],$C174&amp;" - usage"))/
IF($C174&lt;&gt;"Controlled load",$E$154,$E$164)=H158,
0,1),"-")</f>
        <v>0</v>
      </c>
      <c r="I174" s="93">
        <f>IFERROR(
IF(
(SUMIFS(Calc_TUV_NetGroup_2[Citipower],Calc_TUV_NetGroup_2[[Customer type]:[Customer type]],$F174,Calc_TUV_NetGroup_2[[Cost item]:[Cost item]],$C174&amp;" - supply")+
SUMIFS(Calc_TUV_NetGroup_2[Citipower],Calc_TUV_NetGroup_2[[Customer type]:[Customer type]],$F174,Calc_TUV_NetGroup_2[[Cost item]:[Cost item]],$C174&amp;" - usage"))/
IF($C174&lt;&gt;"Controlled load",$E$154,$E$164)=I158,
0,1),"-")</f>
        <v>0</v>
      </c>
      <c r="J174" s="93">
        <f>IFERROR(
IF(
(SUMIFS(Calc_TUV_NetGroup_2[Jemena],Calc_TUV_NetGroup_2[[Customer type]:[Customer type]],$F174,Calc_TUV_NetGroup_2[[Cost item]:[Cost item]],$C174&amp;" - supply")+
SUMIFS(Calc_TUV_NetGroup_2[Jemena],Calc_TUV_NetGroup_2[[Customer type]:[Customer type]],$F174,Calc_TUV_NetGroup_2[[Cost item]:[Cost item]],$C174&amp;" - usage"))/
IF($C174&lt;&gt;"Controlled load",$E$154,$E$164)=J158,
0,1),"-")</f>
        <v>0</v>
      </c>
      <c r="K174" s="93">
        <f>IFERROR(
IF(
(SUMIFS(Calc_TUV_NetGroup_2[Powercor],Calc_TUV_NetGroup_2[[Customer type]:[Customer type]],$F174,Calc_TUV_NetGroup_2[[Cost item]:[Cost item]],$C174&amp;" - supply")+
SUMIFS(Calc_TUV_NetGroup_2[Powercor],Calc_TUV_NetGroup_2[[Customer type]:[Customer type]],$F174,Calc_TUV_NetGroup_2[[Cost item]:[Cost item]],$C174&amp;" - usage"))/
IF($C174&lt;&gt;"Controlled load",$E$154,$E$164)=K158,
0,1),"-")</f>
        <v>0</v>
      </c>
      <c r="L174" s="93">
        <f>IFERROR(
IF(
(SUMIFS(Calc_TUV_NetGroup_2[United Energy],Calc_TUV_NetGroup_2[[Customer type]:[Customer type]],$F174,Calc_TUV_NetGroup_2[[Cost item]:[Cost item]],$C174&amp;" - supply")+
SUMIFS(Calc_TUV_NetGroup_2[United Energy],Calc_TUV_NetGroup_2[[Customer type]:[Customer type]],$F174,Calc_TUV_NetGroup_2[[Cost item]:[Cost item]],$C174&amp;" - usage"))/
IF($C174&lt;&gt;"Controlled load",$E$154,$E$164)=L158,
0,1),"-")</f>
        <v>0</v>
      </c>
    </row>
    <row r="175" spans="2:12" ht="15.75" hidden="1" outlineLevel="1" x14ac:dyDescent="0.25">
      <c r="B175"/>
      <c r="C175" s="23" t="s">
        <v>556</v>
      </c>
      <c r="D175" s="23" t="s">
        <v>108</v>
      </c>
      <c r="E175" s="181" t="s">
        <v>109</v>
      </c>
      <c r="F175" s="23" t="s">
        <v>93</v>
      </c>
      <c r="G175" s="59" t="s">
        <v>121</v>
      </c>
      <c r="H175" s="93">
        <f>IFERROR(
IF(
(SUMIFS(Calc_TUV_NetGroup_2[Ausnet],Calc_TUV_NetGroup_2[[Customer type]:[Customer type]],$F175,Calc_TUV_NetGroup_2[[Cost item]:[Cost item]],$C175&amp;" - supply")+
SUMIFS(Calc_TUV_NetGroup_2[Ausnet],Calc_TUV_NetGroup_2[[Customer type]:[Customer type]],$F175,Calc_TUV_NetGroup_2[[Cost item]:[Cost item]],$C175&amp;" - usage"))/
IF($C175&lt;&gt;"Controlled load",$E$154,$E$164)=H159,
0,1),"-")</f>
        <v>0</v>
      </c>
      <c r="I175" s="93">
        <f>IFERROR(
IF(
(SUMIFS(Calc_TUV_NetGroup_2[Citipower],Calc_TUV_NetGroup_2[[Customer type]:[Customer type]],$F175,Calc_TUV_NetGroup_2[[Cost item]:[Cost item]],$C175&amp;" - supply")+
SUMIFS(Calc_TUV_NetGroup_2[Citipower],Calc_TUV_NetGroup_2[[Customer type]:[Customer type]],$F175,Calc_TUV_NetGroup_2[[Cost item]:[Cost item]],$C175&amp;" - usage"))/
IF($C175&lt;&gt;"Controlled load",$E$154,$E$164)=I159,
0,1),"-")</f>
        <v>0</v>
      </c>
      <c r="J175" s="93">
        <f>IFERROR(
IF(
(SUMIFS(Calc_TUV_NetGroup_2[Jemena],Calc_TUV_NetGroup_2[[Customer type]:[Customer type]],$F175,Calc_TUV_NetGroup_2[[Cost item]:[Cost item]],$C175&amp;" - supply")+
SUMIFS(Calc_TUV_NetGroup_2[Jemena],Calc_TUV_NetGroup_2[[Customer type]:[Customer type]],$F175,Calc_TUV_NetGroup_2[[Cost item]:[Cost item]],$C175&amp;" - usage"))/
IF($C175&lt;&gt;"Controlled load",$E$154,$E$164)=J159,
0,1),"-")</f>
        <v>0</v>
      </c>
      <c r="K175" s="93">
        <f>IFERROR(
IF(
(SUMIFS(Calc_TUV_NetGroup_2[Powercor],Calc_TUV_NetGroup_2[[Customer type]:[Customer type]],$F175,Calc_TUV_NetGroup_2[[Cost item]:[Cost item]],$C175&amp;" - supply")+
SUMIFS(Calc_TUV_NetGroup_2[Powercor],Calc_TUV_NetGroup_2[[Customer type]:[Customer type]],$F175,Calc_TUV_NetGroup_2[[Cost item]:[Cost item]],$C175&amp;" - usage"))/
IF($C175&lt;&gt;"Controlled load",$E$154,$E$164)=K159,
0,1),"-")</f>
        <v>0</v>
      </c>
      <c r="L175" s="93">
        <f>IFERROR(
IF(
(SUMIFS(Calc_TUV_NetGroup_2[United Energy],Calc_TUV_NetGroup_2[[Customer type]:[Customer type]],$F175,Calc_TUV_NetGroup_2[[Cost item]:[Cost item]],$C175&amp;" - supply")+
SUMIFS(Calc_TUV_NetGroup_2[United Energy],Calc_TUV_NetGroup_2[[Customer type]:[Customer type]],$F175,Calc_TUV_NetGroup_2[[Cost item]:[Cost item]],$C175&amp;" - usage"))/
IF($C175&lt;&gt;"Controlled load",$E$154,$E$164)=L159,
0,1),"-")</f>
        <v>0</v>
      </c>
    </row>
    <row r="176" spans="2:12" ht="15.75" hidden="1" outlineLevel="1" x14ac:dyDescent="0.25">
      <c r="B176"/>
      <c r="C176" s="23" t="s">
        <v>557</v>
      </c>
      <c r="D176" s="23" t="s">
        <v>108</v>
      </c>
      <c r="E176" s="181" t="s">
        <v>109</v>
      </c>
      <c r="F176" s="23" t="s">
        <v>92</v>
      </c>
      <c r="G176" s="59" t="s">
        <v>121</v>
      </c>
      <c r="H176" s="93">
        <f>IFERROR(
IF(
(SUMIFS(Calc_TUV_NetGroup_2[Ausnet],Calc_TUV_NetGroup_2[[Customer type]:[Customer type]],$F176,Calc_TUV_NetGroup_2[[Cost item]:[Cost item]],$C176&amp;" - supply")+
SUMIFS(Calc_TUV_NetGroup_2[Ausnet],Calc_TUV_NetGroup_2[[Customer type]:[Customer type]],$F176,Calc_TUV_NetGroup_2[[Cost item]:[Cost item]],$C176&amp;" - usage"))/
IF($C176&lt;&gt;"Controlled load",$E$154,$E$164)=H160,
0,1),"-")</f>
        <v>0</v>
      </c>
      <c r="I176" s="93">
        <f>IFERROR(
IF(
(SUMIFS(Calc_TUV_NetGroup_2[Citipower],Calc_TUV_NetGroup_2[[Customer type]:[Customer type]],$F176,Calc_TUV_NetGroup_2[[Cost item]:[Cost item]],$C176&amp;" - supply")+
SUMIFS(Calc_TUV_NetGroup_2[Citipower],Calc_TUV_NetGroup_2[[Customer type]:[Customer type]],$F176,Calc_TUV_NetGroup_2[[Cost item]:[Cost item]],$C176&amp;" - usage"))/
IF($C176&lt;&gt;"Controlled load",$E$154,$E$164)=I160,
0,1),"-")</f>
        <v>0</v>
      </c>
      <c r="J176" s="93">
        <f>IFERROR(
IF(
(SUMIFS(Calc_TUV_NetGroup_2[Jemena],Calc_TUV_NetGroup_2[[Customer type]:[Customer type]],$F176,Calc_TUV_NetGroup_2[[Cost item]:[Cost item]],$C176&amp;" - supply")+
SUMIFS(Calc_TUV_NetGroup_2[Jemena],Calc_TUV_NetGroup_2[[Customer type]:[Customer type]],$F176,Calc_TUV_NetGroup_2[[Cost item]:[Cost item]],$C176&amp;" - usage"))/
IF($C176&lt;&gt;"Controlled load",$E$154,$E$164)=J160,
0,1),"-")</f>
        <v>0</v>
      </c>
      <c r="K176" s="93">
        <f>IFERROR(
IF(
(SUMIFS(Calc_TUV_NetGroup_2[Powercor],Calc_TUV_NetGroup_2[[Customer type]:[Customer type]],$F176,Calc_TUV_NetGroup_2[[Cost item]:[Cost item]],$C176&amp;" - supply")+
SUMIFS(Calc_TUV_NetGroup_2[Powercor],Calc_TUV_NetGroup_2[[Customer type]:[Customer type]],$F176,Calc_TUV_NetGroup_2[[Cost item]:[Cost item]],$C176&amp;" - usage"))/
IF($C176&lt;&gt;"Controlled load",$E$154,$E$164)=K160,
0,1),"-")</f>
        <v>0</v>
      </c>
      <c r="L176" s="93">
        <f>IFERROR(
IF(
(SUMIFS(Calc_TUV_NetGroup_2[United Energy],Calc_TUV_NetGroup_2[[Customer type]:[Customer type]],$F176,Calc_TUV_NetGroup_2[[Cost item]:[Cost item]],$C176&amp;" - supply")+
SUMIFS(Calc_TUV_NetGroup_2[United Energy],Calc_TUV_NetGroup_2[[Customer type]:[Customer type]],$F176,Calc_TUV_NetGroup_2[[Cost item]:[Cost item]],$C176&amp;" - usage"))/
IF($C176&lt;&gt;"Controlled load",$E$154,$E$164)=L160,
0,1),"-")</f>
        <v>0</v>
      </c>
    </row>
    <row r="177" spans="2:12" ht="15.75" hidden="1" outlineLevel="1" x14ac:dyDescent="0.25">
      <c r="B177"/>
      <c r="C177" s="23" t="s">
        <v>557</v>
      </c>
      <c r="D177" s="23" t="s">
        <v>108</v>
      </c>
      <c r="E177" s="181" t="s">
        <v>109</v>
      </c>
      <c r="F177" s="23" t="s">
        <v>93</v>
      </c>
      <c r="G177" s="59" t="s">
        <v>121</v>
      </c>
      <c r="H177" s="93">
        <f>IFERROR(
IF(
(SUMIFS(Calc_TUV_NetGroup_2[Ausnet],Calc_TUV_NetGroup_2[[Customer type]:[Customer type]],$F177,Calc_TUV_NetGroup_2[[Cost item]:[Cost item]],$C177&amp;" - supply")+
SUMIFS(Calc_TUV_NetGroup_2[Ausnet],Calc_TUV_NetGroup_2[[Customer type]:[Customer type]],$F177,Calc_TUV_NetGroup_2[[Cost item]:[Cost item]],$C177&amp;" - usage"))/
IF($C177&lt;&gt;"Controlled load",$E$154,$E$164)=H161,
0,1),"-")</f>
        <v>0</v>
      </c>
      <c r="I177" s="93">
        <f>IFERROR(
IF(
(SUMIFS(Calc_TUV_NetGroup_2[Citipower],Calc_TUV_NetGroup_2[[Customer type]:[Customer type]],$F177,Calc_TUV_NetGroup_2[[Cost item]:[Cost item]],$C177&amp;" - supply")+
SUMIFS(Calc_TUV_NetGroup_2[Citipower],Calc_TUV_NetGroup_2[[Customer type]:[Customer type]],$F177,Calc_TUV_NetGroup_2[[Cost item]:[Cost item]],$C177&amp;" - usage"))/
IF($C177&lt;&gt;"Controlled load",$E$154,$E$164)=I161,
0,1),"-")</f>
        <v>0</v>
      </c>
      <c r="J177" s="93">
        <f>IFERROR(
IF(
(SUMIFS(Calc_TUV_NetGroup_2[Jemena],Calc_TUV_NetGroup_2[[Customer type]:[Customer type]],$F177,Calc_TUV_NetGroup_2[[Cost item]:[Cost item]],$C177&amp;" - supply")+
SUMIFS(Calc_TUV_NetGroup_2[Jemena],Calc_TUV_NetGroup_2[[Customer type]:[Customer type]],$F177,Calc_TUV_NetGroup_2[[Cost item]:[Cost item]],$C177&amp;" - usage"))/
IF($C177&lt;&gt;"Controlled load",$E$154,$E$164)=J161,
0,1),"-")</f>
        <v>0</v>
      </c>
      <c r="K177" s="93">
        <f>IFERROR(
IF(
(SUMIFS(Calc_TUV_NetGroup_2[Powercor],Calc_TUV_NetGroup_2[[Customer type]:[Customer type]],$F177,Calc_TUV_NetGroup_2[[Cost item]:[Cost item]],$C177&amp;" - supply")+
SUMIFS(Calc_TUV_NetGroup_2[Powercor],Calc_TUV_NetGroup_2[[Customer type]:[Customer type]],$F177,Calc_TUV_NetGroup_2[[Cost item]:[Cost item]],$C177&amp;" - usage"))/
IF($C177&lt;&gt;"Controlled load",$E$154,$E$164)=K161,
0,1),"-")</f>
        <v>0</v>
      </c>
      <c r="L177" s="93">
        <f>IFERROR(
IF(
(SUMIFS(Calc_TUV_NetGroup_2[United Energy],Calc_TUV_NetGroup_2[[Customer type]:[Customer type]],$F177,Calc_TUV_NetGroup_2[[Cost item]:[Cost item]],$C177&amp;" - supply")+
SUMIFS(Calc_TUV_NetGroup_2[United Energy],Calc_TUV_NetGroup_2[[Customer type]:[Customer type]],$F177,Calc_TUV_NetGroup_2[[Cost item]:[Cost item]],$C177&amp;" - usage"))/
IF($C177&lt;&gt;"Controlled load",$E$154,$E$164)=L161,
0,1),"-")</f>
        <v>0</v>
      </c>
    </row>
    <row r="178" spans="2:12" ht="15.75" hidden="1" outlineLevel="1" x14ac:dyDescent="0.25">
      <c r="B178"/>
      <c r="C178" s="23" t="s">
        <v>287</v>
      </c>
      <c r="D178" s="23" t="s">
        <v>130</v>
      </c>
      <c r="E178" s="181" t="s">
        <v>109</v>
      </c>
      <c r="F178" s="23" t="s">
        <v>92</v>
      </c>
      <c r="G178" s="59" t="s">
        <v>121</v>
      </c>
      <c r="H178" s="93">
        <f>IFERROR(
IF(
(SUMIFS(Calc_TUV_NetGroup_2[Ausnet],Calc_TUV_NetGroup_2[[Customer type]:[Customer type]],$F178,Calc_TUV_NetGroup_2[[Cost item]:[Cost item]],$C178&amp;" - supply")+
SUMIFS(Calc_TUV_NetGroup_2[Ausnet],Calc_TUV_NetGroup_2[[Customer type]:[Customer type]],$F178,Calc_TUV_NetGroup_2[[Cost item]:[Cost item]],$C178&amp;" - usage"))/
IF($C178&lt;&gt;"Controlled load",$E$154,$E$166)=H170,
0,1),"-")</f>
        <v>0</v>
      </c>
      <c r="I178" s="93">
        <f>IFERROR(
IF(
(SUMIFS(Calc_TUV_NetGroup_2[Citipower],Calc_TUV_NetGroup_2[[Customer type]:[Customer type]],$F178,Calc_TUV_NetGroup_2[[Cost item]:[Cost item]],$C178&amp;" - supply")+
SUMIFS(Calc_TUV_NetGroup_2[Citipower],Calc_TUV_NetGroup_2[[Customer type]:[Customer type]],$F178,Calc_TUV_NetGroup_2[[Cost item]:[Cost item]],$C178&amp;" - usage"))/
IF($C178&lt;&gt;"Controlled load",$E$154,$E$166)=I170,
0,1),"-")</f>
        <v>0</v>
      </c>
      <c r="J178" s="93">
        <f>IFERROR(
IF(
(SUMIFS(Calc_TUV_NetGroup_2[Jemena],Calc_TUV_NetGroup_2[[Customer type]:[Customer type]],$F178,Calc_TUV_NetGroup_2[[Cost item]:[Cost item]],$C178&amp;" - supply")+
SUMIFS(Calc_TUV_NetGroup_2[Jemena],Calc_TUV_NetGroup_2[[Customer type]:[Customer type]],$F178,Calc_TUV_NetGroup_2[[Cost item]:[Cost item]],$C178&amp;" - usage"))/
IF($C178&lt;&gt;"Controlled load",$E$154,$E$166)=J170,
0,1),"-")</f>
        <v>0</v>
      </c>
      <c r="K178" s="93">
        <f>IFERROR(
IF(
(SUMIFS(Calc_TUV_NetGroup_2[Powercor],Calc_TUV_NetGroup_2[[Customer type]:[Customer type]],$F178,Calc_TUV_NetGroup_2[[Cost item]:[Cost item]],$C178&amp;" - supply")+
SUMIFS(Calc_TUV_NetGroup_2[Powercor],Calc_TUV_NetGroup_2[[Customer type]:[Customer type]],$F178,Calc_TUV_NetGroup_2[[Cost item]:[Cost item]],$C178&amp;" - usage"))/
IF($C178&lt;&gt;"Controlled load",$E$154,$E$166)=K170,
0,1),"-")</f>
        <v>0</v>
      </c>
      <c r="L178" s="93">
        <f>IFERROR(
IF(
(SUMIFS(Calc_TUV_NetGroup_2[United Energy],Calc_TUV_NetGroup_2[[Customer type]:[Customer type]],$F178,Calc_TUV_NetGroup_2[[Cost item]:[Cost item]],$C178&amp;" - supply")+
SUMIFS(Calc_TUV_NetGroup_2[United Energy],Calc_TUV_NetGroup_2[[Customer type]:[Customer type]],$F178,Calc_TUV_NetGroup_2[[Cost item]:[Cost item]],$C178&amp;" - usage"))/
IF($C178&lt;&gt;"Controlled load",$E$154,$E$166)=L170,
0,1),"-")</f>
        <v>0</v>
      </c>
    </row>
    <row r="179" spans="2:12" x14ac:dyDescent="0.25">
      <c r="B179"/>
    </row>
    <row r="180" spans="2:12" ht="16.5" collapsed="1" thickBot="1" x14ac:dyDescent="0.3">
      <c r="B180" s="9">
        <f ca="1">MAX(B$3:B179)+0.1</f>
        <v>14.399999999999999</v>
      </c>
      <c r="C180" s="28" t="s">
        <v>601</v>
      </c>
      <c r="D180" s="28"/>
      <c r="E180" s="28"/>
      <c r="F180" s="28"/>
      <c r="G180" s="28"/>
      <c r="H180" s="28"/>
      <c r="I180" s="28"/>
      <c r="J180" s="28"/>
      <c r="K180" s="28"/>
      <c r="L180" s="28"/>
    </row>
    <row r="181" spans="2:12" hidden="1" outlineLevel="1" x14ac:dyDescent="0.25"/>
    <row r="182" spans="2:12" ht="15.75" hidden="1" outlineLevel="1" x14ac:dyDescent="0.25">
      <c r="C182" s="29" t="s">
        <v>608</v>
      </c>
    </row>
    <row r="183" spans="2:12" ht="15.75" hidden="1" outlineLevel="1" x14ac:dyDescent="0.25">
      <c r="C183" s="43" t="s">
        <v>46</v>
      </c>
      <c r="D183" s="43" t="s">
        <v>102</v>
      </c>
      <c r="E183" s="43" t="s">
        <v>103</v>
      </c>
      <c r="F183" s="43" t="s">
        <v>91</v>
      </c>
      <c r="G183" s="43" t="s">
        <v>45</v>
      </c>
      <c r="H183" s="60" t="s">
        <v>268</v>
      </c>
      <c r="I183" s="60" t="s">
        <v>269</v>
      </c>
      <c r="J183" s="60" t="s">
        <v>270</v>
      </c>
      <c r="K183" s="60" t="s">
        <v>271</v>
      </c>
      <c r="L183" s="60" t="s">
        <v>272</v>
      </c>
    </row>
    <row r="184" spans="2:12" hidden="1" outlineLevel="1" x14ac:dyDescent="0.25">
      <c r="C184" s="59" t="str">
        <f>IF(COUNTIFS(Calc_TUV_Env_2[Pass through (Yes/No)],"Yes",Calc_TUV_Env_2[Cost item],"Large-scale renewable energy target (LRET)")=1,"LRET True Up","-")</f>
        <v>LRET True Up</v>
      </c>
      <c r="D184" s="59" t="s">
        <v>130</v>
      </c>
      <c r="E184" s="59" t="s">
        <v>282</v>
      </c>
      <c r="F184" s="59" t="s">
        <v>110</v>
      </c>
      <c r="G184" s="59" t="s">
        <v>151</v>
      </c>
      <c r="H184" s="201" cm="1">
        <f t="array" ref="H184">IFERROR(SUMIFS(INDEX(Calc_TUV_Env_2[[Ausnet]:[United Energy]],0,MATCH(Calc_TUV_ENVGroup_2[[#Headers],[Ausnet]],Calc_TUV_Env_2[[#Headers],[Ausnet]:[United Energy]],0)),
Calc_TUV_Env_2[Cost item],Calc_TUV_ENVGroup_2[[#This Row],[Cost item]],
Calc_TUV_Env_2[Customer type],Calc_TUV_ENVGroup_2[[#This Row],[Customer type]]),"-")</f>
        <v>-1.290381301027009E-4</v>
      </c>
      <c r="I184" s="201">
        <f>IFERROR(SUMIFS(INDEX(Calc_TUV_Env_2[[Ausnet]:[United Energy]],0,MATCH(Calc_TUV_ENVGroup_2[[#Headers],[Citipower]],Calc_TUV_Env_2[[#Headers],[Ausnet]:[United Energy]],0)),
Calc_TUV_Env_2[Cost item],Calc_TUV_ENVGroup_2[[#This Row],[Cost item]],
Calc_TUV_Env_2[Customer type],Calc_TUV_ENVGroup_2[[#This Row],[Customer type]]),"-")</f>
        <v>-1.2680771952718899E-4</v>
      </c>
      <c r="J184" s="201" cm="1">
        <f t="array" ref="J184">IFERROR(SUMIFS(INDEX(Calc_TUV_Env_2[[Ausnet]:[United Energy]],0,MATCH(Calc_TUV_ENVGroup_2[[#Headers],[Jemena]],Calc_TUV_Env_2[[#Headers],[Ausnet]:[United Energy]],0)),
Calc_TUV_Env_2[Cost item],Calc_TUV_ENVGroup_2[[#This Row],[Cost item]],
Calc_TUV_Env_2[Customer type],Calc_TUV_ENVGroup_2[[#This Row],[Customer type]]),"-")</f>
        <v>-1.2548304982466096E-4</v>
      </c>
      <c r="K184" s="201" cm="1">
        <f t="array" ref="K184">IFERROR(SUMIFS(INDEX(Calc_TUV_Env_2[[Ausnet]:[United Energy]],0,MATCH(Calc_TUV_ENVGroup_2[[#Headers],[Powercor]],Calc_TUV_Env_2[[#Headers],[Ausnet]:[United Energy]],0)),
Calc_TUV_Env_2[Cost item],Calc_TUV_ENVGroup_2[[#This Row],[Cost item]],
Calc_TUV_Env_2[Customer type],Calc_TUV_ENVGroup_2[[#This Row],[Customer type]]),"-")</f>
        <v>-1.2952664283442074E-4</v>
      </c>
      <c r="L184" s="201" cm="1">
        <f t="array" ref="L184">IFERROR(SUMIFS(INDEX(Calc_TUV_Env_2[[Ausnet]:[United Energy]],0,MATCH(Calc_TUV_ENVGroup_2[[#Headers],[United Energy]],Calc_TUV_Env_2[[#Headers],[Ausnet]:[United Energy]],0)),
Calc_TUV_Env_2[Cost item],Calc_TUV_ENVGroup_2[[#This Row],[Cost item]],
Calc_TUV_Env_2[Customer type],Calc_TUV_ENVGroup_2[[#This Row],[Customer type]]),"-")</f>
        <v>-1.2727026118886396E-4</v>
      </c>
    </row>
    <row r="185" spans="2:12" hidden="1" outlineLevel="1" x14ac:dyDescent="0.25">
      <c r="C185" s="59" t="str">
        <f>IF(COUNTIFS(Calc_TUV_Env_2[Pass through (Yes/No)],"Yes",Calc_TUV_Env_2[Cost item],"Small-scale renewable energy scheme (SRES)")=1,"SRES True Up","-")</f>
        <v>SRES True Up</v>
      </c>
      <c r="D185" s="59" t="s">
        <v>130</v>
      </c>
      <c r="E185" s="59" t="s">
        <v>282</v>
      </c>
      <c r="F185" s="59" t="s">
        <v>110</v>
      </c>
      <c r="G185" s="59" t="s">
        <v>151</v>
      </c>
      <c r="H185" s="201" cm="1">
        <f t="array" ref="H185">IFERROR(SUMIFS(INDEX(Calc_TUV_Env_2[[Ausnet]:[United Energy]],0,MATCH(Calc_TUV_ENVGroup_2[[#Headers],[Ausnet]],Calc_TUV_Env_2[[#Headers],[Ausnet]:[United Energy]],0)),
Calc_TUV_Env_2[Cost item],Calc_TUV_ENVGroup_2[[#This Row],[Cost item]],
Calc_TUV_Env_2[Customer type],Calc_TUV_ENVGroup_2[[#This Row],[Customer type]]),"-")</f>
        <v>3.4352084792230904E-3</v>
      </c>
      <c r="I185" s="201" cm="1">
        <f t="array" ref="I185">IFERROR(SUMIFS(INDEX(Calc_TUV_Env_2[[Ausnet]:[United Energy]],0,MATCH(Calc_TUV_ENVGroup_2[[#Headers],[Citipower]],Calc_TUV_Env_2[[#Headers],[Ausnet]:[United Energy]],0)),
Calc_TUV_Env_2[Cost item],Calc_TUV_ENVGroup_2[[#This Row],[Cost item]],
Calc_TUV_Env_2[Customer type],Calc_TUV_ENVGroup_2[[#This Row],[Customer type]]),"-")</f>
        <v>3.3758312601402558E-3</v>
      </c>
      <c r="J185" s="201" cm="1">
        <f t="array" ref="J185">IFERROR(SUMIFS(INDEX(Calc_TUV_Env_2[[Ausnet]:[United Energy]],0,MATCH(Calc_TUV_ENVGroup_2[[#Headers],[Jemena]],Calc_TUV_Env_2[[#Headers],[Ausnet]:[United Energy]],0)),
Calc_TUV_Env_2[Cost item],Calc_TUV_ENVGroup_2[[#This Row],[Cost item]],
Calc_TUV_Env_2[Customer type],Calc_TUV_ENVGroup_2[[#This Row],[Customer type]]),"-")</f>
        <v>3.3405663613799248E-3</v>
      </c>
      <c r="K185" s="201" cm="1">
        <f t="array" ref="K185">IFERROR(SUMIFS(INDEX(Calc_TUV_Env_2[[Ausnet]:[United Energy]],0,MATCH(Calc_TUV_ENVGroup_2[[#Headers],[Powercor]],Calc_TUV_Env_2[[#Headers],[Ausnet]:[United Energy]],0)),
Calc_TUV_Env_2[Cost item],Calc_TUV_ENVGroup_2[[#This Row],[Cost item]],
Calc_TUV_Env_2[Customer type],Calc_TUV_ENVGroup_2[[#This Row],[Customer type]]),"-")</f>
        <v>3.448213496243073E-3</v>
      </c>
      <c r="L185" s="201" cm="1">
        <f t="array" ref="L185">IFERROR(SUMIFS(INDEX(Calc_TUV_Env_2[[Ausnet]:[United Energy]],0,MATCH(Calc_TUV_ENVGroup_2[[#Headers],[United Energy]],Calc_TUV_Env_2[[#Headers],[Ausnet]:[United Energy]],0)),
Calc_TUV_Env_2[Cost item],Calc_TUV_ENVGroup_2[[#This Row],[Cost item]],
Calc_TUV_Env_2[Customer type],Calc_TUV_ENVGroup_2[[#This Row],[Customer type]]),"-")</f>
        <v>3.3881448843140964E-3</v>
      </c>
    </row>
    <row r="186" spans="2:12" hidden="1" outlineLevel="1" x14ac:dyDescent="0.25">
      <c r="C186" s="59" t="str">
        <f>IF(COUNTIFS(Calc_TUV_Env_2[Pass through (Yes/No)],"Yes",Calc_TUV_Env_2[Cost item],"Victorian energy upgrades (VEU)")=1,"VEU True Up","-")</f>
        <v>-</v>
      </c>
      <c r="D186" s="59" t="s">
        <v>130</v>
      </c>
      <c r="E186" s="59" t="s">
        <v>282</v>
      </c>
      <c r="F186" s="59" t="s">
        <v>110</v>
      </c>
      <c r="G186" s="59" t="s">
        <v>151</v>
      </c>
      <c r="H186" s="201" cm="1">
        <f t="array" ref="H186">IFERROR(SUMIFS(INDEX(Calc_TUV_Env_2[[Ausnet]:[United Energy]],0,MATCH(Calc_TUV_ENVGroup_2[[#Headers],[Ausnet]],Calc_TUV_Env_2[[#Headers],[Ausnet]:[United Energy]],0)),
Calc_TUV_Env_2[Cost item],Calc_TUV_ENVGroup_2[[#This Row],[Cost item]],
Calc_TUV_Env_2[Customer type],Calc_TUV_ENVGroup_2[[#This Row],[Customer type]]),"-")</f>
        <v>0</v>
      </c>
      <c r="I186" s="201" cm="1">
        <f t="array" ref="I186">IFERROR(SUMIFS(INDEX(Calc_TUV_Env_2[[Ausnet]:[United Energy]],0,MATCH(Calc_TUV_ENVGroup_2[[#Headers],[Citipower]],Calc_TUV_Env_2[[#Headers],[Ausnet]:[United Energy]],0)),
Calc_TUV_Env_2[Cost item],Calc_TUV_ENVGroup_2[[#This Row],[Cost item]],
Calc_TUV_Env_2[Customer type],Calc_TUV_ENVGroup_2[[#This Row],[Customer type]]),"-")</f>
        <v>0</v>
      </c>
      <c r="J186" s="201" cm="1">
        <f t="array" ref="J186">IFERROR(SUMIFS(INDEX(Calc_TUV_Env_2[[Ausnet]:[United Energy]],0,MATCH(Calc_TUV_ENVGroup_2[[#Headers],[Jemena]],Calc_TUV_Env_2[[#Headers],[Ausnet]:[United Energy]],0)),
Calc_TUV_Env_2[Cost item],Calc_TUV_ENVGroup_2[[#This Row],[Cost item]],
Calc_TUV_Env_2[Customer type],Calc_TUV_ENVGroup_2[[#This Row],[Customer type]]),"-")</f>
        <v>0</v>
      </c>
      <c r="K186" s="201" cm="1">
        <f t="array" ref="K186">IFERROR(SUMIFS(INDEX(Calc_TUV_Env_2[[Ausnet]:[United Energy]],0,MATCH(Calc_TUV_ENVGroup_2[[#Headers],[Powercor]],Calc_TUV_Env_2[[#Headers],[Ausnet]:[United Energy]],0)),
Calc_TUV_Env_2[Cost item],Calc_TUV_ENVGroup_2[[#This Row],[Cost item]],
Calc_TUV_Env_2[Customer type],Calc_TUV_ENVGroup_2[[#This Row],[Customer type]]),"-")</f>
        <v>0</v>
      </c>
      <c r="L186" s="201" cm="1">
        <f t="array" ref="L186">IFERROR(SUMIFS(INDEX(Calc_TUV_Env_2[[Ausnet]:[United Energy]],0,MATCH(Calc_TUV_ENVGroup_2[[#Headers],[United Energy]],Calc_TUV_Env_2[[#Headers],[Ausnet]:[United Energy]],0)),
Calc_TUV_Env_2[Cost item],Calc_TUV_ENVGroup_2[[#This Row],[Cost item]],
Calc_TUV_Env_2[Customer type],Calc_TUV_ENVGroup_2[[#This Row],[Customer type]]),"-")</f>
        <v>0</v>
      </c>
    </row>
    <row r="187" spans="2:12" hidden="1" outlineLevel="1" x14ac:dyDescent="0.25"/>
    <row r="188" spans="2:12" ht="15.75" hidden="1" outlineLevel="1" x14ac:dyDescent="0.25">
      <c r="C188" s="54" t="s">
        <v>756</v>
      </c>
      <c r="D188" t="s">
        <v>587</v>
      </c>
      <c r="E188" s="82" t="str">
        <f>INDEX(Input_DecisionActual[Decision],MATCH(Calc_TU_rates!E189,Input_DecisionActual[Actual],0),1)</f>
        <v>VDO 2021 - Final</v>
      </c>
      <c r="F188" s="76">
        <f>INDEX(Input_TU_Periods[[F-PreviousVDO_Input]:[F-CurrentVDO_Input]],1,MATCH(Calc_TU_rates!E188,Inputs!$F$238:$J$238,0))</f>
        <v>365</v>
      </c>
      <c r="H188" s="342">
        <f>H184*1000</f>
        <v>-0.1290381301027009</v>
      </c>
      <c r="I188" s="342">
        <f t="shared" ref="I188:L188" si="0">I184*1000</f>
        <v>-0.126807719527189</v>
      </c>
      <c r="J188" s="342">
        <f t="shared" si="0"/>
        <v>-0.12548304982466096</v>
      </c>
      <c r="K188" s="342">
        <f t="shared" si="0"/>
        <v>-0.12952664283442072</v>
      </c>
      <c r="L188" s="342">
        <f t="shared" si="0"/>
        <v>-0.12727026118886395</v>
      </c>
    </row>
    <row r="189" spans="2:12" ht="15.75" hidden="1" outlineLevel="1" x14ac:dyDescent="0.25">
      <c r="C189" s="54" t="s">
        <v>756</v>
      </c>
      <c r="D189" t="s">
        <v>586</v>
      </c>
      <c r="E189" s="82" t="str">
        <f>D135</f>
        <v>VDO 2022 - Final</v>
      </c>
      <c r="F189" s="76">
        <f>INDEX(Input_TU_Periods[[F-PreviousVDO_Input]:[F-CurrentVDO_Input]],1,MATCH(Calc_TU_rates!E189,Inputs!$F$238:$J$238,0))</f>
        <v>181</v>
      </c>
      <c r="H189" s="342">
        <f>H185*1000</f>
        <v>3.4352084792230904</v>
      </c>
      <c r="I189" s="342">
        <f t="shared" ref="I189:L189" si="1">I185*1000</f>
        <v>3.3758312601402558</v>
      </c>
      <c r="J189" s="342">
        <f t="shared" si="1"/>
        <v>3.3405663613799246</v>
      </c>
      <c r="K189" s="342">
        <f t="shared" si="1"/>
        <v>3.4482134962430728</v>
      </c>
      <c r="L189" s="342">
        <f t="shared" si="1"/>
        <v>3.3881448843140962</v>
      </c>
    </row>
    <row r="190" spans="2:12" ht="15.75" hidden="1" outlineLevel="1" x14ac:dyDescent="0.25">
      <c r="C190" s="54" t="s">
        <v>755</v>
      </c>
      <c r="F190" s="299">
        <f>F188/F189</f>
        <v>2.0165745856353592</v>
      </c>
    </row>
    <row r="191" spans="2:12" hidden="1" outlineLevel="1" x14ac:dyDescent="0.25"/>
    <row r="192" spans="2:12" ht="15.75" hidden="1" outlineLevel="1" x14ac:dyDescent="0.25">
      <c r="C192" s="29" t="s">
        <v>605</v>
      </c>
    </row>
    <row r="193" spans="3:12" ht="15.75" hidden="1" outlineLevel="1" x14ac:dyDescent="0.25">
      <c r="C193" s="43" t="s">
        <v>520</v>
      </c>
      <c r="D193" s="43" t="s">
        <v>313</v>
      </c>
      <c r="E193" s="43" t="s">
        <v>103</v>
      </c>
      <c r="F193" s="43" t="s">
        <v>91</v>
      </c>
      <c r="G193" s="43" t="s">
        <v>45</v>
      </c>
      <c r="H193" s="60" t="s">
        <v>268</v>
      </c>
      <c r="I193" s="60" t="s">
        <v>269</v>
      </c>
      <c r="J193" s="60" t="s">
        <v>270</v>
      </c>
      <c r="K193" s="60" t="s">
        <v>271</v>
      </c>
      <c r="L193" s="60" t="s">
        <v>272</v>
      </c>
    </row>
    <row r="194" spans="3:12" hidden="1" outlineLevel="1" x14ac:dyDescent="0.25">
      <c r="C194" s="59" t="s">
        <v>549</v>
      </c>
      <c r="D194" s="59" t="s">
        <v>602</v>
      </c>
      <c r="E194" s="59" t="s">
        <v>282</v>
      </c>
      <c r="F194" s="59" t="s">
        <v>92</v>
      </c>
      <c r="G194" s="59" t="s">
        <v>151</v>
      </c>
      <c r="H194" s="203" t="str" cm="1">
        <f t="array" ref="H194">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v>
      </c>
      <c r="I194" s="203" cm="1">
        <f t="array" ref="I194">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-2.55717224460906E-4</v>
      </c>
      <c r="J194" s="203" cm="1">
        <f t="array" ref="J194">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-2.5304592920442681E-4</v>
      </c>
      <c r="K194" s="203" cm="1">
        <f t="array" ref="K194">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-2.6120013610256114E-4</v>
      </c>
      <c r="L194" s="203" cm="1">
        <f t="array" ref="L194">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-2.5664997422063728E-4</v>
      </c>
    </row>
    <row r="195" spans="3:12" hidden="1" outlineLevel="1" x14ac:dyDescent="0.25">
      <c r="C195" s="59" t="s">
        <v>549</v>
      </c>
      <c r="D195" s="59" t="s">
        <v>602</v>
      </c>
      <c r="E195" s="59" t="s">
        <v>282</v>
      </c>
      <c r="F195" s="59" t="s">
        <v>93</v>
      </c>
      <c r="G195" s="59" t="s">
        <v>151</v>
      </c>
      <c r="H195" s="203" t="str" cm="1">
        <f t="array" ref="H195">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v>
      </c>
      <c r="I195" s="203" cm="1">
        <f t="array" ref="I195">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-2.55717224460906E-4</v>
      </c>
      <c r="J195" s="203" cm="1">
        <f t="array" ref="J195">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-2.5304592920442681E-4</v>
      </c>
      <c r="K195" s="203" cm="1">
        <f t="array" ref="K195">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-2.6120013610256114E-4</v>
      </c>
      <c r="L195" s="203" cm="1">
        <f t="array" ref="L195">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-2.5664997422063728E-4</v>
      </c>
    </row>
    <row r="196" spans="3:12" hidden="1" outlineLevel="1" x14ac:dyDescent="0.25">
      <c r="C196" s="59" t="s">
        <v>221</v>
      </c>
      <c r="D196" s="59" t="s">
        <v>602</v>
      </c>
      <c r="E196" s="59" t="s">
        <v>282</v>
      </c>
      <c r="F196" s="59" t="s">
        <v>92</v>
      </c>
      <c r="G196" s="59" t="s">
        <v>151</v>
      </c>
      <c r="H196" s="203" cm="1">
        <f t="array" ref="H196">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-2.6021501374301562E-4</v>
      </c>
      <c r="I196" s="203" t="str" cm="1">
        <f t="array" ref="I196">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196" s="203" t="str" cm="1">
        <f t="array" ref="J196">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196" s="203" t="str" cm="1">
        <f t="array" ref="K196">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196" s="203" t="str" cm="1">
        <f t="array" ref="L196">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row>
    <row r="197" spans="3:12" hidden="1" outlineLevel="1" x14ac:dyDescent="0.25">
      <c r="C197" s="59" t="s">
        <v>221</v>
      </c>
      <c r="D197" s="59" t="s">
        <v>602</v>
      </c>
      <c r="E197" s="59" t="s">
        <v>282</v>
      </c>
      <c r="F197" s="59" t="s">
        <v>93</v>
      </c>
      <c r="G197" s="59" t="s">
        <v>151</v>
      </c>
      <c r="H197" s="203" cm="1">
        <f t="array" ref="H197">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-2.6021501374301562E-4</v>
      </c>
      <c r="I197" s="203" t="str" cm="1">
        <f t="array" ref="I197">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197" s="203" t="str" cm="1">
        <f t="array" ref="J197">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197" s="203" t="str" cm="1">
        <f t="array" ref="K197">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197" s="203" t="str" cm="1">
        <f t="array" ref="L197">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row>
    <row r="198" spans="3:12" hidden="1" outlineLevel="1" x14ac:dyDescent="0.25">
      <c r="C198" s="59" t="s">
        <v>228</v>
      </c>
      <c r="D198" s="59" t="s">
        <v>602</v>
      </c>
      <c r="E198" s="59" t="s">
        <v>282</v>
      </c>
      <c r="F198" s="59" t="s">
        <v>92</v>
      </c>
      <c r="G198" s="59" t="s">
        <v>151</v>
      </c>
      <c r="H198" s="203" cm="1">
        <f t="array" ref="H198">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-2.6021501374301562E-4</v>
      </c>
      <c r="I198" s="203" t="str" cm="1">
        <f t="array" ref="I198">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198" s="203" t="str" cm="1">
        <f t="array" ref="J198">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198" s="203" t="str" cm="1">
        <f t="array" ref="K198">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198" s="203" t="str" cm="1">
        <f t="array" ref="L198">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row>
    <row r="199" spans="3:12" hidden="1" outlineLevel="1" x14ac:dyDescent="0.25">
      <c r="C199" s="59" t="s">
        <v>228</v>
      </c>
      <c r="D199" s="59" t="s">
        <v>602</v>
      </c>
      <c r="E199" s="59" t="s">
        <v>282</v>
      </c>
      <c r="F199" s="59" t="s">
        <v>93</v>
      </c>
      <c r="G199" s="59" t="s">
        <v>151</v>
      </c>
      <c r="H199" s="203" cm="1">
        <f t="array" ref="H199">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-2.6021501374301562E-4</v>
      </c>
      <c r="I199" s="203" t="str" cm="1">
        <f t="array" ref="I199">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199" s="203" t="str" cm="1">
        <f t="array" ref="J199">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199" s="203" t="str" cm="1">
        <f t="array" ref="K199">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199" s="203" t="str" cm="1">
        <f t="array" ref="L199">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row>
    <row r="200" spans="3:12" hidden="1" outlineLevel="1" x14ac:dyDescent="0.25">
      <c r="C200" s="59" t="s">
        <v>287</v>
      </c>
      <c r="D200" s="59" t="s">
        <v>602</v>
      </c>
      <c r="E200" s="59" t="s">
        <v>282</v>
      </c>
      <c r="F200" s="59" t="s">
        <v>92</v>
      </c>
      <c r="G200" s="59" t="s">
        <v>151</v>
      </c>
      <c r="H200" s="203" cm="1">
        <f t="array" ref="H200">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-2.6021501374301562E-4</v>
      </c>
      <c r="I200" s="203" cm="1">
        <f t="array" ref="I200">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-2.55717224460906E-4</v>
      </c>
      <c r="J200" s="203" cm="1">
        <f t="array" ref="J200">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-2.5304592920442681E-4</v>
      </c>
      <c r="K200" s="203" cm="1">
        <f t="array" ref="K200">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-2.6120013610256114E-4</v>
      </c>
      <c r="L200" s="203" cm="1">
        <f t="array" ref="L200">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-2.5664997422063728E-4</v>
      </c>
    </row>
    <row r="201" spans="3:12" hidden="1" outlineLevel="1" x14ac:dyDescent="0.25">
      <c r="C201" s="59" t="s">
        <v>230</v>
      </c>
      <c r="D201" s="59" t="s">
        <v>602</v>
      </c>
      <c r="E201" s="59" t="s">
        <v>282</v>
      </c>
      <c r="F201" s="59" t="s">
        <v>92</v>
      </c>
      <c r="G201" s="59" t="s">
        <v>151</v>
      </c>
      <c r="H201" s="203" cm="1">
        <f t="array" ref="H201">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-2.6021501374301562E-4</v>
      </c>
      <c r="I201" s="203" cm="1">
        <f t="array" ref="I201">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-2.55717224460906E-4</v>
      </c>
      <c r="J201" s="203" cm="1">
        <f t="array" ref="J201">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-2.5304592920442681E-4</v>
      </c>
      <c r="K201" s="203" cm="1">
        <f t="array" ref="K201">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-2.6120013610256114E-4</v>
      </c>
      <c r="L201" s="203" cm="1">
        <f t="array" ref="L201">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-2.5664997422063728E-4</v>
      </c>
    </row>
    <row r="202" spans="3:12" hidden="1" outlineLevel="1" x14ac:dyDescent="0.25">
      <c r="C202" s="59" t="s">
        <v>230</v>
      </c>
      <c r="D202" s="59" t="s">
        <v>602</v>
      </c>
      <c r="E202" s="59" t="s">
        <v>282</v>
      </c>
      <c r="F202" s="59" t="s">
        <v>93</v>
      </c>
      <c r="G202" s="59" t="s">
        <v>151</v>
      </c>
      <c r="H202" s="203" cm="1">
        <f t="array" ref="H202">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-2.6021501374301562E-4</v>
      </c>
      <c r="I202" s="203" cm="1">
        <f t="array" ref="I202">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-2.55717224460906E-4</v>
      </c>
      <c r="J202" s="203" cm="1">
        <f t="array" ref="J202">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-2.5304592920442681E-4</v>
      </c>
      <c r="K202" s="203" cm="1">
        <f t="array" ref="K202">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-2.6120013610256114E-4</v>
      </c>
      <c r="L202" s="203" cm="1">
        <f t="array" ref="L202">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-2.5664997422063728E-4</v>
      </c>
    </row>
    <row r="203" spans="3:12" hidden="1" outlineLevel="1" x14ac:dyDescent="0.25">
      <c r="C203" s="59" t="s">
        <v>609</v>
      </c>
      <c r="D203" s="59" t="s">
        <v>602</v>
      </c>
      <c r="E203" s="59" t="s">
        <v>282</v>
      </c>
      <c r="F203" s="59" t="s">
        <v>92</v>
      </c>
      <c r="G203" s="59" t="s">
        <v>151</v>
      </c>
      <c r="H203" s="203" cm="1">
        <f t="array" ref="H203">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-2.6021501374301562E-4</v>
      </c>
      <c r="I203" s="203" cm="1">
        <f t="array" ref="I203">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-2.55717224460906E-4</v>
      </c>
      <c r="J203" s="203" cm="1">
        <f t="array" ref="J203">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-2.5304592920442681E-4</v>
      </c>
      <c r="K203" s="203" cm="1">
        <f t="array" ref="K203">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-2.6120013610256114E-4</v>
      </c>
      <c r="L203" s="203" cm="1">
        <f t="array" ref="L203">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-2.5664997422063728E-4</v>
      </c>
    </row>
    <row r="204" spans="3:12" hidden="1" outlineLevel="1" x14ac:dyDescent="0.25">
      <c r="C204" s="59" t="s">
        <v>609</v>
      </c>
      <c r="D204" s="59" t="s">
        <v>602</v>
      </c>
      <c r="E204" s="59" t="s">
        <v>282</v>
      </c>
      <c r="F204" s="59" t="s">
        <v>93</v>
      </c>
      <c r="G204" s="59" t="s">
        <v>151</v>
      </c>
      <c r="H204" s="203" cm="1">
        <f t="array" ref="H204">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-2.6021501374301562E-4</v>
      </c>
      <c r="I204" s="203" cm="1">
        <f t="array" ref="I204">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-2.55717224460906E-4</v>
      </c>
      <c r="J204" s="203" cm="1">
        <f t="array" ref="J204">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-2.5304592920442681E-4</v>
      </c>
      <c r="K204" s="203" cm="1">
        <f t="array" ref="K204">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-2.6120013610256114E-4</v>
      </c>
      <c r="L204" s="203" cm="1">
        <f t="array" ref="L204">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-2.5664997422063728E-4</v>
      </c>
    </row>
    <row r="205" spans="3:12" hidden="1" outlineLevel="1" x14ac:dyDescent="0.25">
      <c r="C205" s="59" t="s">
        <v>549</v>
      </c>
      <c r="D205" s="59" t="s">
        <v>603</v>
      </c>
      <c r="E205" s="59" t="s">
        <v>282</v>
      </c>
      <c r="F205" s="59" t="s">
        <v>92</v>
      </c>
      <c r="G205" s="59" t="s">
        <v>151</v>
      </c>
      <c r="H205" s="203" t="str" cm="1">
        <f t="array" ref="H205">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v>
      </c>
      <c r="I205" s="203" cm="1">
        <f t="array" ref="I205">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6.8076155245922285E-3</v>
      </c>
      <c r="J205" s="203" cm="1">
        <f t="array" ref="J205">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6.7365012259871411E-3</v>
      </c>
      <c r="K205" s="203" cm="1">
        <f t="array" ref="K205">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6.9535797023686282E-3</v>
      </c>
      <c r="L205" s="203" cm="1">
        <f t="array" ref="L205">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6.8324468661582613E-3</v>
      </c>
    </row>
    <row r="206" spans="3:12" hidden="1" outlineLevel="1" x14ac:dyDescent="0.25">
      <c r="C206" s="59" t="s">
        <v>549</v>
      </c>
      <c r="D206" s="59" t="s">
        <v>603</v>
      </c>
      <c r="E206" s="59" t="s">
        <v>282</v>
      </c>
      <c r="F206" s="59" t="s">
        <v>93</v>
      </c>
      <c r="G206" s="59" t="s">
        <v>151</v>
      </c>
      <c r="H206" s="203" t="str" cm="1">
        <f t="array" ref="H206">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v>
      </c>
      <c r="I206" s="203" cm="1">
        <f t="array" ref="I206">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6.8076155245922285E-3</v>
      </c>
      <c r="J206" s="203" cm="1">
        <f t="array" ref="J206">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6.7365012259871411E-3</v>
      </c>
      <c r="K206" s="203" cm="1">
        <f t="array" ref="K206">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6.9535797023686282E-3</v>
      </c>
      <c r="L206" s="203" cm="1">
        <f t="array" ref="L206">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6.8324468661582613E-3</v>
      </c>
    </row>
    <row r="207" spans="3:12" hidden="1" outlineLevel="1" x14ac:dyDescent="0.25">
      <c r="C207" s="59" t="s">
        <v>221</v>
      </c>
      <c r="D207" s="59" t="s">
        <v>603</v>
      </c>
      <c r="E207" s="59" t="s">
        <v>282</v>
      </c>
      <c r="F207" s="59" t="s">
        <v>92</v>
      </c>
      <c r="G207" s="59" t="s">
        <v>151</v>
      </c>
      <c r="H207" s="203" cm="1">
        <f t="array" ref="H207">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6.9273541155603757E-3</v>
      </c>
      <c r="I207" s="203" t="str" cm="1">
        <f t="array" ref="I207">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207" s="203" t="str" cm="1">
        <f t="array" ref="J207">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207" s="203" t="str" cm="1">
        <f t="array" ref="K207">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207" s="203" t="str" cm="1">
        <f t="array" ref="L207">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row>
    <row r="208" spans="3:12" hidden="1" outlineLevel="1" x14ac:dyDescent="0.25">
      <c r="C208" s="59" t="s">
        <v>221</v>
      </c>
      <c r="D208" s="59" t="s">
        <v>603</v>
      </c>
      <c r="E208" s="59" t="s">
        <v>282</v>
      </c>
      <c r="F208" s="59" t="s">
        <v>93</v>
      </c>
      <c r="G208" s="59" t="s">
        <v>151</v>
      </c>
      <c r="H208" s="203" cm="1">
        <f t="array" ref="H208">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6.9273541155603757E-3</v>
      </c>
      <c r="I208" s="203" t="str" cm="1">
        <f t="array" ref="I208">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208" s="203" t="str" cm="1">
        <f t="array" ref="J208">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208" s="203" t="str" cm="1">
        <f t="array" ref="K208">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208" s="203" t="str" cm="1">
        <f t="array" ref="L208">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row>
    <row r="209" spans="3:18" hidden="1" outlineLevel="1" x14ac:dyDescent="0.25">
      <c r="C209" s="59" t="s">
        <v>228</v>
      </c>
      <c r="D209" s="59" t="s">
        <v>603</v>
      </c>
      <c r="E209" s="59" t="s">
        <v>282</v>
      </c>
      <c r="F209" s="59" t="s">
        <v>92</v>
      </c>
      <c r="G209" s="59" t="s">
        <v>151</v>
      </c>
      <c r="H209" s="203" cm="1">
        <f t="array" ref="H209">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6.9273541155603757E-3</v>
      </c>
      <c r="I209" s="203" t="str" cm="1">
        <f t="array" ref="I209">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209" s="203" t="str" cm="1">
        <f t="array" ref="J209">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209" s="203" t="str" cm="1">
        <f t="array" ref="K209">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209" s="203" t="str" cm="1">
        <f t="array" ref="L209">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row>
    <row r="210" spans="3:18" hidden="1" outlineLevel="1" x14ac:dyDescent="0.25">
      <c r="C210" s="59" t="s">
        <v>228</v>
      </c>
      <c r="D210" s="59" t="s">
        <v>603</v>
      </c>
      <c r="E210" s="59" t="s">
        <v>282</v>
      </c>
      <c r="F210" s="59" t="s">
        <v>93</v>
      </c>
      <c r="G210" s="59" t="s">
        <v>151</v>
      </c>
      <c r="H210" s="203" cm="1">
        <f t="array" ref="H210">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6.9273541155603757E-3</v>
      </c>
      <c r="I210" s="203" t="str" cm="1">
        <f t="array" ref="I210">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210" s="203" t="str" cm="1">
        <f t="array" ref="J210">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210" s="203" t="str" cm="1">
        <f t="array" ref="K210">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210" s="203" t="str" cm="1">
        <f t="array" ref="L210">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c r="R210" s="300"/>
    </row>
    <row r="211" spans="3:18" hidden="1" outlineLevel="1" x14ac:dyDescent="0.25">
      <c r="C211" s="59" t="s">
        <v>287</v>
      </c>
      <c r="D211" s="59" t="s">
        <v>603</v>
      </c>
      <c r="E211" s="59" t="s">
        <v>282</v>
      </c>
      <c r="F211" s="59" t="s">
        <v>92</v>
      </c>
      <c r="G211" s="59" t="s">
        <v>151</v>
      </c>
      <c r="H211" s="203" cm="1">
        <f t="array" ref="H211">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6.9273541155603757E-3</v>
      </c>
      <c r="I211" s="203" cm="1">
        <f t="array" ref="I211">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6.8076155245922285E-3</v>
      </c>
      <c r="J211" s="203" cm="1">
        <f t="array" ref="J211">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6.7365012259871411E-3</v>
      </c>
      <c r="K211" s="203" cm="1">
        <f t="array" ref="K211">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6.9535797023686282E-3</v>
      </c>
      <c r="L211" s="203" cm="1">
        <f t="array" ref="L211">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6.8324468661582613E-3</v>
      </c>
    </row>
    <row r="212" spans="3:18" hidden="1" outlineLevel="1" x14ac:dyDescent="0.25">
      <c r="C212" s="59" t="s">
        <v>230</v>
      </c>
      <c r="D212" s="59" t="s">
        <v>603</v>
      </c>
      <c r="E212" s="59" t="s">
        <v>282</v>
      </c>
      <c r="F212" s="59" t="s">
        <v>92</v>
      </c>
      <c r="G212" s="59" t="s">
        <v>151</v>
      </c>
      <c r="H212" s="203" cm="1">
        <f t="array" ref="H212">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6.9273541155603757E-3</v>
      </c>
      <c r="I212" s="203" cm="1">
        <f t="array" ref="I212">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6.8076155245922285E-3</v>
      </c>
      <c r="J212" s="203" cm="1">
        <f t="array" ref="J212">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6.7365012259871411E-3</v>
      </c>
      <c r="K212" s="203" cm="1">
        <f t="array" ref="K212">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6.9535797023686282E-3</v>
      </c>
      <c r="L212" s="203" cm="1">
        <f t="array" ref="L212">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6.8324468661582613E-3</v>
      </c>
    </row>
    <row r="213" spans="3:18" hidden="1" outlineLevel="1" x14ac:dyDescent="0.25">
      <c r="C213" s="59" t="s">
        <v>230</v>
      </c>
      <c r="D213" s="59" t="s">
        <v>603</v>
      </c>
      <c r="E213" s="59" t="s">
        <v>282</v>
      </c>
      <c r="F213" s="59" t="s">
        <v>93</v>
      </c>
      <c r="G213" s="59" t="s">
        <v>151</v>
      </c>
      <c r="H213" s="203" cm="1">
        <f t="array" ref="H213">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6.9273541155603757E-3</v>
      </c>
      <c r="I213" s="203" cm="1">
        <f t="array" ref="I213">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6.8076155245922285E-3</v>
      </c>
      <c r="J213" s="203" cm="1">
        <f t="array" ref="J213">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6.7365012259871411E-3</v>
      </c>
      <c r="K213" s="203" cm="1">
        <f t="array" ref="K213">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6.9535797023686282E-3</v>
      </c>
      <c r="L213" s="203" cm="1">
        <f t="array" ref="L213">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6.8324468661582613E-3</v>
      </c>
    </row>
    <row r="214" spans="3:18" hidden="1" outlineLevel="1" x14ac:dyDescent="0.25">
      <c r="C214" s="59" t="s">
        <v>609</v>
      </c>
      <c r="D214" s="59" t="s">
        <v>603</v>
      </c>
      <c r="E214" s="59" t="s">
        <v>282</v>
      </c>
      <c r="F214" s="59" t="s">
        <v>92</v>
      </c>
      <c r="G214" s="59" t="s">
        <v>151</v>
      </c>
      <c r="H214" s="203" cm="1">
        <f t="array" ref="H214">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6.9273541155603757E-3</v>
      </c>
      <c r="I214" s="203" cm="1">
        <f t="array" ref="I214">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6.8076155245922285E-3</v>
      </c>
      <c r="J214" s="203" cm="1">
        <f t="array" ref="J214">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6.7365012259871411E-3</v>
      </c>
      <c r="K214" s="203" cm="1">
        <f t="array" ref="K214">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6.9535797023686282E-3</v>
      </c>
      <c r="L214" s="203" cm="1">
        <f t="array" ref="L214">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6.8324468661582613E-3</v>
      </c>
    </row>
    <row r="215" spans="3:18" hidden="1" outlineLevel="1" x14ac:dyDescent="0.25">
      <c r="C215" s="59" t="s">
        <v>609</v>
      </c>
      <c r="D215" s="59" t="s">
        <v>603</v>
      </c>
      <c r="E215" s="59" t="s">
        <v>282</v>
      </c>
      <c r="F215" s="59" t="s">
        <v>93</v>
      </c>
      <c r="G215" s="59" t="s">
        <v>151</v>
      </c>
      <c r="H215" s="203" cm="1">
        <f t="array" ref="H215">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6.9273541155603757E-3</v>
      </c>
      <c r="I215" s="203" cm="1">
        <f t="array" ref="I215">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6.8076155245922285E-3</v>
      </c>
      <c r="J215" s="203" cm="1">
        <f t="array" ref="J215">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6.7365012259871411E-3</v>
      </c>
      <c r="K215" s="203" cm="1">
        <f t="array" ref="K215">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6.9535797023686282E-3</v>
      </c>
      <c r="L215" s="203" cm="1">
        <f t="array" ref="L215">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6.8324468661582613E-3</v>
      </c>
    </row>
    <row r="216" spans="3:18" hidden="1" outlineLevel="1" x14ac:dyDescent="0.25">
      <c r="C216" s="59" t="s">
        <v>549</v>
      </c>
      <c r="D216" s="59" t="s">
        <v>604</v>
      </c>
      <c r="E216" s="59" t="s">
        <v>282</v>
      </c>
      <c r="F216" s="59" t="s">
        <v>92</v>
      </c>
      <c r="G216" s="59" t="s">
        <v>151</v>
      </c>
      <c r="H216" s="203" t="str" cm="1">
        <f t="array" ref="H216">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v>
      </c>
      <c r="I216" s="203" cm="1">
        <f t="array" ref="I216">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0</v>
      </c>
      <c r="J216" s="203" cm="1">
        <f t="array" ref="J216">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0</v>
      </c>
      <c r="K216" s="203" cm="1">
        <f t="array" ref="K216">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0</v>
      </c>
      <c r="L216" s="203" cm="1">
        <f t="array" ref="L216">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0</v>
      </c>
    </row>
    <row r="217" spans="3:18" hidden="1" outlineLevel="1" x14ac:dyDescent="0.25">
      <c r="C217" s="59" t="s">
        <v>549</v>
      </c>
      <c r="D217" s="59" t="s">
        <v>604</v>
      </c>
      <c r="E217" s="59" t="s">
        <v>282</v>
      </c>
      <c r="F217" s="59" t="s">
        <v>93</v>
      </c>
      <c r="G217" s="59" t="s">
        <v>151</v>
      </c>
      <c r="H217" s="203" t="str" cm="1">
        <f t="array" ref="H217">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v>
      </c>
      <c r="I217" s="203" cm="1">
        <f t="array" ref="I217">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0</v>
      </c>
      <c r="J217" s="203" cm="1">
        <f t="array" ref="J217">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0</v>
      </c>
      <c r="K217" s="203" cm="1">
        <f t="array" ref="K217">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0</v>
      </c>
      <c r="L217" s="203" cm="1">
        <f t="array" ref="L217">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0</v>
      </c>
    </row>
    <row r="218" spans="3:18" hidden="1" outlineLevel="1" x14ac:dyDescent="0.25">
      <c r="C218" s="59" t="s">
        <v>221</v>
      </c>
      <c r="D218" s="59" t="s">
        <v>604</v>
      </c>
      <c r="E218" s="59" t="s">
        <v>282</v>
      </c>
      <c r="F218" s="59" t="s">
        <v>92</v>
      </c>
      <c r="G218" s="59" t="s">
        <v>151</v>
      </c>
      <c r="H218" s="203" cm="1">
        <f t="array" ref="H218">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0</v>
      </c>
      <c r="I218" s="203" t="str" cm="1">
        <f t="array" ref="I218">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218" s="203" t="str" cm="1">
        <f t="array" ref="J218">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218" s="203" t="str" cm="1">
        <f t="array" ref="K218">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218" s="203" t="str" cm="1">
        <f t="array" ref="L218">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row>
    <row r="219" spans="3:18" hidden="1" outlineLevel="1" x14ac:dyDescent="0.25">
      <c r="C219" s="59" t="s">
        <v>221</v>
      </c>
      <c r="D219" s="59" t="s">
        <v>604</v>
      </c>
      <c r="E219" s="59" t="s">
        <v>282</v>
      </c>
      <c r="F219" s="59" t="s">
        <v>93</v>
      </c>
      <c r="G219" s="59" t="s">
        <v>151</v>
      </c>
      <c r="H219" s="203" cm="1">
        <f t="array" ref="H219">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0</v>
      </c>
      <c r="I219" s="203" t="str" cm="1">
        <f t="array" ref="I219">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219" s="203" t="str" cm="1">
        <f t="array" ref="J219">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219" s="203" t="str" cm="1">
        <f t="array" ref="K219">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219" s="203" t="str" cm="1">
        <f t="array" ref="L219">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row>
    <row r="220" spans="3:18" hidden="1" outlineLevel="1" x14ac:dyDescent="0.25">
      <c r="C220" s="59" t="s">
        <v>287</v>
      </c>
      <c r="D220" s="59" t="s">
        <v>604</v>
      </c>
      <c r="E220" s="59" t="s">
        <v>282</v>
      </c>
      <c r="F220" s="59" t="s">
        <v>92</v>
      </c>
      <c r="G220" s="59" t="s">
        <v>151</v>
      </c>
      <c r="H220" s="203" cm="1">
        <f t="array" ref="H220">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0</v>
      </c>
      <c r="I220" s="203" cm="1">
        <f t="array" ref="I220">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0</v>
      </c>
      <c r="J220" s="203" cm="1">
        <f t="array" ref="J220">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0</v>
      </c>
      <c r="K220" s="203" cm="1">
        <f t="array" ref="K220">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0</v>
      </c>
      <c r="L220" s="203" cm="1">
        <f t="array" ref="L220">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0</v>
      </c>
    </row>
    <row r="221" spans="3:18" hidden="1" outlineLevel="1" x14ac:dyDescent="0.25">
      <c r="C221" s="59" t="s">
        <v>228</v>
      </c>
      <c r="D221" s="59" t="s">
        <v>604</v>
      </c>
      <c r="E221" s="59" t="s">
        <v>282</v>
      </c>
      <c r="F221" s="59" t="s">
        <v>92</v>
      </c>
      <c r="G221" s="59" t="s">
        <v>151</v>
      </c>
      <c r="H221" s="203" cm="1">
        <f t="array" ref="H221">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0</v>
      </c>
      <c r="I221" s="203" t="str" cm="1">
        <f t="array" ref="I221">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221" s="203" t="str" cm="1">
        <f t="array" ref="J221">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221" s="203" t="str" cm="1">
        <f t="array" ref="K221">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221" s="203" t="str" cm="1">
        <f t="array" ref="L221">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row>
    <row r="222" spans="3:18" hidden="1" outlineLevel="1" x14ac:dyDescent="0.25">
      <c r="C222" s="59" t="s">
        <v>228</v>
      </c>
      <c r="D222" s="59" t="s">
        <v>604</v>
      </c>
      <c r="E222" s="59" t="s">
        <v>282</v>
      </c>
      <c r="F222" s="59" t="s">
        <v>93</v>
      </c>
      <c r="G222" s="59" t="s">
        <v>151</v>
      </c>
      <c r="H222" s="203" cm="1">
        <f t="array" ref="H222">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0</v>
      </c>
      <c r="I222" s="203" t="str" cm="1">
        <f t="array" ref="I222">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v>
      </c>
      <c r="J222" s="203" t="str" cm="1">
        <f t="array" ref="J222">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v>
      </c>
      <c r="K222" s="203" t="str" cm="1">
        <f t="array" ref="K222">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v>
      </c>
      <c r="L222" s="203" t="str" cm="1">
        <f t="array" ref="L222">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v>
      </c>
    </row>
    <row r="223" spans="3:18" hidden="1" outlineLevel="1" x14ac:dyDescent="0.25">
      <c r="C223" s="59" t="s">
        <v>230</v>
      </c>
      <c r="D223" s="59" t="s">
        <v>604</v>
      </c>
      <c r="E223" s="59" t="s">
        <v>282</v>
      </c>
      <c r="F223" s="59" t="s">
        <v>92</v>
      </c>
      <c r="G223" s="59" t="s">
        <v>151</v>
      </c>
      <c r="H223" s="203" cm="1">
        <f t="array" ref="H223">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0</v>
      </c>
      <c r="I223" s="203" cm="1">
        <f t="array" ref="I223">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0</v>
      </c>
      <c r="J223" s="203" cm="1">
        <f t="array" ref="J223">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0</v>
      </c>
      <c r="K223" s="203" cm="1">
        <f t="array" ref="K223">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0</v>
      </c>
      <c r="L223" s="203" cm="1">
        <f t="array" ref="L223">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0</v>
      </c>
    </row>
    <row r="224" spans="3:18" hidden="1" outlineLevel="1" x14ac:dyDescent="0.25">
      <c r="C224" s="59" t="s">
        <v>230</v>
      </c>
      <c r="D224" s="59" t="s">
        <v>604</v>
      </c>
      <c r="E224" s="59" t="s">
        <v>282</v>
      </c>
      <c r="F224" s="59" t="s">
        <v>93</v>
      </c>
      <c r="G224" s="59" t="s">
        <v>151</v>
      </c>
      <c r="H224" s="203" cm="1">
        <f t="array" ref="H224">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0</v>
      </c>
      <c r="I224" s="203" cm="1">
        <f t="array" ref="I224">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0</v>
      </c>
      <c r="J224" s="203" cm="1">
        <f t="array" ref="J224">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0</v>
      </c>
      <c r="K224" s="203" cm="1">
        <f t="array" ref="K224">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0</v>
      </c>
      <c r="L224" s="203" cm="1">
        <f t="array" ref="L224">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0</v>
      </c>
    </row>
    <row r="225" spans="3:12" hidden="1" outlineLevel="1" x14ac:dyDescent="0.25">
      <c r="C225" s="59" t="s">
        <v>609</v>
      </c>
      <c r="D225" s="59" t="s">
        <v>604</v>
      </c>
      <c r="E225" s="59" t="s">
        <v>282</v>
      </c>
      <c r="F225" s="59" t="s">
        <v>92</v>
      </c>
      <c r="G225" s="59" t="s">
        <v>151</v>
      </c>
      <c r="H225" s="203" cm="1">
        <f t="array" ref="H225">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0</v>
      </c>
      <c r="I225" s="203" cm="1">
        <f t="array" ref="I225">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0</v>
      </c>
      <c r="J225" s="203" cm="1">
        <f t="array" ref="J225">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0</v>
      </c>
      <c r="K225" s="203" cm="1">
        <f t="array" ref="K225">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0</v>
      </c>
      <c r="L225" s="203" cm="1">
        <f t="array" ref="L225">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0</v>
      </c>
    </row>
    <row r="226" spans="3:12" hidden="1" outlineLevel="1" x14ac:dyDescent="0.25">
      <c r="C226" s="59" t="s">
        <v>609</v>
      </c>
      <c r="D226" s="59" t="s">
        <v>604</v>
      </c>
      <c r="E226" s="59" t="s">
        <v>282</v>
      </c>
      <c r="F226" s="59" t="s">
        <v>93</v>
      </c>
      <c r="G226" s="59" t="s">
        <v>151</v>
      </c>
      <c r="H226" s="203" cm="1">
        <f t="array" ref="H226">IFERROR(
IF(OR(
AND(Calc_TUR_ENV_2[[#Headers],[Ausnet]]="Ausnet",Calc_TUR_ENV_2[[#This Row],[Rate type]:[Rate type]]="Single rate"),
AND(Calc_TUR_ENV_2[[#Headers],[Ausnet]]&lt;&gt;"Ausnet",OR(Calc_TUR_ENV_2[[#This Row],[Rate type]:[Rate type]]="Block 1",Calc_TUR_ENV_2[[#This Row],[Rate type]:[Rate type]]="Balance"))),"-",
SUMIFS(Calc_TUV_ENVGroup_2[Ausnet],
Calc_TUV_ENVGroup_2[[Cost item]:[Cost item]],Calc_TUR_ENV_2[[#This Row],[True up]:[True up]],
Calc_TUV_ENVGroup_2[[Cost element]:[Cost element]],Calc_TUR_ENV_2[[#This Row],[Cost element]:[Cost element]])
*
($F$188/$F$189)),"-")</f>
        <v>0</v>
      </c>
      <c r="I226" s="203" cm="1">
        <f t="array" ref="I226">IFERROR(
IF(OR(
AND(Calc_TUR_ENV_2[[#Headers],[Citipower]]="Ausnet",Calc_TUR_ENV_2[[#This Row],[Rate type]:[Rate type]]="Single rate"),
AND(Calc_TUR_ENV_2[[#Headers],[Citipower]]&lt;&gt;"Ausnet",OR(Calc_TUR_ENV_2[[#This Row],[Rate type]:[Rate type]]="Block 1",Calc_TUR_ENV_2[[#This Row],[Rate type]:[Rate type]]="Balance"))),"-",
SUMIFS(Calc_TUV_ENVGroup_2[Citipower],
Calc_TUV_ENVGroup_2[[Cost item]:[Cost item]],Calc_TUR_ENV_2[[#This Row],[True up]:[True up]],
Calc_TUV_ENVGroup_2[[Cost element]:[Cost element]],Calc_TUR_ENV_2[[#This Row],[Cost element]:[Cost element]])
*
($F$188/$F$189)),"-")</f>
        <v>0</v>
      </c>
      <c r="J226" s="203" cm="1">
        <f t="array" ref="J226">IFERROR(
IF(OR(
AND(Calc_TUR_ENV_2[[#Headers],[Jemena]]="Ausnet",Calc_TUR_ENV_2[[#This Row],[Rate type]:[Rate type]]="Single rate"),
AND(Calc_TUR_ENV_2[[#Headers],[Jemena]]&lt;&gt;"Ausnet",OR(Calc_TUR_ENV_2[[#This Row],[Rate type]:[Rate type]]="Block 1",Calc_TUR_ENV_2[[#This Row],[Rate type]:[Rate type]]="Balance"))),"-",
SUMIFS(Calc_TUV_ENVGroup_2[Jemena],
Calc_TUV_ENVGroup_2[[Cost item]:[Cost item]],Calc_TUR_ENV_2[[#This Row],[True up]:[True up]],
Calc_TUV_ENVGroup_2[[Cost element]:[Cost element]],Calc_TUR_ENV_2[[#This Row],[Cost element]:[Cost element]])
*
($F$188/$F$189)),"-")</f>
        <v>0</v>
      </c>
      <c r="K226" s="203" cm="1">
        <f t="array" ref="K226">IFERROR(
IF(OR(
AND(Calc_TUR_ENV_2[[#Headers],[Powercor]]="Ausnet",Calc_TUR_ENV_2[[#This Row],[Rate type]:[Rate type]]="Single rate"),
AND(Calc_TUR_ENV_2[[#Headers],[Powercor]]&lt;&gt;"Ausnet",OR(Calc_TUR_ENV_2[[#This Row],[Rate type]:[Rate type]]="Block 1",Calc_TUR_ENV_2[[#This Row],[Rate type]:[Rate type]]="Balance"))),"-",
SUMIFS(Calc_TUV_ENVGroup_2[Powercor],
Calc_TUV_ENVGroup_2[[Cost item]:[Cost item]],Calc_TUR_ENV_2[[#This Row],[True up]:[True up]],
Calc_TUV_ENVGroup_2[[Cost element]:[Cost element]],Calc_TUR_ENV_2[[#This Row],[Cost element]:[Cost element]])
*
($F$188/$F$189)),"-")</f>
        <v>0</v>
      </c>
      <c r="L226" s="203" cm="1">
        <f t="array" ref="L226">IFERROR(
IF(OR(
AND(Calc_TUR_ENV_2[[#Headers],[United Energy]]="Ausnet",Calc_TUR_ENV_2[[#This Row],[Rate type]:[Rate type]]="Single rate"),
AND(Calc_TUR_ENV_2[[#Headers],[United Energy]]&lt;&gt;"Ausnet",OR(Calc_TUR_ENV_2[[#This Row],[Rate type]:[Rate type]]="Block 1",Calc_TUR_ENV_2[[#This Row],[Rate type]:[Rate type]]="Balance"))),"-",
SUMIFS(Calc_TUV_ENVGroup_2[United Energy],
Calc_TUV_ENVGroup_2[[Cost item]:[Cost item]],Calc_TUR_ENV_2[[#This Row],[True up]:[True up]],
Calc_TUV_ENVGroup_2[[Cost element]:[Cost element]],Calc_TUR_ENV_2[[#This Row],[Cost element]:[Cost element]])
*
($F$188/$F$189)),"-")</f>
        <v>0</v>
      </c>
    </row>
    <row r="227" spans="3:12" hidden="1" outlineLevel="1" x14ac:dyDescent="0.25"/>
    <row r="228" spans="3:12" ht="15.75" hidden="1" outlineLevel="1" x14ac:dyDescent="0.25">
      <c r="C228" s="29" t="s">
        <v>606</v>
      </c>
    </row>
    <row r="229" spans="3:12" ht="15.75" hidden="1" outlineLevel="1" x14ac:dyDescent="0.25">
      <c r="C229" s="42" t="s">
        <v>520</v>
      </c>
      <c r="D229" s="42" t="s">
        <v>313</v>
      </c>
      <c r="E229" s="42" t="s">
        <v>103</v>
      </c>
      <c r="F229" s="42" t="s">
        <v>91</v>
      </c>
      <c r="G229" s="42" t="s">
        <v>45</v>
      </c>
      <c r="H229" s="50" t="s">
        <v>268</v>
      </c>
      <c r="I229" s="50" t="s">
        <v>269</v>
      </c>
      <c r="J229" s="50" t="s">
        <v>270</v>
      </c>
      <c r="K229" s="50" t="s">
        <v>271</v>
      </c>
      <c r="L229" s="50" t="s">
        <v>272</v>
      </c>
    </row>
    <row r="230" spans="3:12" ht="15.75" hidden="1" outlineLevel="1" x14ac:dyDescent="0.25">
      <c r="C230" s="59" t="s">
        <v>549</v>
      </c>
      <c r="D230" s="59" t="s">
        <v>602</v>
      </c>
      <c r="E230" s="59" t="s">
        <v>282</v>
      </c>
      <c r="F230" s="59" t="s">
        <v>92</v>
      </c>
      <c r="G230" s="59" t="s">
        <v>151</v>
      </c>
      <c r="H230" s="93" t="str">
        <f>IF(H194="-","-",
IF(
ROUND(H194,8)=
ROUND(SUMIFS(Calc_TUV_ENVGroup_2[Ausnet],Calc_TUV_ENVGroup_2[[Cost item]:[Cost item]],$D230,Calc_TUV_ENVGroup_2[[Cost element]:[Cost element]],$G230)*($F$188/$F$189),8),
0,1))</f>
        <v>-</v>
      </c>
      <c r="I230" s="93">
        <f>IF(I194="-","-",
IF(
ROUND(I194,8)=
ROUND(SUMIFS(Calc_TUV_ENVGroup_2[Citipower],Calc_TUV_ENVGroup_2[[Cost item]:[Cost item]],$D230,Calc_TUV_ENVGroup_2[[Cost element]:[Cost element]],$G230)*($F$188/$F$189),8),
0,1))</f>
        <v>0</v>
      </c>
      <c r="J230" s="93">
        <f>IF(J194="-","-",
IF(
ROUND(J194,8)=
ROUND(SUMIFS(Calc_TUV_ENVGroup_2[Jemena],Calc_TUV_ENVGroup_2[[Cost item]:[Cost item]],$D230,Calc_TUV_ENVGroup_2[[Cost element]:[Cost element]],$G230)*($F$188/$F$189),8),
0,1))</f>
        <v>0</v>
      </c>
      <c r="K230" s="93">
        <f>IF(K194="-","-",
IF(
ROUND(K194,8)=
ROUND(SUMIFS(Calc_TUV_ENVGroup_2[Powercor],Calc_TUV_ENVGroup_2[[Cost item]:[Cost item]],$D230,Calc_TUV_ENVGroup_2[[Cost element]:[Cost element]],$G230)*($F$188/$F$189),8),
0,1))</f>
        <v>0</v>
      </c>
      <c r="L230" s="93">
        <f>IF(L194="-","-",
IF(
ROUND(L194,8)=
ROUND(SUMIFS(Calc_TUV_ENVGroup_2[United Energy],Calc_TUV_ENVGroup_2[[Cost item]:[Cost item]],$D230,Calc_TUV_ENVGroup_2[[Cost element]:[Cost element]],$G230)*($F$188/$F$189),8),
0,1))</f>
        <v>0</v>
      </c>
    </row>
    <row r="231" spans="3:12" ht="15.75" hidden="1" outlineLevel="1" x14ac:dyDescent="0.25">
      <c r="C231" s="59" t="s">
        <v>549</v>
      </c>
      <c r="D231" s="59" t="s">
        <v>602</v>
      </c>
      <c r="E231" s="59" t="s">
        <v>282</v>
      </c>
      <c r="F231" s="59" t="s">
        <v>93</v>
      </c>
      <c r="G231" s="59" t="s">
        <v>151</v>
      </c>
      <c r="H231" s="93" t="str">
        <f>IF(H195="-","-",
IF(
ROUND(H195,8)=
ROUND(SUMIFS(Calc_TUV_ENVGroup_2[Ausnet],Calc_TUV_ENVGroup_2[[Cost item]:[Cost item]],$D231,Calc_TUV_ENVGroup_2[[Cost element]:[Cost element]],$G231)*($F$188/$F$189),8),
0,1))</f>
        <v>-</v>
      </c>
      <c r="I231" s="93">
        <f>IF(I195="-","-",
IF(
ROUND(I195,8)=
ROUND(SUMIFS(Calc_TUV_ENVGroup_2[Citipower],Calc_TUV_ENVGroup_2[[Cost item]:[Cost item]],$D231,Calc_TUV_ENVGroup_2[[Cost element]:[Cost element]],$G231)*($F$188/$F$189),8),
0,1))</f>
        <v>0</v>
      </c>
      <c r="J231" s="93">
        <f>IF(J195="-","-",
IF(
ROUND(J195,8)=
ROUND(SUMIFS(Calc_TUV_ENVGroup_2[Jemena],Calc_TUV_ENVGroup_2[[Cost item]:[Cost item]],$D231,Calc_TUV_ENVGroup_2[[Cost element]:[Cost element]],$G231)*($F$188/$F$189),8),
0,1))</f>
        <v>0</v>
      </c>
      <c r="K231" s="93">
        <f>IF(K195="-","-",
IF(
ROUND(K195,8)=
ROUND(SUMIFS(Calc_TUV_ENVGroup_2[Powercor],Calc_TUV_ENVGroup_2[[Cost item]:[Cost item]],$D231,Calc_TUV_ENVGroup_2[[Cost element]:[Cost element]],$G231)*($F$188/$F$189),8),
0,1))</f>
        <v>0</v>
      </c>
      <c r="L231" s="93">
        <f>IF(L195="-","-",
IF(
ROUND(L195,8)=
ROUND(SUMIFS(Calc_TUV_ENVGroup_2[United Energy],Calc_TUV_ENVGroup_2[[Cost item]:[Cost item]],$D231,Calc_TUV_ENVGroup_2[[Cost element]:[Cost element]],$G231)*($F$188/$F$189),8),
0,1))</f>
        <v>0</v>
      </c>
    </row>
    <row r="232" spans="3:12" ht="15.75" hidden="1" outlineLevel="1" x14ac:dyDescent="0.25">
      <c r="C232" s="59" t="s">
        <v>221</v>
      </c>
      <c r="D232" s="59" t="s">
        <v>602</v>
      </c>
      <c r="E232" s="59" t="s">
        <v>282</v>
      </c>
      <c r="F232" s="59" t="s">
        <v>92</v>
      </c>
      <c r="G232" s="59" t="s">
        <v>151</v>
      </c>
      <c r="H232" s="93">
        <f>IF(H196="-","-",
IF(
ROUND(H196,8)=
ROUND(SUMIFS(Calc_TUV_ENVGroup_2[Ausnet],Calc_TUV_ENVGroup_2[[Cost item]:[Cost item]],$D232,Calc_TUV_ENVGroup_2[[Cost element]:[Cost element]],$G232)*($F$188/$F$189),8),
0,1))</f>
        <v>0</v>
      </c>
      <c r="I232" s="93" t="str">
        <f>IF(I196="-","-",
IF(
ROUND(I196,8)=
ROUND(SUMIFS(Calc_TUV_ENVGroup_2[Citipower],Calc_TUV_ENVGroup_2[[Cost item]:[Cost item]],$D232,Calc_TUV_ENVGroup_2[[Cost element]:[Cost element]],$G232)*($F$188/$F$189),8),
0,1))</f>
        <v>-</v>
      </c>
      <c r="J232" s="93" t="str">
        <f>IF(J196="-","-",
IF(
ROUND(J196,8)=
ROUND(SUMIFS(Calc_TUV_ENVGroup_2[Jemena],Calc_TUV_ENVGroup_2[[Cost item]:[Cost item]],$D232,Calc_TUV_ENVGroup_2[[Cost element]:[Cost element]],$G232)*($F$188/$F$189),8),
0,1))</f>
        <v>-</v>
      </c>
      <c r="K232" s="93" t="str">
        <f>IF(K196="-","-",
IF(
ROUND(K196,8)=
ROUND(SUMIFS(Calc_TUV_ENVGroup_2[Powercor],Calc_TUV_ENVGroup_2[[Cost item]:[Cost item]],$D232,Calc_TUV_ENVGroup_2[[Cost element]:[Cost element]],$G232)*($F$188/$F$189),8),
0,1))</f>
        <v>-</v>
      </c>
      <c r="L232" s="93" t="str">
        <f>IF(L196="-","-",
IF(
ROUND(L196,8)=
ROUND(SUMIFS(Calc_TUV_ENVGroup_2[United Energy],Calc_TUV_ENVGroup_2[[Cost item]:[Cost item]],$D232,Calc_TUV_ENVGroup_2[[Cost element]:[Cost element]],$G232)*($F$188/$F$189),8),
0,1))</f>
        <v>-</v>
      </c>
    </row>
    <row r="233" spans="3:12" ht="15.75" hidden="1" outlineLevel="1" x14ac:dyDescent="0.25">
      <c r="C233" s="59" t="s">
        <v>221</v>
      </c>
      <c r="D233" s="59" t="s">
        <v>602</v>
      </c>
      <c r="E233" s="59" t="s">
        <v>282</v>
      </c>
      <c r="F233" s="59" t="s">
        <v>93</v>
      </c>
      <c r="G233" s="59" t="s">
        <v>151</v>
      </c>
      <c r="H233" s="93">
        <f>IF(H197="-","-",
IF(
ROUND(H197,8)=
ROUND(SUMIFS(Calc_TUV_ENVGroup_2[Ausnet],Calc_TUV_ENVGroup_2[[Cost item]:[Cost item]],$D233,Calc_TUV_ENVGroup_2[[Cost element]:[Cost element]],$G233)*($F$188/$F$189),8),
0,1))</f>
        <v>0</v>
      </c>
      <c r="I233" s="93" t="str">
        <f>IF(I197="-","-",
IF(
ROUND(I197,8)=
ROUND(SUMIFS(Calc_TUV_ENVGroup_2[Citipower],Calc_TUV_ENVGroup_2[[Cost item]:[Cost item]],$D233,Calc_TUV_ENVGroup_2[[Cost element]:[Cost element]],$G233)*($F$188/$F$189),8),
0,1))</f>
        <v>-</v>
      </c>
      <c r="J233" s="93" t="str">
        <f>IF(J197="-","-",
IF(
ROUND(J197,8)=
ROUND(SUMIFS(Calc_TUV_ENVGroup_2[Jemena],Calc_TUV_ENVGroup_2[[Cost item]:[Cost item]],$D233,Calc_TUV_ENVGroup_2[[Cost element]:[Cost element]],$G233)*($F$188/$F$189),8),
0,1))</f>
        <v>-</v>
      </c>
      <c r="K233" s="93" t="str">
        <f>IF(K197="-","-",
IF(
ROUND(K197,8)=
ROUND(SUMIFS(Calc_TUV_ENVGroup_2[Powercor],Calc_TUV_ENVGroup_2[[Cost item]:[Cost item]],$D233,Calc_TUV_ENVGroup_2[[Cost element]:[Cost element]],$G233)*($F$188/$F$189),8),
0,1))</f>
        <v>-</v>
      </c>
      <c r="L233" s="93" t="str">
        <f>IF(L197="-","-",
IF(
ROUND(L197,8)=
ROUND(SUMIFS(Calc_TUV_ENVGroup_2[United Energy],Calc_TUV_ENVGroup_2[[Cost item]:[Cost item]],$D233,Calc_TUV_ENVGroup_2[[Cost element]:[Cost element]],$G233)*($F$188/$F$189),8),
0,1))</f>
        <v>-</v>
      </c>
    </row>
    <row r="234" spans="3:12" ht="15.75" hidden="1" outlineLevel="1" x14ac:dyDescent="0.25">
      <c r="C234" s="59" t="s">
        <v>228</v>
      </c>
      <c r="D234" s="59" t="s">
        <v>602</v>
      </c>
      <c r="E234" s="59" t="s">
        <v>282</v>
      </c>
      <c r="F234" s="59" t="s">
        <v>92</v>
      </c>
      <c r="G234" s="59" t="s">
        <v>151</v>
      </c>
      <c r="H234" s="93">
        <f>IF(H198="-","-",
IF(
ROUND(H198,8)=
ROUND(SUMIFS(Calc_TUV_ENVGroup_2[Ausnet],Calc_TUV_ENVGroup_2[[Cost item]:[Cost item]],$D234,Calc_TUV_ENVGroup_2[[Cost element]:[Cost element]],$G234)*($F$188/$F$189),8),
0,1))</f>
        <v>0</v>
      </c>
      <c r="I234" s="93" t="str">
        <f>IF(I198="-","-",
IF(
ROUND(I198,8)=
ROUND(SUMIFS(Calc_TUV_ENVGroup_2[Citipower],Calc_TUV_ENVGroup_2[[Cost item]:[Cost item]],$D234,Calc_TUV_ENVGroup_2[[Cost element]:[Cost element]],$G234)*($F$188/$F$189),8),
0,1))</f>
        <v>-</v>
      </c>
      <c r="J234" s="93" t="str">
        <f>IF(J198="-","-",
IF(
ROUND(J198,8)=
ROUND(SUMIFS(Calc_TUV_ENVGroup_2[Jemena],Calc_TUV_ENVGroup_2[[Cost item]:[Cost item]],$D234,Calc_TUV_ENVGroup_2[[Cost element]:[Cost element]],$G234)*($F$188/$F$189),8),
0,1))</f>
        <v>-</v>
      </c>
      <c r="K234" s="93" t="str">
        <f>IF(K198="-","-",
IF(
ROUND(K198,8)=
ROUND(SUMIFS(Calc_TUV_ENVGroup_2[Powercor],Calc_TUV_ENVGroup_2[[Cost item]:[Cost item]],$D234,Calc_TUV_ENVGroup_2[[Cost element]:[Cost element]],$G234)*($F$188/$F$189),8),
0,1))</f>
        <v>-</v>
      </c>
      <c r="L234" s="93" t="str">
        <f>IF(L198="-","-",
IF(
ROUND(L198,8)=
ROUND(SUMIFS(Calc_TUV_ENVGroup_2[United Energy],Calc_TUV_ENVGroup_2[[Cost item]:[Cost item]],$D234,Calc_TUV_ENVGroup_2[[Cost element]:[Cost element]],$G234)*($F$188/$F$189),8),
0,1))</f>
        <v>-</v>
      </c>
    </row>
    <row r="235" spans="3:12" ht="15.75" hidden="1" outlineLevel="1" x14ac:dyDescent="0.25">
      <c r="C235" s="59" t="s">
        <v>228</v>
      </c>
      <c r="D235" s="59" t="s">
        <v>602</v>
      </c>
      <c r="E235" s="59" t="s">
        <v>282</v>
      </c>
      <c r="F235" s="59" t="s">
        <v>93</v>
      </c>
      <c r="G235" s="59" t="s">
        <v>151</v>
      </c>
      <c r="H235" s="93">
        <f>IF(H199="-","-",
IF(
ROUND(H199,8)=
ROUND(SUMIFS(Calc_TUV_ENVGroup_2[Ausnet],Calc_TUV_ENVGroup_2[[Cost item]:[Cost item]],$D235,Calc_TUV_ENVGroup_2[[Cost element]:[Cost element]],$G235)*($F$188/$F$189),8),
0,1))</f>
        <v>0</v>
      </c>
      <c r="I235" s="93" t="str">
        <f>IF(I199="-","-",
IF(
ROUND(I199,8)=
ROUND(SUMIFS(Calc_TUV_ENVGroup_2[Citipower],Calc_TUV_ENVGroup_2[[Cost item]:[Cost item]],$D235,Calc_TUV_ENVGroup_2[[Cost element]:[Cost element]],$G235)*($F$188/$F$189),8),
0,1))</f>
        <v>-</v>
      </c>
      <c r="J235" s="93" t="str">
        <f>IF(J199="-","-",
IF(
ROUND(J199,8)=
ROUND(SUMIFS(Calc_TUV_ENVGroup_2[Jemena],Calc_TUV_ENVGroup_2[[Cost item]:[Cost item]],$D235,Calc_TUV_ENVGroup_2[[Cost element]:[Cost element]],$G235)*($F$188/$F$189),8),
0,1))</f>
        <v>-</v>
      </c>
      <c r="K235" s="93" t="str">
        <f>IF(K199="-","-",
IF(
ROUND(K199,8)=
ROUND(SUMIFS(Calc_TUV_ENVGroup_2[Powercor],Calc_TUV_ENVGroup_2[[Cost item]:[Cost item]],$D235,Calc_TUV_ENVGroup_2[[Cost element]:[Cost element]],$G235)*($F$188/$F$189),8),
0,1))</f>
        <v>-</v>
      </c>
      <c r="L235" s="93" t="str">
        <f>IF(L199="-","-",
IF(
ROUND(L199,8)=
ROUND(SUMIFS(Calc_TUV_ENVGroup_2[United Energy],Calc_TUV_ENVGroup_2[[Cost item]:[Cost item]],$D235,Calc_TUV_ENVGroup_2[[Cost element]:[Cost element]],$G235)*($F$188/$F$189),8),
0,1))</f>
        <v>-</v>
      </c>
    </row>
    <row r="236" spans="3:12" ht="15.75" hidden="1" outlineLevel="1" x14ac:dyDescent="0.25">
      <c r="C236" s="59" t="s">
        <v>287</v>
      </c>
      <c r="D236" s="59" t="s">
        <v>602</v>
      </c>
      <c r="E236" s="59" t="s">
        <v>282</v>
      </c>
      <c r="F236" s="59" t="s">
        <v>92</v>
      </c>
      <c r="G236" s="59" t="s">
        <v>151</v>
      </c>
      <c r="H236" s="93">
        <f>IF(H200="-","-",
IF(
ROUND(H200,8)=
ROUND(SUMIFS(Calc_TUV_ENVGroup_2[Ausnet],Calc_TUV_ENVGroup_2[[Cost item]:[Cost item]],$D236,Calc_TUV_ENVGroup_2[[Cost element]:[Cost element]],$G236)*($F$188/$F$189),8),
0,1))</f>
        <v>0</v>
      </c>
      <c r="I236" s="93">
        <f>IF(I200="-","-",
IF(
ROUND(I200,8)=
ROUND(SUMIFS(Calc_TUV_ENVGroup_2[Citipower],Calc_TUV_ENVGroup_2[[Cost item]:[Cost item]],$D236,Calc_TUV_ENVGroup_2[[Cost element]:[Cost element]],$G236)*($F$188/$F$189),8),
0,1))</f>
        <v>0</v>
      </c>
      <c r="J236" s="93">
        <f>IF(J200="-","-",
IF(
ROUND(J200,8)=
ROUND(SUMIFS(Calc_TUV_ENVGroup_2[Jemena],Calc_TUV_ENVGroup_2[[Cost item]:[Cost item]],$D236,Calc_TUV_ENVGroup_2[[Cost element]:[Cost element]],$G236)*($F$188/$F$189),8),
0,1))</f>
        <v>0</v>
      </c>
      <c r="K236" s="93">
        <f>IF(K200="-","-",
IF(
ROUND(K200,8)=
ROUND(SUMIFS(Calc_TUV_ENVGroup_2[Powercor],Calc_TUV_ENVGroup_2[[Cost item]:[Cost item]],$D236,Calc_TUV_ENVGroup_2[[Cost element]:[Cost element]],$G236)*($F$188/$F$189),8),
0,1))</f>
        <v>0</v>
      </c>
      <c r="L236" s="93">
        <f>IF(L200="-","-",
IF(
ROUND(L200,8)=
ROUND(SUMIFS(Calc_TUV_ENVGroup_2[United Energy],Calc_TUV_ENVGroup_2[[Cost item]:[Cost item]],$D236,Calc_TUV_ENVGroup_2[[Cost element]:[Cost element]],$G236)*($F$188/$F$189),8),
0,1))</f>
        <v>0</v>
      </c>
    </row>
    <row r="237" spans="3:12" ht="15.75" hidden="1" outlineLevel="1" x14ac:dyDescent="0.25">
      <c r="C237" s="59" t="s">
        <v>230</v>
      </c>
      <c r="D237" s="59" t="s">
        <v>602</v>
      </c>
      <c r="E237" s="59" t="s">
        <v>282</v>
      </c>
      <c r="F237" s="59" t="s">
        <v>92</v>
      </c>
      <c r="G237" s="59" t="s">
        <v>151</v>
      </c>
      <c r="H237" s="93">
        <f>IF(H201="-","-",
IF(
ROUND(H201,8)=
ROUND(SUMIFS(Calc_TUV_ENVGroup_2[Ausnet],Calc_TUV_ENVGroup_2[[Cost item]:[Cost item]],$D237,Calc_TUV_ENVGroup_2[[Cost element]:[Cost element]],$G237)*($F$188/$F$189),8),
0,1))</f>
        <v>0</v>
      </c>
      <c r="I237" s="93">
        <f>IF(I201="-","-",
IF(
ROUND(I201,8)=
ROUND(SUMIFS(Calc_TUV_ENVGroup_2[Citipower],Calc_TUV_ENVGroup_2[[Cost item]:[Cost item]],$D237,Calc_TUV_ENVGroup_2[[Cost element]:[Cost element]],$G237)*($F$188/$F$189),8),
0,1))</f>
        <v>0</v>
      </c>
      <c r="J237" s="93">
        <f>IF(J201="-","-",
IF(
ROUND(J201,8)=
ROUND(SUMIFS(Calc_TUV_ENVGroup_2[Jemena],Calc_TUV_ENVGroup_2[[Cost item]:[Cost item]],$D237,Calc_TUV_ENVGroup_2[[Cost element]:[Cost element]],$G237)*($F$188/$F$189),8),
0,1))</f>
        <v>0</v>
      </c>
      <c r="K237" s="93">
        <f>IF(K201="-","-",
IF(
ROUND(K201,8)=
ROUND(SUMIFS(Calc_TUV_ENVGroup_2[Powercor],Calc_TUV_ENVGroup_2[[Cost item]:[Cost item]],$D237,Calc_TUV_ENVGroup_2[[Cost element]:[Cost element]],$G237)*($F$188/$F$189),8),
0,1))</f>
        <v>0</v>
      </c>
      <c r="L237" s="93">
        <f>IF(L201="-","-",
IF(
ROUND(L201,8)=
ROUND(SUMIFS(Calc_TUV_ENVGroup_2[United Energy],Calc_TUV_ENVGroup_2[[Cost item]:[Cost item]],$D237,Calc_TUV_ENVGroup_2[[Cost element]:[Cost element]],$G237)*($F$188/$F$189),8),
0,1))</f>
        <v>0</v>
      </c>
    </row>
    <row r="238" spans="3:12" ht="15.75" hidden="1" outlineLevel="1" x14ac:dyDescent="0.25">
      <c r="C238" s="59" t="s">
        <v>230</v>
      </c>
      <c r="D238" s="59" t="s">
        <v>602</v>
      </c>
      <c r="E238" s="59" t="s">
        <v>282</v>
      </c>
      <c r="F238" s="59" t="s">
        <v>93</v>
      </c>
      <c r="G238" s="59" t="s">
        <v>151</v>
      </c>
      <c r="H238" s="93">
        <f>IF(H202="-","-",
IF(
ROUND(H202,8)=
ROUND(SUMIFS(Calc_TUV_ENVGroup_2[Ausnet],Calc_TUV_ENVGroup_2[[Cost item]:[Cost item]],$D238,Calc_TUV_ENVGroup_2[[Cost element]:[Cost element]],$G238)*($F$188/$F$189),8),
0,1))</f>
        <v>0</v>
      </c>
      <c r="I238" s="93">
        <f>IF(I202="-","-",
IF(
ROUND(I202,8)=
ROUND(SUMIFS(Calc_TUV_ENVGroup_2[Citipower],Calc_TUV_ENVGroup_2[[Cost item]:[Cost item]],$D238,Calc_TUV_ENVGroup_2[[Cost element]:[Cost element]],$G238)*($F$188/$F$189),8),
0,1))</f>
        <v>0</v>
      </c>
      <c r="J238" s="93">
        <f>IF(J202="-","-",
IF(
ROUND(J202,8)=
ROUND(SUMIFS(Calc_TUV_ENVGroup_2[Jemena],Calc_TUV_ENVGroup_2[[Cost item]:[Cost item]],$D238,Calc_TUV_ENVGroup_2[[Cost element]:[Cost element]],$G238)*($F$188/$F$189),8),
0,1))</f>
        <v>0</v>
      </c>
      <c r="K238" s="93">
        <f>IF(K202="-","-",
IF(
ROUND(K202,8)=
ROUND(SUMIFS(Calc_TUV_ENVGroup_2[Powercor],Calc_TUV_ENVGroup_2[[Cost item]:[Cost item]],$D238,Calc_TUV_ENVGroup_2[[Cost element]:[Cost element]],$G238)*($F$188/$F$189),8),
0,1))</f>
        <v>0</v>
      </c>
      <c r="L238" s="93">
        <f>IF(L202="-","-",
IF(
ROUND(L202,8)=
ROUND(SUMIFS(Calc_TUV_ENVGroup_2[United Energy],Calc_TUV_ENVGroup_2[[Cost item]:[Cost item]],$D238,Calc_TUV_ENVGroup_2[[Cost element]:[Cost element]],$G238)*($F$188/$F$189),8),
0,1))</f>
        <v>0</v>
      </c>
    </row>
    <row r="239" spans="3:12" ht="15.75" hidden="1" outlineLevel="1" x14ac:dyDescent="0.25">
      <c r="C239" s="59" t="s">
        <v>609</v>
      </c>
      <c r="D239" s="59" t="s">
        <v>602</v>
      </c>
      <c r="E239" s="59" t="s">
        <v>282</v>
      </c>
      <c r="F239" s="59" t="s">
        <v>92</v>
      </c>
      <c r="G239" s="59" t="s">
        <v>151</v>
      </c>
      <c r="H239" s="93">
        <f>IF(H203="-","-",
IF(
ROUND(H203,8)=
ROUND(SUMIFS(Calc_TUV_ENVGroup_2[Ausnet],Calc_TUV_ENVGroup_2[[Cost item]:[Cost item]],$D239,Calc_TUV_ENVGroup_2[[Cost element]:[Cost element]],$G239)*($F$188/$F$189),8),
0,1))</f>
        <v>0</v>
      </c>
      <c r="I239" s="93">
        <f>IF(I203="-","-",
IF(
ROUND(I203,8)=
ROUND(SUMIFS(Calc_TUV_ENVGroup_2[Citipower],Calc_TUV_ENVGroup_2[[Cost item]:[Cost item]],$D239,Calc_TUV_ENVGroup_2[[Cost element]:[Cost element]],$G239)*($F$188/$F$189),8),
0,1))</f>
        <v>0</v>
      </c>
      <c r="J239" s="93">
        <f>IF(J203="-","-",
IF(
ROUND(J203,8)=
ROUND(SUMIFS(Calc_TUV_ENVGroup_2[Jemena],Calc_TUV_ENVGroup_2[[Cost item]:[Cost item]],$D239,Calc_TUV_ENVGroup_2[[Cost element]:[Cost element]],$G239)*($F$188/$F$189),8),
0,1))</f>
        <v>0</v>
      </c>
      <c r="K239" s="93">
        <f>IF(K203="-","-",
IF(
ROUND(K203,8)=
ROUND(SUMIFS(Calc_TUV_ENVGroup_2[Powercor],Calc_TUV_ENVGroup_2[[Cost item]:[Cost item]],$D239,Calc_TUV_ENVGroup_2[[Cost element]:[Cost element]],$G239)*($F$188/$F$189),8),
0,1))</f>
        <v>0</v>
      </c>
      <c r="L239" s="93">
        <f>IF(L203="-","-",
IF(
ROUND(L203,8)=
ROUND(SUMIFS(Calc_TUV_ENVGroup_2[United Energy],Calc_TUV_ENVGroup_2[[Cost item]:[Cost item]],$D239,Calc_TUV_ENVGroup_2[[Cost element]:[Cost element]],$G239)*($F$188/$F$189),8),
0,1))</f>
        <v>0</v>
      </c>
    </row>
    <row r="240" spans="3:12" ht="15.75" hidden="1" outlineLevel="1" x14ac:dyDescent="0.25">
      <c r="C240" s="59" t="s">
        <v>609</v>
      </c>
      <c r="D240" s="59" t="s">
        <v>602</v>
      </c>
      <c r="E240" s="59" t="s">
        <v>282</v>
      </c>
      <c r="F240" s="59" t="s">
        <v>93</v>
      </c>
      <c r="G240" s="59" t="s">
        <v>151</v>
      </c>
      <c r="H240" s="93">
        <f>IF(H204="-","-",
IF(
ROUND(H204,8)=
ROUND(SUMIFS(Calc_TUV_ENVGroup_2[Ausnet],Calc_TUV_ENVGroup_2[[Cost item]:[Cost item]],$D240,Calc_TUV_ENVGroup_2[[Cost element]:[Cost element]],$G240)*($F$188/$F$189),8),
0,1))</f>
        <v>0</v>
      </c>
      <c r="I240" s="93">
        <f>IF(I204="-","-",
IF(
ROUND(I204,8)=
ROUND(SUMIFS(Calc_TUV_ENVGroup_2[Citipower],Calc_TUV_ENVGroup_2[[Cost item]:[Cost item]],$D240,Calc_TUV_ENVGroup_2[[Cost element]:[Cost element]],$G240)*($F$188/$F$189),8),
0,1))</f>
        <v>0</v>
      </c>
      <c r="J240" s="93">
        <f>IF(J204="-","-",
IF(
ROUND(J204,8)=
ROUND(SUMIFS(Calc_TUV_ENVGroup_2[Jemena],Calc_TUV_ENVGroup_2[[Cost item]:[Cost item]],$D240,Calc_TUV_ENVGroup_2[[Cost element]:[Cost element]],$G240)*($F$188/$F$189),8),
0,1))</f>
        <v>0</v>
      </c>
      <c r="K240" s="93">
        <f>IF(K204="-","-",
IF(
ROUND(K204,8)=
ROUND(SUMIFS(Calc_TUV_ENVGroup_2[Powercor],Calc_TUV_ENVGroup_2[[Cost item]:[Cost item]],$D240,Calc_TUV_ENVGroup_2[[Cost element]:[Cost element]],$G240)*($F$188/$F$189),8),
0,1))</f>
        <v>0</v>
      </c>
      <c r="L240" s="93">
        <f>IF(L204="-","-",
IF(
ROUND(L204,8)=
ROUND(SUMIFS(Calc_TUV_ENVGroup_2[United Energy],Calc_TUV_ENVGroup_2[[Cost item]:[Cost item]],$D240,Calc_TUV_ENVGroup_2[[Cost element]:[Cost element]],$G240)*($F$188/$F$189),8),
0,1))</f>
        <v>0</v>
      </c>
    </row>
    <row r="241" spans="3:12" ht="15.75" hidden="1" outlineLevel="1" x14ac:dyDescent="0.25">
      <c r="C241" s="59" t="s">
        <v>549</v>
      </c>
      <c r="D241" s="59" t="s">
        <v>603</v>
      </c>
      <c r="E241" s="59" t="s">
        <v>282</v>
      </c>
      <c r="F241" s="59" t="s">
        <v>92</v>
      </c>
      <c r="G241" s="59" t="s">
        <v>151</v>
      </c>
      <c r="H241" s="93" t="str">
        <f>IF(H205="-","-",
IF(
ROUND(H205,8)=
ROUND(SUMIFS(Calc_TUV_ENVGroup_2[Ausnet],Calc_TUV_ENVGroup_2[[Cost item]:[Cost item]],$D241,Calc_TUV_ENVGroup_2[[Cost element]:[Cost element]],$G241)*($F$188/$F$189),8),
0,1))</f>
        <v>-</v>
      </c>
      <c r="I241" s="93">
        <f>IF(I205="-","-",
IF(
ROUND(I205,8)=
ROUND(SUMIFS(Calc_TUV_ENVGroup_2[Citipower],Calc_TUV_ENVGroup_2[[Cost item]:[Cost item]],$D241,Calc_TUV_ENVGroup_2[[Cost element]:[Cost element]],$G241)*($F$188/$F$189),8),
0,1))</f>
        <v>0</v>
      </c>
      <c r="J241" s="93">
        <f>IF(J205="-","-",
IF(
ROUND(J205,8)=
ROUND(SUMIFS(Calc_TUV_ENVGroup_2[Jemena],Calc_TUV_ENVGroup_2[[Cost item]:[Cost item]],$D241,Calc_TUV_ENVGroup_2[[Cost element]:[Cost element]],$G241)*($F$188/$F$189),8),
0,1))</f>
        <v>0</v>
      </c>
      <c r="K241" s="93">
        <f>IF(K205="-","-",
IF(
ROUND(K205,8)=
ROUND(SUMIFS(Calc_TUV_ENVGroup_2[Powercor],Calc_TUV_ENVGroup_2[[Cost item]:[Cost item]],$D241,Calc_TUV_ENVGroup_2[[Cost element]:[Cost element]],$G241)*($F$188/$F$189),8),
0,1))</f>
        <v>0</v>
      </c>
      <c r="L241" s="93">
        <f>IF(L205="-","-",
IF(
ROUND(L205,8)=
ROUND(SUMIFS(Calc_TUV_ENVGroup_2[United Energy],Calc_TUV_ENVGroup_2[[Cost item]:[Cost item]],$D241,Calc_TUV_ENVGroup_2[[Cost element]:[Cost element]],$G241)*($F$188/$F$189),8),
0,1))</f>
        <v>0</v>
      </c>
    </row>
    <row r="242" spans="3:12" ht="15.75" hidden="1" outlineLevel="1" x14ac:dyDescent="0.25">
      <c r="C242" s="59" t="s">
        <v>549</v>
      </c>
      <c r="D242" s="59" t="s">
        <v>603</v>
      </c>
      <c r="E242" s="59" t="s">
        <v>282</v>
      </c>
      <c r="F242" s="59" t="s">
        <v>93</v>
      </c>
      <c r="G242" s="59" t="s">
        <v>151</v>
      </c>
      <c r="H242" s="93" t="str">
        <f>IF(H206="-","-",
IF(
ROUND(H206,8)=
ROUND(SUMIFS(Calc_TUV_ENVGroup_2[Ausnet],Calc_TUV_ENVGroup_2[[Cost item]:[Cost item]],$D242,Calc_TUV_ENVGroup_2[[Cost element]:[Cost element]],$G242)*($F$188/$F$189),8),
0,1))</f>
        <v>-</v>
      </c>
      <c r="I242" s="93">
        <f>IF(I206="-","-",
IF(
ROUND(I206,8)=
ROUND(SUMIFS(Calc_TUV_ENVGroup_2[Citipower],Calc_TUV_ENVGroup_2[[Cost item]:[Cost item]],$D242,Calc_TUV_ENVGroup_2[[Cost element]:[Cost element]],$G242)*($F$188/$F$189),8),
0,1))</f>
        <v>0</v>
      </c>
      <c r="J242" s="93">
        <f>IF(J206="-","-",
IF(
ROUND(J206,8)=
ROUND(SUMIFS(Calc_TUV_ENVGroup_2[Jemena],Calc_TUV_ENVGroup_2[[Cost item]:[Cost item]],$D242,Calc_TUV_ENVGroup_2[[Cost element]:[Cost element]],$G242)*($F$188/$F$189),8),
0,1))</f>
        <v>0</v>
      </c>
      <c r="K242" s="93">
        <f>IF(K206="-","-",
IF(
ROUND(K206,8)=
ROUND(SUMIFS(Calc_TUV_ENVGroup_2[Powercor],Calc_TUV_ENVGroup_2[[Cost item]:[Cost item]],$D242,Calc_TUV_ENVGroup_2[[Cost element]:[Cost element]],$G242)*($F$188/$F$189),8),
0,1))</f>
        <v>0</v>
      </c>
      <c r="L242" s="93">
        <f>IF(L206="-","-",
IF(
ROUND(L206,8)=
ROUND(SUMIFS(Calc_TUV_ENVGroup_2[United Energy],Calc_TUV_ENVGroup_2[[Cost item]:[Cost item]],$D242,Calc_TUV_ENVGroup_2[[Cost element]:[Cost element]],$G242)*($F$188/$F$189),8),
0,1))</f>
        <v>0</v>
      </c>
    </row>
    <row r="243" spans="3:12" ht="15.75" hidden="1" outlineLevel="1" x14ac:dyDescent="0.25">
      <c r="C243" s="59" t="s">
        <v>221</v>
      </c>
      <c r="D243" s="59" t="s">
        <v>603</v>
      </c>
      <c r="E243" s="59" t="s">
        <v>282</v>
      </c>
      <c r="F243" s="59" t="s">
        <v>92</v>
      </c>
      <c r="G243" s="59" t="s">
        <v>151</v>
      </c>
      <c r="H243" s="93">
        <f>IF(H207="-","-",
IF(
ROUND(H207,8)=
ROUND(SUMIFS(Calc_TUV_ENVGroup_2[Ausnet],Calc_TUV_ENVGroup_2[[Cost item]:[Cost item]],$D243,Calc_TUV_ENVGroup_2[[Cost element]:[Cost element]],$G243)*($F$188/$F$189),8),
0,1))</f>
        <v>0</v>
      </c>
      <c r="I243" s="93" t="str">
        <f>IF(I207="-","-",
IF(
ROUND(I207,8)=
ROUND(SUMIFS(Calc_TUV_ENVGroup_2[Citipower],Calc_TUV_ENVGroup_2[[Cost item]:[Cost item]],$D243,Calc_TUV_ENVGroup_2[[Cost element]:[Cost element]],$G243)*($F$188/$F$189),8),
0,1))</f>
        <v>-</v>
      </c>
      <c r="J243" s="93" t="str">
        <f>IF(J207="-","-",
IF(
ROUND(J207,8)=
ROUND(SUMIFS(Calc_TUV_ENVGroup_2[Jemena],Calc_TUV_ENVGroup_2[[Cost item]:[Cost item]],$D243,Calc_TUV_ENVGroup_2[[Cost element]:[Cost element]],$G243)*($F$188/$F$189),8),
0,1))</f>
        <v>-</v>
      </c>
      <c r="K243" s="93" t="str">
        <f>IF(K207="-","-",
IF(
ROUND(K207,8)=
ROUND(SUMIFS(Calc_TUV_ENVGroup_2[Powercor],Calc_TUV_ENVGroup_2[[Cost item]:[Cost item]],$D243,Calc_TUV_ENVGroup_2[[Cost element]:[Cost element]],$G243)*($F$188/$F$189),8),
0,1))</f>
        <v>-</v>
      </c>
      <c r="L243" s="93" t="str">
        <f>IF(L207="-","-",
IF(
ROUND(L207,8)=
ROUND(SUMIFS(Calc_TUV_ENVGroup_2[United Energy],Calc_TUV_ENVGroup_2[[Cost item]:[Cost item]],$D243,Calc_TUV_ENVGroup_2[[Cost element]:[Cost element]],$G243)*($F$188/$F$189),8),
0,1))</f>
        <v>-</v>
      </c>
    </row>
    <row r="244" spans="3:12" ht="15.75" hidden="1" outlineLevel="1" x14ac:dyDescent="0.25">
      <c r="C244" s="59" t="s">
        <v>221</v>
      </c>
      <c r="D244" s="59" t="s">
        <v>603</v>
      </c>
      <c r="E244" s="59" t="s">
        <v>282</v>
      </c>
      <c r="F244" s="59" t="s">
        <v>93</v>
      </c>
      <c r="G244" s="59" t="s">
        <v>151</v>
      </c>
      <c r="H244" s="93">
        <f>IF(H208="-","-",
IF(
ROUND(H208,8)=
ROUND(SUMIFS(Calc_TUV_ENVGroup_2[Ausnet],Calc_TUV_ENVGroup_2[[Cost item]:[Cost item]],$D244,Calc_TUV_ENVGroup_2[[Cost element]:[Cost element]],$G244)*($F$188/$F$189),8),
0,1))</f>
        <v>0</v>
      </c>
      <c r="I244" s="93" t="str">
        <f>IF(I208="-","-",
IF(
ROUND(I208,8)=
ROUND(SUMIFS(Calc_TUV_ENVGroup_2[Citipower],Calc_TUV_ENVGroup_2[[Cost item]:[Cost item]],$D244,Calc_TUV_ENVGroup_2[[Cost element]:[Cost element]],$G244)*($F$188/$F$189),8),
0,1))</f>
        <v>-</v>
      </c>
      <c r="J244" s="93" t="str">
        <f>IF(J208="-","-",
IF(
ROUND(J208,8)=
ROUND(SUMIFS(Calc_TUV_ENVGroup_2[Jemena],Calc_TUV_ENVGroup_2[[Cost item]:[Cost item]],$D244,Calc_TUV_ENVGroup_2[[Cost element]:[Cost element]],$G244)*($F$188/$F$189),8),
0,1))</f>
        <v>-</v>
      </c>
      <c r="K244" s="93" t="str">
        <f>IF(K208="-","-",
IF(
ROUND(K208,8)=
ROUND(SUMIFS(Calc_TUV_ENVGroup_2[Powercor],Calc_TUV_ENVGroup_2[[Cost item]:[Cost item]],$D244,Calc_TUV_ENVGroup_2[[Cost element]:[Cost element]],$G244)*($F$188/$F$189),8),
0,1))</f>
        <v>-</v>
      </c>
      <c r="L244" s="93" t="str">
        <f>IF(L208="-","-",
IF(
ROUND(L208,8)=
ROUND(SUMIFS(Calc_TUV_ENVGroup_2[United Energy],Calc_TUV_ENVGroup_2[[Cost item]:[Cost item]],$D244,Calc_TUV_ENVGroup_2[[Cost element]:[Cost element]],$G244)*($F$188/$F$189),8),
0,1))</f>
        <v>-</v>
      </c>
    </row>
    <row r="245" spans="3:12" ht="15.75" hidden="1" outlineLevel="1" x14ac:dyDescent="0.25">
      <c r="C245" s="59" t="s">
        <v>228</v>
      </c>
      <c r="D245" s="59" t="s">
        <v>603</v>
      </c>
      <c r="E245" s="59" t="s">
        <v>282</v>
      </c>
      <c r="F245" s="59" t="s">
        <v>92</v>
      </c>
      <c r="G245" s="59" t="s">
        <v>151</v>
      </c>
      <c r="H245" s="93">
        <f>IF(H209="-","-",
IF(
ROUND(H209,8)=
ROUND(SUMIFS(Calc_TUV_ENVGroup_2[Ausnet],Calc_TUV_ENVGroup_2[[Cost item]:[Cost item]],$D245,Calc_TUV_ENVGroup_2[[Cost element]:[Cost element]],$G245)*($F$188/$F$189),8),
0,1))</f>
        <v>0</v>
      </c>
      <c r="I245" s="93" t="str">
        <f>IF(I209="-","-",
IF(
ROUND(I209,8)=
ROUND(SUMIFS(Calc_TUV_ENVGroup_2[Citipower],Calc_TUV_ENVGroup_2[[Cost item]:[Cost item]],$D245,Calc_TUV_ENVGroup_2[[Cost element]:[Cost element]],$G245)*($F$188/$F$189),8),
0,1))</f>
        <v>-</v>
      </c>
      <c r="J245" s="93" t="str">
        <f>IF(J209="-","-",
IF(
ROUND(J209,8)=
ROUND(SUMIFS(Calc_TUV_ENVGroup_2[Jemena],Calc_TUV_ENVGroup_2[[Cost item]:[Cost item]],$D245,Calc_TUV_ENVGroup_2[[Cost element]:[Cost element]],$G245)*($F$188/$F$189),8),
0,1))</f>
        <v>-</v>
      </c>
      <c r="K245" s="93" t="str">
        <f>IF(K209="-","-",
IF(
ROUND(K209,8)=
ROUND(SUMIFS(Calc_TUV_ENVGroup_2[Powercor],Calc_TUV_ENVGroup_2[[Cost item]:[Cost item]],$D245,Calc_TUV_ENVGroup_2[[Cost element]:[Cost element]],$G245)*($F$188/$F$189),8),
0,1))</f>
        <v>-</v>
      </c>
      <c r="L245" s="93" t="str">
        <f>IF(L209="-","-",
IF(
ROUND(L209,8)=
ROUND(SUMIFS(Calc_TUV_ENVGroup_2[United Energy],Calc_TUV_ENVGroup_2[[Cost item]:[Cost item]],$D245,Calc_TUV_ENVGroup_2[[Cost element]:[Cost element]],$G245)*($F$188/$F$189),8),
0,1))</f>
        <v>-</v>
      </c>
    </row>
    <row r="246" spans="3:12" ht="15.75" hidden="1" outlineLevel="1" x14ac:dyDescent="0.25">
      <c r="C246" s="59" t="s">
        <v>228</v>
      </c>
      <c r="D246" s="59" t="s">
        <v>603</v>
      </c>
      <c r="E246" s="59" t="s">
        <v>282</v>
      </c>
      <c r="F246" s="59" t="s">
        <v>93</v>
      </c>
      <c r="G246" s="59" t="s">
        <v>151</v>
      </c>
      <c r="H246" s="93">
        <f>IF(H210="-","-",
IF(
ROUND(H210,8)=
ROUND(SUMIFS(Calc_TUV_ENVGroup_2[Ausnet],Calc_TUV_ENVGroup_2[[Cost item]:[Cost item]],$D246,Calc_TUV_ENVGroup_2[[Cost element]:[Cost element]],$G246)*($F$188/$F$189),8),
0,1))</f>
        <v>0</v>
      </c>
      <c r="I246" s="93" t="str">
        <f>IF(I210="-","-",
IF(
ROUND(I210,8)=
ROUND(SUMIFS(Calc_TUV_ENVGroup_2[Citipower],Calc_TUV_ENVGroup_2[[Cost item]:[Cost item]],$D246,Calc_TUV_ENVGroup_2[[Cost element]:[Cost element]],$G246)*($F$188/$F$189),8),
0,1))</f>
        <v>-</v>
      </c>
      <c r="J246" s="93" t="str">
        <f>IF(J210="-","-",
IF(
ROUND(J210,8)=
ROUND(SUMIFS(Calc_TUV_ENVGroup_2[Jemena],Calc_TUV_ENVGroup_2[[Cost item]:[Cost item]],$D246,Calc_TUV_ENVGroup_2[[Cost element]:[Cost element]],$G246)*($F$188/$F$189),8),
0,1))</f>
        <v>-</v>
      </c>
      <c r="K246" s="93" t="str">
        <f>IF(K210="-","-",
IF(
ROUND(K210,8)=
ROUND(SUMIFS(Calc_TUV_ENVGroup_2[Powercor],Calc_TUV_ENVGroup_2[[Cost item]:[Cost item]],$D246,Calc_TUV_ENVGroup_2[[Cost element]:[Cost element]],$G246)*($F$188/$F$189),8),
0,1))</f>
        <v>-</v>
      </c>
      <c r="L246" s="93" t="str">
        <f>IF(L210="-","-",
IF(
ROUND(L210,8)=
ROUND(SUMIFS(Calc_TUV_ENVGroup_2[United Energy],Calc_TUV_ENVGroup_2[[Cost item]:[Cost item]],$D246,Calc_TUV_ENVGroup_2[[Cost element]:[Cost element]],$G246)*($F$188/$F$189),8),
0,1))</f>
        <v>-</v>
      </c>
    </row>
    <row r="247" spans="3:12" ht="15.75" hidden="1" outlineLevel="1" x14ac:dyDescent="0.25">
      <c r="C247" s="59" t="s">
        <v>287</v>
      </c>
      <c r="D247" s="59" t="s">
        <v>603</v>
      </c>
      <c r="E247" s="59" t="s">
        <v>282</v>
      </c>
      <c r="F247" s="59" t="s">
        <v>92</v>
      </c>
      <c r="G247" s="59" t="s">
        <v>151</v>
      </c>
      <c r="H247" s="93">
        <f>IF(H211="-","-",
IF(
ROUND(H211,8)=
ROUND(SUMIFS(Calc_TUV_ENVGroup_2[Ausnet],Calc_TUV_ENVGroup_2[[Cost item]:[Cost item]],$D247,Calc_TUV_ENVGroup_2[[Cost element]:[Cost element]],$G247)*($F$188/$F$189),8),
0,1))</f>
        <v>0</v>
      </c>
      <c r="I247" s="93">
        <f>IF(I211="-","-",
IF(
ROUND(I211,8)=
ROUND(SUMIFS(Calc_TUV_ENVGroup_2[Citipower],Calc_TUV_ENVGroup_2[[Cost item]:[Cost item]],$D247,Calc_TUV_ENVGroup_2[[Cost element]:[Cost element]],$G247)*($F$188/$F$189),8),
0,1))</f>
        <v>0</v>
      </c>
      <c r="J247" s="93">
        <f>IF(J211="-","-",
IF(
ROUND(J211,8)=
ROUND(SUMIFS(Calc_TUV_ENVGroup_2[Jemena],Calc_TUV_ENVGroup_2[[Cost item]:[Cost item]],$D247,Calc_TUV_ENVGroup_2[[Cost element]:[Cost element]],$G247)*($F$188/$F$189),8),
0,1))</f>
        <v>0</v>
      </c>
      <c r="K247" s="93">
        <f>IF(K211="-","-",
IF(
ROUND(K211,8)=
ROUND(SUMIFS(Calc_TUV_ENVGroup_2[Powercor],Calc_TUV_ENVGroup_2[[Cost item]:[Cost item]],$D247,Calc_TUV_ENVGroup_2[[Cost element]:[Cost element]],$G247)*($F$188/$F$189),8),
0,1))</f>
        <v>0</v>
      </c>
      <c r="L247" s="93">
        <f>IF(L211="-","-",
IF(
ROUND(L211,8)=
ROUND(SUMIFS(Calc_TUV_ENVGroup_2[United Energy],Calc_TUV_ENVGroup_2[[Cost item]:[Cost item]],$D247,Calc_TUV_ENVGroup_2[[Cost element]:[Cost element]],$G247)*($F$188/$F$189),8),
0,1))</f>
        <v>0</v>
      </c>
    </row>
    <row r="248" spans="3:12" ht="15.75" hidden="1" outlineLevel="1" x14ac:dyDescent="0.25">
      <c r="C248" s="59" t="s">
        <v>230</v>
      </c>
      <c r="D248" s="59" t="s">
        <v>603</v>
      </c>
      <c r="E248" s="59" t="s">
        <v>282</v>
      </c>
      <c r="F248" s="59" t="s">
        <v>92</v>
      </c>
      <c r="G248" s="59" t="s">
        <v>151</v>
      </c>
      <c r="H248" s="93">
        <f>IF(H212="-","-",
IF(
ROUND(H212,8)=
ROUND(SUMIFS(Calc_TUV_ENVGroup_2[Ausnet],Calc_TUV_ENVGroup_2[[Cost item]:[Cost item]],$D248,Calc_TUV_ENVGroup_2[[Cost element]:[Cost element]],$G248)*($F$188/$F$189),8),
0,1))</f>
        <v>0</v>
      </c>
      <c r="I248" s="93">
        <f>IF(I212="-","-",
IF(
ROUND(I212,8)=
ROUND(SUMIFS(Calc_TUV_ENVGroup_2[Citipower],Calc_TUV_ENVGroup_2[[Cost item]:[Cost item]],$D248,Calc_TUV_ENVGroup_2[[Cost element]:[Cost element]],$G248)*($F$188/$F$189),8),
0,1))</f>
        <v>0</v>
      </c>
      <c r="J248" s="93">
        <f>IF(J212="-","-",
IF(
ROUND(J212,8)=
ROUND(SUMIFS(Calc_TUV_ENVGroup_2[Jemena],Calc_TUV_ENVGroup_2[[Cost item]:[Cost item]],$D248,Calc_TUV_ENVGroup_2[[Cost element]:[Cost element]],$G248)*($F$188/$F$189),8),
0,1))</f>
        <v>0</v>
      </c>
      <c r="K248" s="93">
        <f>IF(K212="-","-",
IF(
ROUND(K212,8)=
ROUND(SUMIFS(Calc_TUV_ENVGroup_2[Powercor],Calc_TUV_ENVGroup_2[[Cost item]:[Cost item]],$D248,Calc_TUV_ENVGroup_2[[Cost element]:[Cost element]],$G248)*($F$188/$F$189),8),
0,1))</f>
        <v>0</v>
      </c>
      <c r="L248" s="93">
        <f>IF(L212="-","-",
IF(
ROUND(L212,8)=
ROUND(SUMIFS(Calc_TUV_ENVGroup_2[United Energy],Calc_TUV_ENVGroup_2[[Cost item]:[Cost item]],$D248,Calc_TUV_ENVGroup_2[[Cost element]:[Cost element]],$G248)*($F$188/$F$189),8),
0,1))</f>
        <v>0</v>
      </c>
    </row>
    <row r="249" spans="3:12" ht="15.75" hidden="1" outlineLevel="1" x14ac:dyDescent="0.25">
      <c r="C249" s="59" t="s">
        <v>230</v>
      </c>
      <c r="D249" s="59" t="s">
        <v>603</v>
      </c>
      <c r="E249" s="59" t="s">
        <v>282</v>
      </c>
      <c r="F249" s="59" t="s">
        <v>93</v>
      </c>
      <c r="G249" s="59" t="s">
        <v>151</v>
      </c>
      <c r="H249" s="93">
        <f>IF(H213="-","-",
IF(
ROUND(H213,8)=
ROUND(SUMIFS(Calc_TUV_ENVGroup_2[Ausnet],Calc_TUV_ENVGroup_2[[Cost item]:[Cost item]],$D249,Calc_TUV_ENVGroup_2[[Cost element]:[Cost element]],$G249)*($F$188/$F$189),8),
0,1))</f>
        <v>0</v>
      </c>
      <c r="I249" s="93">
        <f>IF(I213="-","-",
IF(
ROUND(I213,8)=
ROUND(SUMIFS(Calc_TUV_ENVGroup_2[Citipower],Calc_TUV_ENVGroup_2[[Cost item]:[Cost item]],$D249,Calc_TUV_ENVGroup_2[[Cost element]:[Cost element]],$G249)*($F$188/$F$189),8),
0,1))</f>
        <v>0</v>
      </c>
      <c r="J249" s="93">
        <f>IF(J213="-","-",
IF(
ROUND(J213,8)=
ROUND(SUMIFS(Calc_TUV_ENVGroup_2[Jemena],Calc_TUV_ENVGroup_2[[Cost item]:[Cost item]],$D249,Calc_TUV_ENVGroup_2[[Cost element]:[Cost element]],$G249)*($F$188/$F$189),8),
0,1))</f>
        <v>0</v>
      </c>
      <c r="K249" s="93">
        <f>IF(K213="-","-",
IF(
ROUND(K213,8)=
ROUND(SUMIFS(Calc_TUV_ENVGroup_2[Powercor],Calc_TUV_ENVGroup_2[[Cost item]:[Cost item]],$D249,Calc_TUV_ENVGroup_2[[Cost element]:[Cost element]],$G249)*($F$188/$F$189),8),
0,1))</f>
        <v>0</v>
      </c>
      <c r="L249" s="93">
        <f>IF(L213="-","-",
IF(
ROUND(L213,8)=
ROUND(SUMIFS(Calc_TUV_ENVGroup_2[United Energy],Calc_TUV_ENVGroup_2[[Cost item]:[Cost item]],$D249,Calc_TUV_ENVGroup_2[[Cost element]:[Cost element]],$G249)*($F$188/$F$189),8),
0,1))</f>
        <v>0</v>
      </c>
    </row>
    <row r="250" spans="3:12" ht="15.75" hidden="1" outlineLevel="1" x14ac:dyDescent="0.25">
      <c r="C250" s="59" t="s">
        <v>609</v>
      </c>
      <c r="D250" s="59" t="s">
        <v>603</v>
      </c>
      <c r="E250" s="59" t="s">
        <v>282</v>
      </c>
      <c r="F250" s="59" t="s">
        <v>92</v>
      </c>
      <c r="G250" s="59" t="s">
        <v>151</v>
      </c>
      <c r="H250" s="93">
        <f>IF(H214="-","-",
IF(
ROUND(H214,8)=
ROUND(SUMIFS(Calc_TUV_ENVGroup_2[Ausnet],Calc_TUV_ENVGroup_2[[Cost item]:[Cost item]],$D250,Calc_TUV_ENVGroup_2[[Cost element]:[Cost element]],$G250)*($F$188/$F$189),8),
0,1))</f>
        <v>0</v>
      </c>
      <c r="I250" s="93">
        <f>IF(I214="-","-",
IF(
ROUND(I214,8)=
ROUND(SUMIFS(Calc_TUV_ENVGroup_2[Citipower],Calc_TUV_ENVGroup_2[[Cost item]:[Cost item]],$D250,Calc_TUV_ENVGroup_2[[Cost element]:[Cost element]],$G250)*($F$188/$F$189),8),
0,1))</f>
        <v>0</v>
      </c>
      <c r="J250" s="93">
        <f>IF(J214="-","-",
IF(
ROUND(J214,8)=
ROUND(SUMIFS(Calc_TUV_ENVGroup_2[Jemena],Calc_TUV_ENVGroup_2[[Cost item]:[Cost item]],$D250,Calc_TUV_ENVGroup_2[[Cost element]:[Cost element]],$G250)*($F$188/$F$189),8),
0,1))</f>
        <v>0</v>
      </c>
      <c r="K250" s="93">
        <f>IF(K214="-","-",
IF(
ROUND(K214,8)=
ROUND(SUMIFS(Calc_TUV_ENVGroup_2[Powercor],Calc_TUV_ENVGroup_2[[Cost item]:[Cost item]],$D250,Calc_TUV_ENVGroup_2[[Cost element]:[Cost element]],$G250)*($F$188/$F$189),8),
0,1))</f>
        <v>0</v>
      </c>
      <c r="L250" s="93">
        <f>IF(L214="-","-",
IF(
ROUND(L214,8)=
ROUND(SUMIFS(Calc_TUV_ENVGroup_2[United Energy],Calc_TUV_ENVGroup_2[[Cost item]:[Cost item]],$D250,Calc_TUV_ENVGroup_2[[Cost element]:[Cost element]],$G250)*($F$188/$F$189),8),
0,1))</f>
        <v>0</v>
      </c>
    </row>
    <row r="251" spans="3:12" ht="15.75" hidden="1" outlineLevel="1" x14ac:dyDescent="0.25">
      <c r="C251" s="59" t="s">
        <v>609</v>
      </c>
      <c r="D251" s="59" t="s">
        <v>603</v>
      </c>
      <c r="E251" s="59" t="s">
        <v>282</v>
      </c>
      <c r="F251" s="59" t="s">
        <v>93</v>
      </c>
      <c r="G251" s="59" t="s">
        <v>151</v>
      </c>
      <c r="H251" s="93">
        <f>IF(H215="-","-",
IF(
ROUND(H215,8)=
ROUND(SUMIFS(Calc_TUV_ENVGroup_2[Ausnet],Calc_TUV_ENVGroup_2[[Cost item]:[Cost item]],$D251,Calc_TUV_ENVGroup_2[[Cost element]:[Cost element]],$G251)*($F$188/$F$189),8),
0,1))</f>
        <v>0</v>
      </c>
      <c r="I251" s="93">
        <f>IF(I215="-","-",
IF(
ROUND(I215,8)=
ROUND(SUMIFS(Calc_TUV_ENVGroup_2[Citipower],Calc_TUV_ENVGroup_2[[Cost item]:[Cost item]],$D251,Calc_TUV_ENVGroup_2[[Cost element]:[Cost element]],$G251)*($F$188/$F$189),8),
0,1))</f>
        <v>0</v>
      </c>
      <c r="J251" s="93">
        <f>IF(J215="-","-",
IF(
ROUND(J215,8)=
ROUND(SUMIFS(Calc_TUV_ENVGroup_2[Jemena],Calc_TUV_ENVGroup_2[[Cost item]:[Cost item]],$D251,Calc_TUV_ENVGroup_2[[Cost element]:[Cost element]],$G251)*($F$188/$F$189),8),
0,1))</f>
        <v>0</v>
      </c>
      <c r="K251" s="93">
        <f>IF(K215="-","-",
IF(
ROUND(K215,8)=
ROUND(SUMIFS(Calc_TUV_ENVGroup_2[Powercor],Calc_TUV_ENVGroup_2[[Cost item]:[Cost item]],$D251,Calc_TUV_ENVGroup_2[[Cost element]:[Cost element]],$G251)*($F$188/$F$189),8),
0,1))</f>
        <v>0</v>
      </c>
      <c r="L251" s="93">
        <f>IF(L215="-","-",
IF(
ROUND(L215,8)=
ROUND(SUMIFS(Calc_TUV_ENVGroup_2[United Energy],Calc_TUV_ENVGroup_2[[Cost item]:[Cost item]],$D251,Calc_TUV_ENVGroup_2[[Cost element]:[Cost element]],$G251)*($F$188/$F$189),8),
0,1))</f>
        <v>0</v>
      </c>
    </row>
    <row r="252" spans="3:12" ht="15.75" hidden="1" outlineLevel="1" x14ac:dyDescent="0.25">
      <c r="C252" s="59" t="s">
        <v>549</v>
      </c>
      <c r="D252" s="59" t="s">
        <v>604</v>
      </c>
      <c r="E252" s="59" t="s">
        <v>282</v>
      </c>
      <c r="F252" s="59" t="s">
        <v>92</v>
      </c>
      <c r="G252" s="59" t="s">
        <v>151</v>
      </c>
      <c r="H252" s="93" t="str">
        <f>IF(H216="-","-",
IF(
ROUND(H216,8)=
ROUND(SUMIFS(Calc_TUV_ENVGroup_2[Ausnet],Calc_TUV_ENVGroup_2[[Cost item]:[Cost item]],$D252,Calc_TUV_ENVGroup_2[[Cost element]:[Cost element]],$G252)*($F$188/$F$189),8),
0,1))</f>
        <v>-</v>
      </c>
      <c r="I252" s="93">
        <f>IF(I216="-","-",
IF(
ROUND(I216,8)=
ROUND(SUMIFS(Calc_TUV_ENVGroup_2[Citipower],Calc_TUV_ENVGroup_2[[Cost item]:[Cost item]],$D252,Calc_TUV_ENVGroup_2[[Cost element]:[Cost element]],$G252)*($F$188/$F$189),8),
0,1))</f>
        <v>0</v>
      </c>
      <c r="J252" s="93">
        <f>IF(J216="-","-",
IF(
ROUND(J216,8)=
ROUND(SUMIFS(Calc_TUV_ENVGroup_2[Jemena],Calc_TUV_ENVGroup_2[[Cost item]:[Cost item]],$D252,Calc_TUV_ENVGroup_2[[Cost element]:[Cost element]],$G252)*($F$188/$F$189),8),
0,1))</f>
        <v>0</v>
      </c>
      <c r="K252" s="93">
        <f>IF(K216="-","-",
IF(
ROUND(K216,8)=
ROUND(SUMIFS(Calc_TUV_ENVGroup_2[Powercor],Calc_TUV_ENVGroup_2[[Cost item]:[Cost item]],$D252,Calc_TUV_ENVGroup_2[[Cost element]:[Cost element]],$G252)*($F$188/$F$189),8),
0,1))</f>
        <v>0</v>
      </c>
      <c r="L252" s="93">
        <f>IF(L216="-","-",
IF(
ROUND(L216,8)=
ROUND(SUMIFS(Calc_TUV_ENVGroup_2[United Energy],Calc_TUV_ENVGroup_2[[Cost item]:[Cost item]],$D252,Calc_TUV_ENVGroup_2[[Cost element]:[Cost element]],$G252)*($F$188/$F$189),8),
0,1))</f>
        <v>0</v>
      </c>
    </row>
    <row r="253" spans="3:12" ht="15.75" hidden="1" outlineLevel="1" x14ac:dyDescent="0.25">
      <c r="C253" s="59" t="s">
        <v>549</v>
      </c>
      <c r="D253" s="59" t="s">
        <v>604</v>
      </c>
      <c r="E253" s="59" t="s">
        <v>282</v>
      </c>
      <c r="F253" s="59" t="s">
        <v>93</v>
      </c>
      <c r="G253" s="59" t="s">
        <v>151</v>
      </c>
      <c r="H253" s="93" t="str">
        <f>IF(H217="-","-",
IF(
ROUND(H217,8)=
ROUND(SUMIFS(Calc_TUV_ENVGroup_2[Ausnet],Calc_TUV_ENVGroup_2[[Cost item]:[Cost item]],$D253,Calc_TUV_ENVGroup_2[[Cost element]:[Cost element]],$G253)*($F$188/$F$189),8),
0,1))</f>
        <v>-</v>
      </c>
      <c r="I253" s="93">
        <f>IF(I217="-","-",
IF(
ROUND(I217,8)=
ROUND(SUMIFS(Calc_TUV_ENVGroup_2[Citipower],Calc_TUV_ENVGroup_2[[Cost item]:[Cost item]],$D253,Calc_TUV_ENVGroup_2[[Cost element]:[Cost element]],$G253)*($F$188/$F$189),8),
0,1))</f>
        <v>0</v>
      </c>
      <c r="J253" s="93">
        <f>IF(J217="-","-",
IF(
ROUND(J217,8)=
ROUND(SUMIFS(Calc_TUV_ENVGroup_2[Jemena],Calc_TUV_ENVGroup_2[[Cost item]:[Cost item]],$D253,Calc_TUV_ENVGroup_2[[Cost element]:[Cost element]],$G253)*($F$188/$F$189),8),
0,1))</f>
        <v>0</v>
      </c>
      <c r="K253" s="93">
        <f>IF(K217="-","-",
IF(
ROUND(K217,8)=
ROUND(SUMIFS(Calc_TUV_ENVGroup_2[Powercor],Calc_TUV_ENVGroup_2[[Cost item]:[Cost item]],$D253,Calc_TUV_ENVGroup_2[[Cost element]:[Cost element]],$G253)*($F$188/$F$189),8),
0,1))</f>
        <v>0</v>
      </c>
      <c r="L253" s="93">
        <f>IF(L217="-","-",
IF(
ROUND(L217,8)=
ROUND(SUMIFS(Calc_TUV_ENVGroup_2[United Energy],Calc_TUV_ENVGroup_2[[Cost item]:[Cost item]],$D253,Calc_TUV_ENVGroup_2[[Cost element]:[Cost element]],$G253)*($F$188/$F$189),8),
0,1))</f>
        <v>0</v>
      </c>
    </row>
    <row r="254" spans="3:12" ht="15.75" hidden="1" outlineLevel="1" x14ac:dyDescent="0.25">
      <c r="C254" s="59" t="s">
        <v>221</v>
      </c>
      <c r="D254" s="59" t="s">
        <v>604</v>
      </c>
      <c r="E254" s="59" t="s">
        <v>282</v>
      </c>
      <c r="F254" s="59" t="s">
        <v>92</v>
      </c>
      <c r="G254" s="59" t="s">
        <v>151</v>
      </c>
      <c r="H254" s="93">
        <f>IF(H218="-","-",
IF(
ROUND(H218,8)=
ROUND(SUMIFS(Calc_TUV_ENVGroup_2[Ausnet],Calc_TUV_ENVGroup_2[[Cost item]:[Cost item]],$D254,Calc_TUV_ENVGroup_2[[Cost element]:[Cost element]],$G254)*($F$188/$F$189),8),
0,1))</f>
        <v>0</v>
      </c>
      <c r="I254" s="93" t="str">
        <f>IF(I218="-","-",
IF(
ROUND(I218,8)=
ROUND(SUMIFS(Calc_TUV_ENVGroup_2[Citipower],Calc_TUV_ENVGroup_2[[Cost item]:[Cost item]],$D254,Calc_TUV_ENVGroup_2[[Cost element]:[Cost element]],$G254)*($F$188/$F$189),8),
0,1))</f>
        <v>-</v>
      </c>
      <c r="J254" s="93" t="str">
        <f>IF(J218="-","-",
IF(
ROUND(J218,8)=
ROUND(SUMIFS(Calc_TUV_ENVGroup_2[Jemena],Calc_TUV_ENVGroup_2[[Cost item]:[Cost item]],$D254,Calc_TUV_ENVGroup_2[[Cost element]:[Cost element]],$G254)*($F$188/$F$189),8),
0,1))</f>
        <v>-</v>
      </c>
      <c r="K254" s="93" t="str">
        <f>IF(K218="-","-",
IF(
ROUND(K218,8)=
ROUND(SUMIFS(Calc_TUV_ENVGroup_2[Powercor],Calc_TUV_ENVGroup_2[[Cost item]:[Cost item]],$D254,Calc_TUV_ENVGroup_2[[Cost element]:[Cost element]],$G254)*($F$188/$F$189),8),
0,1))</f>
        <v>-</v>
      </c>
      <c r="L254" s="93" t="str">
        <f>IF(L218="-","-",
IF(
ROUND(L218,8)=
ROUND(SUMIFS(Calc_TUV_ENVGroup_2[United Energy],Calc_TUV_ENVGroup_2[[Cost item]:[Cost item]],$D254,Calc_TUV_ENVGroup_2[[Cost element]:[Cost element]],$G254)*($F$188/$F$189),8),
0,1))</f>
        <v>-</v>
      </c>
    </row>
    <row r="255" spans="3:12" ht="15.75" hidden="1" outlineLevel="1" x14ac:dyDescent="0.25">
      <c r="C255" s="59" t="s">
        <v>221</v>
      </c>
      <c r="D255" s="59" t="s">
        <v>604</v>
      </c>
      <c r="E255" s="59" t="s">
        <v>282</v>
      </c>
      <c r="F255" s="59" t="s">
        <v>93</v>
      </c>
      <c r="G255" s="59" t="s">
        <v>151</v>
      </c>
      <c r="H255" s="93">
        <f>IF(H219="-","-",
IF(
ROUND(H219,8)=
ROUND(SUMIFS(Calc_TUV_ENVGroup_2[Ausnet],Calc_TUV_ENVGroup_2[[Cost item]:[Cost item]],$D255,Calc_TUV_ENVGroup_2[[Cost element]:[Cost element]],$G255)*($F$188/$F$189),8),
0,1))</f>
        <v>0</v>
      </c>
      <c r="I255" s="93" t="str">
        <f>IF(I219="-","-",
IF(
ROUND(I219,8)=
ROUND(SUMIFS(Calc_TUV_ENVGroup_2[Citipower],Calc_TUV_ENVGroup_2[[Cost item]:[Cost item]],$D255,Calc_TUV_ENVGroup_2[[Cost element]:[Cost element]],$G255)*($F$188/$F$189),8),
0,1))</f>
        <v>-</v>
      </c>
      <c r="J255" s="93" t="str">
        <f>IF(J219="-","-",
IF(
ROUND(J219,8)=
ROUND(SUMIFS(Calc_TUV_ENVGroup_2[Jemena],Calc_TUV_ENVGroup_2[[Cost item]:[Cost item]],$D255,Calc_TUV_ENVGroup_2[[Cost element]:[Cost element]],$G255)*($F$188/$F$189),8),
0,1))</f>
        <v>-</v>
      </c>
      <c r="K255" s="93" t="str">
        <f>IF(K219="-","-",
IF(
ROUND(K219,8)=
ROUND(SUMIFS(Calc_TUV_ENVGroup_2[Powercor],Calc_TUV_ENVGroup_2[[Cost item]:[Cost item]],$D255,Calc_TUV_ENVGroup_2[[Cost element]:[Cost element]],$G255)*($F$188/$F$189),8),
0,1))</f>
        <v>-</v>
      </c>
      <c r="L255" s="93" t="str">
        <f>IF(L219="-","-",
IF(
ROUND(L219,8)=
ROUND(SUMIFS(Calc_TUV_ENVGroup_2[United Energy],Calc_TUV_ENVGroup_2[[Cost item]:[Cost item]],$D255,Calc_TUV_ENVGroup_2[[Cost element]:[Cost element]],$G255)*($F$188/$F$189),8),
0,1))</f>
        <v>-</v>
      </c>
    </row>
    <row r="256" spans="3:12" ht="15.75" hidden="1" outlineLevel="1" x14ac:dyDescent="0.25">
      <c r="C256" s="59" t="s">
        <v>287</v>
      </c>
      <c r="D256" s="59" t="s">
        <v>604</v>
      </c>
      <c r="E256" s="59" t="s">
        <v>282</v>
      </c>
      <c r="F256" s="59" t="s">
        <v>92</v>
      </c>
      <c r="G256" s="59" t="s">
        <v>151</v>
      </c>
      <c r="H256" s="93">
        <f>IF(H220="-","-",
IF(
ROUND(H220,8)=
ROUND(SUMIFS(Calc_TUV_ENVGroup_2[Ausnet],Calc_TUV_ENVGroup_2[[Cost item]:[Cost item]],$D256,Calc_TUV_ENVGroup_2[[Cost element]:[Cost element]],$G256)*($F$188/$F$189),8),
0,1))</f>
        <v>0</v>
      </c>
      <c r="I256" s="93">
        <f>IF(I220="-","-",
IF(
ROUND(I220,8)=
ROUND(SUMIFS(Calc_TUV_ENVGroup_2[Citipower],Calc_TUV_ENVGroup_2[[Cost item]:[Cost item]],$D256,Calc_TUV_ENVGroup_2[[Cost element]:[Cost element]],$G256)*($F$188/$F$189),8),
0,1))</f>
        <v>0</v>
      </c>
      <c r="J256" s="93">
        <f>IF(J220="-","-",
IF(
ROUND(J220,8)=
ROUND(SUMIFS(Calc_TUV_ENVGroup_2[Jemena],Calc_TUV_ENVGroup_2[[Cost item]:[Cost item]],$D256,Calc_TUV_ENVGroup_2[[Cost element]:[Cost element]],$G256)*($F$188/$F$189),8),
0,1))</f>
        <v>0</v>
      </c>
      <c r="K256" s="93">
        <f>IF(K220="-","-",
IF(
ROUND(K220,8)=
ROUND(SUMIFS(Calc_TUV_ENVGroup_2[Powercor],Calc_TUV_ENVGroup_2[[Cost item]:[Cost item]],$D256,Calc_TUV_ENVGroup_2[[Cost element]:[Cost element]],$G256)*($F$188/$F$189),8),
0,1))</f>
        <v>0</v>
      </c>
      <c r="L256" s="93">
        <f>IF(L220="-","-",
IF(
ROUND(L220,8)=
ROUND(SUMIFS(Calc_TUV_ENVGroup_2[United Energy],Calc_TUV_ENVGroup_2[[Cost item]:[Cost item]],$D256,Calc_TUV_ENVGroup_2[[Cost element]:[Cost element]],$G256)*($F$188/$F$189),8),
0,1))</f>
        <v>0</v>
      </c>
    </row>
    <row r="257" spans="3:12" ht="15.75" hidden="1" outlineLevel="1" x14ac:dyDescent="0.25">
      <c r="C257" s="59" t="s">
        <v>228</v>
      </c>
      <c r="D257" s="59" t="s">
        <v>604</v>
      </c>
      <c r="E257" s="59" t="s">
        <v>282</v>
      </c>
      <c r="F257" s="59" t="s">
        <v>92</v>
      </c>
      <c r="G257" s="59" t="s">
        <v>151</v>
      </c>
      <c r="H257" s="93">
        <f>IF(H221="-","-",
IF(
ROUND(H221,8)=
ROUND(SUMIFS(Calc_TUV_ENVGroup_2[Ausnet],Calc_TUV_ENVGroup_2[[Cost item]:[Cost item]],$D257,Calc_TUV_ENVGroup_2[[Cost element]:[Cost element]],$G257)*($F$188/$F$189),8),
0,1))</f>
        <v>0</v>
      </c>
      <c r="I257" s="93" t="str">
        <f>IF(I221="-","-",
IF(
ROUND(I221,8)=
ROUND(SUMIFS(Calc_TUV_ENVGroup_2[Citipower],Calc_TUV_ENVGroup_2[[Cost item]:[Cost item]],$D257,Calc_TUV_ENVGroup_2[[Cost element]:[Cost element]],$G257)*($F$188/$F$189),8),
0,1))</f>
        <v>-</v>
      </c>
      <c r="J257" s="93" t="str">
        <f>IF(J221="-","-",
IF(
ROUND(J221,8)=
ROUND(SUMIFS(Calc_TUV_ENVGroup_2[Jemena],Calc_TUV_ENVGroup_2[[Cost item]:[Cost item]],$D257,Calc_TUV_ENVGroup_2[[Cost element]:[Cost element]],$G257)*($F$188/$F$189),8),
0,1))</f>
        <v>-</v>
      </c>
      <c r="K257" s="93" t="str">
        <f>IF(K221="-","-",
IF(
ROUND(K221,8)=
ROUND(SUMIFS(Calc_TUV_ENVGroup_2[Powercor],Calc_TUV_ENVGroup_2[[Cost item]:[Cost item]],$D257,Calc_TUV_ENVGroup_2[[Cost element]:[Cost element]],$G257)*($F$188/$F$189),8),
0,1))</f>
        <v>-</v>
      </c>
      <c r="L257" s="93" t="str">
        <f>IF(L221="-","-",
IF(
ROUND(L221,8)=
ROUND(SUMIFS(Calc_TUV_ENVGroup_2[United Energy],Calc_TUV_ENVGroup_2[[Cost item]:[Cost item]],$D257,Calc_TUV_ENVGroup_2[[Cost element]:[Cost element]],$G257)*($F$188/$F$189),8),
0,1))</f>
        <v>-</v>
      </c>
    </row>
    <row r="258" spans="3:12" ht="15.75" hidden="1" outlineLevel="1" x14ac:dyDescent="0.25">
      <c r="C258" s="59" t="s">
        <v>228</v>
      </c>
      <c r="D258" s="59" t="s">
        <v>604</v>
      </c>
      <c r="E258" s="59" t="s">
        <v>282</v>
      </c>
      <c r="F258" s="59" t="s">
        <v>93</v>
      </c>
      <c r="G258" s="59" t="s">
        <v>151</v>
      </c>
      <c r="H258" s="93">
        <f>IF(H222="-","-",
IF(
ROUND(H222,8)=
ROUND(SUMIFS(Calc_TUV_ENVGroup_2[Ausnet],Calc_TUV_ENVGroup_2[[Cost item]:[Cost item]],$D258,Calc_TUV_ENVGroup_2[[Cost element]:[Cost element]],$G258)*($F$188/$F$189),8),
0,1))</f>
        <v>0</v>
      </c>
      <c r="I258" s="93" t="str">
        <f>IF(I222="-","-",
IF(
ROUND(I222,8)=
ROUND(SUMIFS(Calc_TUV_ENVGroup_2[Citipower],Calc_TUV_ENVGroup_2[[Cost item]:[Cost item]],$D258,Calc_TUV_ENVGroup_2[[Cost element]:[Cost element]],$G258)*($F$188/$F$189),8),
0,1))</f>
        <v>-</v>
      </c>
      <c r="J258" s="93" t="str">
        <f>IF(J222="-","-",
IF(
ROUND(J222,8)=
ROUND(SUMIFS(Calc_TUV_ENVGroup_2[Jemena],Calc_TUV_ENVGroup_2[[Cost item]:[Cost item]],$D258,Calc_TUV_ENVGroup_2[[Cost element]:[Cost element]],$G258)*($F$188/$F$189),8),
0,1))</f>
        <v>-</v>
      </c>
      <c r="K258" s="93" t="str">
        <f>IF(K222="-","-",
IF(
ROUND(K222,8)=
ROUND(SUMIFS(Calc_TUV_ENVGroup_2[Powercor],Calc_TUV_ENVGroup_2[[Cost item]:[Cost item]],$D258,Calc_TUV_ENVGroup_2[[Cost element]:[Cost element]],$G258)*($F$188/$F$189),8),
0,1))</f>
        <v>-</v>
      </c>
      <c r="L258" s="93" t="str">
        <f>IF(L222="-","-",
IF(
ROUND(L222,8)=
ROUND(SUMIFS(Calc_TUV_ENVGroup_2[United Energy],Calc_TUV_ENVGroup_2[[Cost item]:[Cost item]],$D258,Calc_TUV_ENVGroup_2[[Cost element]:[Cost element]],$G258)*($F$188/$F$189),8),
0,1))</f>
        <v>-</v>
      </c>
    </row>
    <row r="259" spans="3:12" ht="15.75" hidden="1" outlineLevel="1" x14ac:dyDescent="0.25">
      <c r="C259" s="59" t="s">
        <v>230</v>
      </c>
      <c r="D259" s="59" t="s">
        <v>604</v>
      </c>
      <c r="E259" s="59" t="s">
        <v>282</v>
      </c>
      <c r="F259" s="59" t="s">
        <v>92</v>
      </c>
      <c r="G259" s="59" t="s">
        <v>151</v>
      </c>
      <c r="H259" s="93">
        <f>IF(H223="-","-",
IF(
ROUND(H223,8)=
ROUND(SUMIFS(Calc_TUV_ENVGroup_2[Ausnet],Calc_TUV_ENVGroup_2[[Cost item]:[Cost item]],$D259,Calc_TUV_ENVGroup_2[[Cost element]:[Cost element]],$G259)*($F$188/$F$189),8),
0,1))</f>
        <v>0</v>
      </c>
      <c r="I259" s="93">
        <f>IF(I223="-","-",
IF(
ROUND(I223,8)=
ROUND(SUMIFS(Calc_TUV_ENVGroup_2[Citipower],Calc_TUV_ENVGroup_2[[Cost item]:[Cost item]],$D259,Calc_TUV_ENVGroup_2[[Cost element]:[Cost element]],$G259)*($F$188/$F$189),8),
0,1))</f>
        <v>0</v>
      </c>
      <c r="J259" s="93">
        <f>IF(J223="-","-",
IF(
ROUND(J223,8)=
ROUND(SUMIFS(Calc_TUV_ENVGroup_2[Jemena],Calc_TUV_ENVGroup_2[[Cost item]:[Cost item]],$D259,Calc_TUV_ENVGroup_2[[Cost element]:[Cost element]],$G259)*($F$188/$F$189),8),
0,1))</f>
        <v>0</v>
      </c>
      <c r="K259" s="93">
        <f>IF(K223="-","-",
IF(
ROUND(K223,8)=
ROUND(SUMIFS(Calc_TUV_ENVGroup_2[Powercor],Calc_TUV_ENVGroup_2[[Cost item]:[Cost item]],$D259,Calc_TUV_ENVGroup_2[[Cost element]:[Cost element]],$G259)*($F$188/$F$189),8),
0,1))</f>
        <v>0</v>
      </c>
      <c r="L259" s="93">
        <f>IF(L223="-","-",
IF(
ROUND(L223,8)=
ROUND(SUMIFS(Calc_TUV_ENVGroup_2[United Energy],Calc_TUV_ENVGroup_2[[Cost item]:[Cost item]],$D259,Calc_TUV_ENVGroup_2[[Cost element]:[Cost element]],$G259)*($F$188/$F$189),8),
0,1))</f>
        <v>0</v>
      </c>
    </row>
    <row r="260" spans="3:12" ht="15.75" hidden="1" outlineLevel="1" x14ac:dyDescent="0.25">
      <c r="C260" s="59" t="s">
        <v>230</v>
      </c>
      <c r="D260" s="59" t="s">
        <v>604</v>
      </c>
      <c r="E260" s="59" t="s">
        <v>282</v>
      </c>
      <c r="F260" s="59" t="s">
        <v>93</v>
      </c>
      <c r="G260" s="59" t="s">
        <v>151</v>
      </c>
      <c r="H260" s="93">
        <f>IF(H224="-","-",
IF(
ROUND(H224,8)=
ROUND(SUMIFS(Calc_TUV_ENVGroup_2[Ausnet],Calc_TUV_ENVGroup_2[[Cost item]:[Cost item]],$D260,Calc_TUV_ENVGroup_2[[Cost element]:[Cost element]],$G260)*($F$188/$F$189),8),
0,1))</f>
        <v>0</v>
      </c>
      <c r="I260" s="93">
        <f>IF(I224="-","-",
IF(
ROUND(I224,8)=
ROUND(SUMIFS(Calc_TUV_ENVGroup_2[Citipower],Calc_TUV_ENVGroup_2[[Cost item]:[Cost item]],$D260,Calc_TUV_ENVGroup_2[[Cost element]:[Cost element]],$G260)*($F$188/$F$189),8),
0,1))</f>
        <v>0</v>
      </c>
      <c r="J260" s="93">
        <f>IF(J224="-","-",
IF(
ROUND(J224,8)=
ROUND(SUMIFS(Calc_TUV_ENVGroup_2[Jemena],Calc_TUV_ENVGroup_2[[Cost item]:[Cost item]],$D260,Calc_TUV_ENVGroup_2[[Cost element]:[Cost element]],$G260)*($F$188/$F$189),8),
0,1))</f>
        <v>0</v>
      </c>
      <c r="K260" s="93">
        <f>IF(K224="-","-",
IF(
ROUND(K224,8)=
ROUND(SUMIFS(Calc_TUV_ENVGroup_2[Powercor],Calc_TUV_ENVGroup_2[[Cost item]:[Cost item]],$D260,Calc_TUV_ENVGroup_2[[Cost element]:[Cost element]],$G260)*($F$188/$F$189),8),
0,1))</f>
        <v>0</v>
      </c>
      <c r="L260" s="93">
        <f>IF(L224="-","-",
IF(
ROUND(L224,8)=
ROUND(SUMIFS(Calc_TUV_ENVGroup_2[United Energy],Calc_TUV_ENVGroup_2[[Cost item]:[Cost item]],$D260,Calc_TUV_ENVGroup_2[[Cost element]:[Cost element]],$G260)*($F$188/$F$189),8),
0,1))</f>
        <v>0</v>
      </c>
    </row>
    <row r="261" spans="3:12" ht="15.75" hidden="1" outlineLevel="1" x14ac:dyDescent="0.25">
      <c r="C261" s="59" t="s">
        <v>609</v>
      </c>
      <c r="D261" s="59" t="s">
        <v>604</v>
      </c>
      <c r="E261" s="59" t="s">
        <v>282</v>
      </c>
      <c r="F261" s="59" t="s">
        <v>92</v>
      </c>
      <c r="G261" s="59" t="s">
        <v>151</v>
      </c>
      <c r="H261" s="93">
        <f>IF(H225="-","-",
IF(
ROUND(H225,8)=
ROUND(SUMIFS(Calc_TUV_ENVGroup_2[Ausnet],Calc_TUV_ENVGroup_2[[Cost item]:[Cost item]],$D261,Calc_TUV_ENVGroup_2[[Cost element]:[Cost element]],$G261)*($F$188/$F$189),8),
0,1))</f>
        <v>0</v>
      </c>
      <c r="I261" s="93">
        <f>IF(I225="-","-",
IF(
ROUND(I225,8)=
ROUND(SUMIFS(Calc_TUV_ENVGroup_2[Citipower],Calc_TUV_ENVGroup_2[[Cost item]:[Cost item]],$D261,Calc_TUV_ENVGroup_2[[Cost element]:[Cost element]],$G261)*($F$188/$F$189),8),
0,1))</f>
        <v>0</v>
      </c>
      <c r="J261" s="93">
        <f>IF(J225="-","-",
IF(
ROUND(J225,8)=
ROUND(SUMIFS(Calc_TUV_ENVGroup_2[Jemena],Calc_TUV_ENVGroup_2[[Cost item]:[Cost item]],$D261,Calc_TUV_ENVGroup_2[[Cost element]:[Cost element]],$G261)*($F$188/$F$189),8),
0,1))</f>
        <v>0</v>
      </c>
      <c r="K261" s="93">
        <f>IF(K225="-","-",
IF(
ROUND(K225,8)=
ROUND(SUMIFS(Calc_TUV_ENVGroup_2[Powercor],Calc_TUV_ENVGroup_2[[Cost item]:[Cost item]],$D261,Calc_TUV_ENVGroup_2[[Cost element]:[Cost element]],$G261)*($F$188/$F$189),8),
0,1))</f>
        <v>0</v>
      </c>
      <c r="L261" s="93">
        <f>IF(L225="-","-",
IF(
ROUND(L225,8)=
ROUND(SUMIFS(Calc_TUV_ENVGroup_2[United Energy],Calc_TUV_ENVGroup_2[[Cost item]:[Cost item]],$D261,Calc_TUV_ENVGroup_2[[Cost element]:[Cost element]],$G261)*($F$188/$F$189),8),
0,1))</f>
        <v>0</v>
      </c>
    </row>
    <row r="262" spans="3:12" ht="15.75" hidden="1" outlineLevel="1" x14ac:dyDescent="0.25">
      <c r="C262" s="59" t="s">
        <v>609</v>
      </c>
      <c r="D262" s="59" t="s">
        <v>604</v>
      </c>
      <c r="E262" s="59" t="s">
        <v>282</v>
      </c>
      <c r="F262" s="59" t="s">
        <v>93</v>
      </c>
      <c r="G262" s="59" t="s">
        <v>151</v>
      </c>
      <c r="H262" s="93">
        <f>IF(H226="-","-",
IF(
ROUND(H226,8)=
ROUND(SUMIFS(Calc_TUV_ENVGroup_2[Ausnet],Calc_TUV_ENVGroup_2[[Cost item]:[Cost item]],$D262,Calc_TUV_ENVGroup_2[[Cost element]:[Cost element]],$G262)*($F$188/$F$189),8),
0,1))</f>
        <v>0</v>
      </c>
      <c r="I262" s="93">
        <f>IF(I226="-","-",
IF(
ROUND(I226,8)=
ROUND(SUMIFS(Calc_TUV_ENVGroup_2[Citipower],Calc_TUV_ENVGroup_2[[Cost item]:[Cost item]],$D262,Calc_TUV_ENVGroup_2[[Cost element]:[Cost element]],$G262)*($F$188/$F$189),8),
0,1))</f>
        <v>0</v>
      </c>
      <c r="J262" s="93">
        <f>IF(J226="-","-",
IF(
ROUND(J226,8)=
ROUND(SUMIFS(Calc_TUV_ENVGroup_2[Jemena],Calc_TUV_ENVGroup_2[[Cost item]:[Cost item]],$D262,Calc_TUV_ENVGroup_2[[Cost element]:[Cost element]],$G262)*($F$188/$F$189),8),
0,1))</f>
        <v>0</v>
      </c>
      <c r="K262" s="93">
        <f>IF(K226="-","-",
IF(
ROUND(K226,8)=
ROUND(SUMIFS(Calc_TUV_ENVGroup_2[Powercor],Calc_TUV_ENVGroup_2[[Cost item]:[Cost item]],$D262,Calc_TUV_ENVGroup_2[[Cost element]:[Cost element]],$G262)*($F$188/$F$189),8),
0,1))</f>
        <v>0</v>
      </c>
      <c r="L262" s="93">
        <f>IF(L226="-","-",
IF(
ROUND(L226,8)=
ROUND(SUMIFS(Calc_TUV_ENVGroup_2[United Energy],Calc_TUV_ENVGroup_2[[Cost item]:[Cost item]],$D262,Calc_TUV_ENVGroup_2[[Cost element]:[Cost element]],$G262)*($F$188/$F$189),8),
0,1))</f>
        <v>0</v>
      </c>
    </row>
    <row r="264" spans="3:12" x14ac:dyDescent="0.25">
      <c r="H264" s="78"/>
      <c r="I264" s="78"/>
      <c r="J264" s="78"/>
      <c r="K264" s="78"/>
      <c r="L264" s="78"/>
    </row>
    <row r="267" spans="3:12" x14ac:dyDescent="0.25">
      <c r="H267" s="342"/>
    </row>
  </sheetData>
  <sheetProtection algorithmName="SHA-512" hashValue="YHH2lzRUkCVL+kVjb/ufVBj/lSrCec6+BOe6Y1tJvd8J2AWGfxAdiXV5R1ezWDKd2SS0Cu4TuIv61a27s2HdNw==" saltValue="ywoZkqNmp7C209+yGSeBNw==" spinCount="100000" sheet="1" objects="1" scenarios="1"/>
  <mergeCells count="1">
    <mergeCell ref="A2:A3"/>
  </mergeCells>
  <phoneticPr fontId="30" type="noConversion"/>
  <pageMargins left="0.7" right="0.7" top="0.75" bottom="0.75" header="0.3" footer="0.3"/>
  <pageSetup paperSize="9" orientation="portrait" r:id="rId1"/>
  <tableParts count="10">
    <tablePart r:id="rId2"/>
    <tablePart r:id="rId3"/>
    <tablePart r:id="rId4"/>
    <tablePart r:id="rId5"/>
    <tablePart r:id="rId6"/>
    <tablePart r:id="rId7"/>
    <tablePart r:id="rId8"/>
    <tablePart r:id="rId9"/>
    <tablePart r:id="rId10"/>
    <tablePart r:id="rId11"/>
  </tableParts>
  <extLst>
    <ext xmlns:x14="http://schemas.microsoft.com/office/spreadsheetml/2009/9/main" uri="{CCE6A557-97BC-4b89-ADB6-D9C93CAAB3DF}">
      <x14:dataValidations xmlns:xm="http://schemas.microsoft.com/office/excel/2006/main" count="3">
        <x14:dataValidation type="list" allowBlank="1" showInputMessage="1" showErrorMessage="1" xr:uid="{6617A46C-B968-43BA-9E13-719722B65CFE}">
          <x14:formula1>
            <xm:f>'Lookup refs'!$G$8:$G$10</xm:f>
          </x14:formula1>
          <xm:sqref>F64:F96 F100:F132 F184:F186 F11:F19 F98 F178:F179 F141:F149 F194:F226 F228 F54:F56 F230:F262 F170:F172 F158:F162 F28:F32 F40:F42</xm:sqref>
        </x14:dataValidation>
        <x14:dataValidation type="list" allowBlank="1" showInputMessage="1" showErrorMessage="1" xr:uid="{24461534-7B65-4CD7-AC66-5EE85C5EAA2D}">
          <x14:formula1>
            <xm:f>'Lookup refs'!$E$8:$E$20</xm:f>
          </x14:formula1>
          <xm:sqref>E184:E186 E100:E132 E64:E96 E11:E19 E98 E178:E179 E141:E149 E230:E262 E194:E226 E228 E54:E56 E170:E172 E158:E162 E28:E32 E40:E42</xm:sqref>
        </x14:dataValidation>
        <x14:dataValidation type="list" allowBlank="1" showInputMessage="1" showErrorMessage="1" xr:uid="{C6CFE2F4-435E-4577-9383-0CE7F7F69F73}">
          <x14:formula1>
            <xm:f>'Lookup refs'!$C$8:$C$10</xm:f>
          </x14:formula1>
          <xm:sqref>D184:D186 D98 D11:D19 D178:D179 D141:D149 D228 D54:D56 D170:D172 D158:D162 D28:D32 D40:D42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AA2C-AE0E-470D-92B2-A7ADC3EE59F8}">
  <sheetPr codeName="Sheet11">
    <tabColor theme="4" tint="0.79998168889431442"/>
  </sheetPr>
  <dimension ref="A1:V261"/>
  <sheetViews>
    <sheetView showGridLines="0" topLeftCell="B1" zoomScale="85" zoomScaleNormal="85" workbookViewId="0">
      <pane xSplit="6" ySplit="10" topLeftCell="H11" activePane="bottomRight" state="frozen"/>
      <selection activeCell="B1" sqref="B1"/>
      <selection pane="topRight" activeCell="H1" sqref="H1"/>
      <selection pane="bottomLeft" activeCell="B11" sqref="B11"/>
      <selection pane="bottomRight" activeCell="C4" sqref="C4"/>
    </sheetView>
  </sheetViews>
  <sheetFormatPr defaultColWidth="9.42578125" defaultRowHeight="15" outlineLevelRow="1" outlineLevelCol="1" x14ac:dyDescent="0.25"/>
  <cols>
    <col min="1" max="1" width="100.5703125" hidden="1" customWidth="1" outlineLevel="1"/>
    <col min="2" max="2" width="10.5703125" style="6" customWidth="1" collapsed="1"/>
    <col min="3" max="3" width="28.42578125" customWidth="1"/>
    <col min="4" max="4" width="63.42578125" bestFit="1" customWidth="1"/>
    <col min="5" max="5" width="28.42578125" customWidth="1"/>
    <col min="6" max="6" width="19.5703125" customWidth="1"/>
    <col min="7" max="7" width="20.42578125" customWidth="1"/>
    <col min="8" max="21" width="25.5703125" customWidth="1"/>
    <col min="22" max="22" width="11.42578125" customWidth="1"/>
  </cols>
  <sheetData>
    <row r="1" spans="1:22" ht="15" customHeight="1" x14ac:dyDescent="0.25">
      <c r="A1" s="1" t="s">
        <v>20</v>
      </c>
      <c r="B1" s="21"/>
      <c r="C1" s="22"/>
      <c r="D1" s="22"/>
      <c r="E1" s="22"/>
      <c r="F1" s="22"/>
      <c r="G1" s="22"/>
      <c r="H1" s="22"/>
      <c r="I1" s="22"/>
      <c r="J1" s="22"/>
      <c r="K1" s="22"/>
      <c r="L1" s="22"/>
      <c r="M1" s="22"/>
      <c r="N1" s="22"/>
      <c r="O1" s="22"/>
      <c r="P1" s="22"/>
      <c r="Q1" s="22"/>
      <c r="R1" s="22"/>
      <c r="S1" s="22"/>
      <c r="T1" s="22"/>
      <c r="U1" s="22"/>
      <c r="V1" s="22"/>
    </row>
    <row r="2" spans="1:22" s="4" customFormat="1" ht="50.1" customHeight="1" x14ac:dyDescent="0.25">
      <c r="A2" s="382" t="s">
        <v>98</v>
      </c>
      <c r="B2" s="25"/>
      <c r="C2" s="25" t="str">
        <f>Disclaimer!$B$1</f>
        <v>VDO calculation model</v>
      </c>
      <c r="D2" s="25"/>
      <c r="E2" s="25"/>
      <c r="F2" s="25"/>
      <c r="G2" s="25"/>
      <c r="H2" s="25"/>
      <c r="I2" s="25"/>
      <c r="J2" s="25"/>
      <c r="K2" s="25"/>
      <c r="L2" s="25"/>
      <c r="M2" s="25"/>
      <c r="N2" s="25"/>
      <c r="O2" s="25"/>
      <c r="P2" s="25"/>
      <c r="Q2" s="25"/>
      <c r="R2" s="25"/>
      <c r="S2" s="25"/>
      <c r="T2" s="25"/>
      <c r="U2" s="25"/>
      <c r="V2" s="25"/>
    </row>
    <row r="3" spans="1:22" s="4" customFormat="1" ht="30" customHeight="1" x14ac:dyDescent="0.25">
      <c r="A3" s="383"/>
      <c r="B3" s="27">
        <f ca="1">_xlfn.SHEET()</f>
        <v>15</v>
      </c>
      <c r="C3" s="26" t="s">
        <v>44</v>
      </c>
      <c r="D3" s="26"/>
      <c r="E3" s="26"/>
      <c r="F3" s="26"/>
      <c r="G3" s="26"/>
      <c r="H3" s="26"/>
      <c r="I3" s="26"/>
      <c r="J3" s="26"/>
      <c r="K3" s="26"/>
      <c r="L3" s="26"/>
      <c r="M3" s="26"/>
      <c r="N3" s="26"/>
      <c r="O3" s="26"/>
      <c r="P3" s="26"/>
      <c r="Q3" s="26"/>
      <c r="R3" s="26"/>
      <c r="S3" s="26"/>
      <c r="T3" s="26"/>
      <c r="U3" s="26"/>
      <c r="V3" s="26"/>
    </row>
    <row r="4" spans="1:22" x14ac:dyDescent="0.25">
      <c r="B4"/>
      <c r="S4" s="303"/>
    </row>
    <row r="5" spans="1:22" ht="16.5" thickBot="1" x14ac:dyDescent="0.3">
      <c r="A5" s="1" t="s">
        <v>23</v>
      </c>
      <c r="B5" s="9">
        <f ca="1">MAX(B$3:B4)+0.1</f>
        <v>15.1</v>
      </c>
      <c r="C5" s="28" t="s">
        <v>99</v>
      </c>
      <c r="D5" s="28"/>
      <c r="E5" s="28"/>
      <c r="F5" s="28"/>
      <c r="G5" s="28"/>
      <c r="H5" s="28"/>
      <c r="I5" s="28"/>
      <c r="J5" s="28"/>
      <c r="K5" s="28"/>
      <c r="L5" s="28"/>
      <c r="M5" s="28"/>
      <c r="N5" s="28"/>
      <c r="O5" s="28"/>
      <c r="P5" s="28"/>
      <c r="Q5" s="28"/>
      <c r="R5" s="28"/>
      <c r="S5" s="28"/>
      <c r="T5" s="28"/>
      <c r="U5" s="28"/>
      <c r="V5" s="28"/>
    </row>
    <row r="6" spans="1:22" outlineLevel="1" x14ac:dyDescent="0.25"/>
    <row r="7" spans="1:22" ht="15.75" outlineLevel="1" x14ac:dyDescent="0.25">
      <c r="G7" s="40" t="s">
        <v>100</v>
      </c>
      <c r="H7" s="2">
        <v>2021</v>
      </c>
      <c r="I7" s="2">
        <v>2021</v>
      </c>
      <c r="J7" s="2">
        <v>2021</v>
      </c>
      <c r="K7" s="2">
        <v>2021</v>
      </c>
      <c r="L7" s="2">
        <v>2021</v>
      </c>
      <c r="M7" s="2">
        <v>2021</v>
      </c>
      <c r="N7" s="2">
        <v>2022</v>
      </c>
      <c r="O7" s="2">
        <v>2022</v>
      </c>
      <c r="P7" s="2">
        <v>2022</v>
      </c>
      <c r="Q7" s="2">
        <v>2022</v>
      </c>
      <c r="R7" s="2" t="s">
        <v>817</v>
      </c>
      <c r="S7" s="2" t="s">
        <v>817</v>
      </c>
      <c r="T7" s="2" t="s">
        <v>817</v>
      </c>
      <c r="U7" s="2" t="s">
        <v>817</v>
      </c>
    </row>
    <row r="8" spans="1:22" ht="15.75" outlineLevel="1" x14ac:dyDescent="0.25">
      <c r="G8" s="40" t="s">
        <v>101</v>
      </c>
      <c r="H8" s="82" t="str">
        <f>"VDO "&amp;H7&amp;" - "&amp;IF(LEFT(H10,1)="F","Final",IF(LEFT(H10,1)="D","Draft",IF(LEFT(H10,2)="VD","Variation draft",IF(LEFT(H10,2)="VF","Variation final"))))&amp;" - Input Date"</f>
        <v>VDO 2021 - Final - Input Date</v>
      </c>
      <c r="I8" s="41" t="str">
        <f>"VDO "&amp;I7&amp;" - "&amp;IF(LEFT(I10,1)="F","Final",IF(LEFT(I10,1)="D","Draft",IF(LEFT(I10,2)="VD","Variation draft",IF(LEFT(I10,2)="VF","Variation final"))))</f>
        <v>VDO 2021 - Final</v>
      </c>
      <c r="J8" s="82" t="str">
        <f>"VDO "&amp;J7&amp;" - "&amp;IF(LEFT(J10,1)="F","Final",IF(LEFT(J10,1)="D","Draft",IF(LEFT(J10,2)="VD","Variation draft",IF(LEFT(J10,2)="VF","Variation final"))))&amp;" - Input Date"</f>
        <v>VDO 2021 - Variation draft - Input Date</v>
      </c>
      <c r="K8" s="41" t="str">
        <f>"VDO "&amp;K7&amp;" - "&amp;IF(LEFT(K10,1)="F","Final",IF(LEFT(K10,1)="D","Draft",IF(LEFT(K10,2)="VD","Variation draft",IF(LEFT(K10,2)="VF","Variation final"))))</f>
        <v>VDO 2021 - Variation draft</v>
      </c>
      <c r="L8" s="82" t="str">
        <f>"VDO "&amp;L7&amp;" - "&amp;IF(LEFT(L10,1)="F","Final",IF(LEFT(L10,1)="D","Draft",IF(LEFT(L10,2)="VD","Variation draft",IF(LEFT(L10,2)="VF","Variation final"))))&amp;" - Input Date"</f>
        <v>VDO 2021 - Variation final - Input Date</v>
      </c>
      <c r="M8" s="41" t="str">
        <f>"VDO "&amp;M7&amp;" - "&amp;IF(LEFT(M10,1)="F","Final",IF(LEFT(M10,1)="D","Draft",IF(LEFT(M10,2)="VD","Variation draft",IF(LEFT(M10,2)="VF","Variation final"))))</f>
        <v>VDO 2021 - Variation final</v>
      </c>
      <c r="N8" s="82" t="str">
        <f>"VDO "&amp;N7&amp;" - "&amp;IF(LEFT(N10,1)="F","Final",IF(LEFT(N10,1)="D","Draft",IF(LEFT(N10,2)="VD","Variation draft",IF(LEFT(N10,2)="VF","Variation final"))))&amp;" - Input Date"</f>
        <v>VDO 2022 - Draft - Input Date</v>
      </c>
      <c r="O8" s="41" t="str">
        <f>"VDO "&amp;O7&amp;" - "&amp;IF(LEFT(O10,1)="F","Final",IF(LEFT(O10,1)="D","Draft",IF(LEFT(O10,2)="VD","Variation draft",IF(LEFT(O10,2)="VF","Variation final"))))</f>
        <v>VDO 2022 - Draft</v>
      </c>
      <c r="P8" s="82" t="str">
        <f>"VDO "&amp;P7&amp;" - "&amp;IF(LEFT(P10,1)="F","Final",IF(LEFT(P10,1)="D","Draft",IF(LEFT(P10,2)="VD","Variation draft",IF(LEFT(P10,2)="VF","Variation final"))))&amp;" - Input Date"</f>
        <v>VDO 2022 - Final - Input Date</v>
      </c>
      <c r="Q8" s="41" t="str">
        <f>"VDO "&amp;Q7&amp;" - "&amp;IF(LEFT(Q10,1)="F","Final",IF(LEFT(Q10,1)="D","Draft",IF(LEFT(Q10,2)="VD","Variation draft",IF(LEFT(Q10,2)="VF","Variation final"))))</f>
        <v>VDO 2022 - Final</v>
      </c>
      <c r="R8" s="82" t="str">
        <f>"VDO "&amp;R7&amp;" - "&amp;IF(LEFT(R10,1)="F","Final",IF(LEFT(R10,1)="D","Draft",IF(LEFT(R10,2)="VD","Variation draft",IF(LEFT(R10,2)="VF","Variation final"))))&amp;" - Input Date"</f>
        <v>VDO 2022-23 - Draft - Input Date</v>
      </c>
      <c r="S8" s="41" t="str">
        <f>"VDO "&amp;S7&amp;" - "&amp;IF(LEFT(S10,1)="F","Final",IF(LEFT(S10,1)="D","Draft",IF(LEFT(S10,2)="VD","Variation draft",IF(LEFT(S10,2)="VF","Variation final"))))</f>
        <v>VDO 2022-23 - Draft</v>
      </c>
      <c r="T8" s="82" t="str">
        <f>"VDO "&amp;T7&amp;" - "&amp;IF(LEFT(T10,1)="F","Final",IF(LEFT(T10,1)="D","Draft",IF(LEFT(T10,2)="VD","Variation draft",IF(LEFT(T10,2)="VF","Variation final"))))&amp;" - Input Date"</f>
        <v>VDO 2022-23 - Final - Input Date</v>
      </c>
      <c r="U8" s="41" t="str">
        <f>"VDO "&amp;U7&amp;" - "&amp;IF(LEFT(U10,1)="F","Final",IF(LEFT(U10,1)="D","Draft",IF(LEFT(U10,2)="VD","Variation draft",IF(LEFT(U10,2)="VF","Variation final"))))</f>
        <v>VDO 2022-23 - Final</v>
      </c>
    </row>
    <row r="9" spans="1:22" ht="15.75" outlineLevel="1" x14ac:dyDescent="0.25">
      <c r="C9" s="29" t="s">
        <v>559</v>
      </c>
    </row>
    <row r="10" spans="1:22" ht="15.75" outlineLevel="1" x14ac:dyDescent="0.25">
      <c r="C10" s="42" t="s">
        <v>45</v>
      </c>
      <c r="D10" s="42" t="s">
        <v>46</v>
      </c>
      <c r="E10" s="42" t="s">
        <v>102</v>
      </c>
      <c r="F10" s="42" t="s">
        <v>103</v>
      </c>
      <c r="G10" s="42" t="s">
        <v>91</v>
      </c>
      <c r="H10" s="42" t="s">
        <v>832</v>
      </c>
      <c r="I10" s="42" t="s">
        <v>831</v>
      </c>
      <c r="J10" s="43" t="s">
        <v>830</v>
      </c>
      <c r="K10" s="43" t="s">
        <v>829</v>
      </c>
      <c r="L10" s="43" t="s">
        <v>828</v>
      </c>
      <c r="M10" s="43" t="s">
        <v>827</v>
      </c>
      <c r="N10" s="42" t="s">
        <v>826</v>
      </c>
      <c r="O10" s="42" t="s">
        <v>825</v>
      </c>
      <c r="P10" s="42" t="s">
        <v>824</v>
      </c>
      <c r="Q10" s="42" t="s">
        <v>47</v>
      </c>
      <c r="R10" s="42" t="s">
        <v>104</v>
      </c>
      <c r="S10" s="42" t="s">
        <v>48</v>
      </c>
      <c r="T10" s="42" t="s">
        <v>105</v>
      </c>
      <c r="U10" s="42" t="s">
        <v>49</v>
      </c>
    </row>
    <row r="11" spans="1:22" outlineLevel="1" x14ac:dyDescent="0.25">
      <c r="C11" s="23" t="s">
        <v>106</v>
      </c>
      <c r="D11" s="23" t="s">
        <v>107</v>
      </c>
      <c r="E11" s="23" t="s">
        <v>108</v>
      </c>
      <c r="F11" s="23" t="s">
        <v>109</v>
      </c>
      <c r="G11" s="23" t="s">
        <v>110</v>
      </c>
      <c r="H11" s="98">
        <v>42916</v>
      </c>
      <c r="I11" s="39">
        <v>121.07</v>
      </c>
      <c r="J11" s="98">
        <v>42916</v>
      </c>
      <c r="K11" s="119">
        <v>121.07</v>
      </c>
      <c r="L11" s="98">
        <v>42916</v>
      </c>
      <c r="M11" s="39">
        <v>121.07</v>
      </c>
      <c r="N11" s="99">
        <v>42916</v>
      </c>
      <c r="O11" s="55">
        <v>121.07</v>
      </c>
      <c r="P11" s="99">
        <v>42916</v>
      </c>
      <c r="Q11" s="55">
        <v>121.07</v>
      </c>
      <c r="R11" s="99">
        <v>42916</v>
      </c>
      <c r="S11" s="55">
        <v>121.07</v>
      </c>
      <c r="T11" s="99"/>
      <c r="U11" s="55"/>
    </row>
    <row r="12" spans="1:22" outlineLevel="1" x14ac:dyDescent="0.25">
      <c r="C12" s="23" t="s">
        <v>106</v>
      </c>
      <c r="D12" s="23" t="s">
        <v>111</v>
      </c>
      <c r="E12" s="23" t="s">
        <v>108</v>
      </c>
      <c r="F12" s="23" t="s">
        <v>109</v>
      </c>
      <c r="G12" s="23" t="s">
        <v>110</v>
      </c>
      <c r="H12" s="98">
        <v>43646</v>
      </c>
      <c r="I12" s="39">
        <v>10</v>
      </c>
      <c r="J12" s="98">
        <v>43646</v>
      </c>
      <c r="K12" s="119">
        <v>10</v>
      </c>
      <c r="L12" s="98">
        <v>43646</v>
      </c>
      <c r="M12" s="39">
        <v>10</v>
      </c>
      <c r="N12" s="99">
        <v>44561</v>
      </c>
      <c r="O12" s="55">
        <v>10</v>
      </c>
      <c r="P12" s="99">
        <v>44561</v>
      </c>
      <c r="Q12" s="55">
        <v>10</v>
      </c>
      <c r="R12" s="99">
        <v>44742</v>
      </c>
      <c r="S12" s="55">
        <v>10</v>
      </c>
      <c r="T12" s="99"/>
      <c r="U12" s="55"/>
    </row>
    <row r="13" spans="1:22" outlineLevel="1" x14ac:dyDescent="0.25">
      <c r="C13" s="23" t="s">
        <v>106</v>
      </c>
      <c r="D13" s="23" t="s">
        <v>112</v>
      </c>
      <c r="E13" s="23" t="s">
        <v>108</v>
      </c>
      <c r="F13" s="23" t="s">
        <v>109</v>
      </c>
      <c r="G13" s="23" t="s">
        <v>110</v>
      </c>
      <c r="H13" s="98">
        <v>44196</v>
      </c>
      <c r="I13" s="39">
        <v>0.210145</v>
      </c>
      <c r="J13" s="98">
        <v>44196</v>
      </c>
      <c r="K13" s="119">
        <v>0.210145</v>
      </c>
      <c r="L13" s="98">
        <v>44196</v>
      </c>
      <c r="M13" s="39">
        <v>0.210145</v>
      </c>
      <c r="N13" s="99">
        <v>44561</v>
      </c>
      <c r="O13" s="55">
        <v>0.84057999999999999</v>
      </c>
      <c r="P13" s="99">
        <v>44561</v>
      </c>
      <c r="Q13" s="55">
        <v>0.84057999999999999</v>
      </c>
      <c r="R13" s="99">
        <v>44742</v>
      </c>
      <c r="S13" s="55">
        <v>0.84057999999999999</v>
      </c>
      <c r="T13" s="99"/>
      <c r="U13" s="55"/>
    </row>
    <row r="14" spans="1:22" outlineLevel="1" x14ac:dyDescent="0.25">
      <c r="C14" s="23" t="s">
        <v>106</v>
      </c>
      <c r="D14" s="23" t="s">
        <v>113</v>
      </c>
      <c r="E14" s="23" t="s">
        <v>108</v>
      </c>
      <c r="F14" s="23" t="s">
        <v>109</v>
      </c>
      <c r="G14" s="23" t="s">
        <v>110</v>
      </c>
      <c r="H14" s="98">
        <v>44196</v>
      </c>
      <c r="I14" s="39">
        <v>6</v>
      </c>
      <c r="J14" s="98">
        <v>44196</v>
      </c>
      <c r="K14" s="119">
        <v>6</v>
      </c>
      <c r="L14" s="98">
        <v>44196</v>
      </c>
      <c r="M14" s="39">
        <v>6</v>
      </c>
      <c r="N14" s="99">
        <v>44561</v>
      </c>
      <c r="O14" s="55">
        <v>6</v>
      </c>
      <c r="P14" s="99">
        <v>44561</v>
      </c>
      <c r="Q14" s="55">
        <v>0</v>
      </c>
      <c r="R14" s="99">
        <v>44742</v>
      </c>
      <c r="S14" s="55">
        <v>0</v>
      </c>
      <c r="T14" s="99"/>
      <c r="U14" s="55"/>
    </row>
    <row r="15" spans="1:22" outlineLevel="1" x14ac:dyDescent="0.25">
      <c r="B15" s="372"/>
      <c r="C15" s="23" t="s">
        <v>106</v>
      </c>
      <c r="D15" s="125" t="s">
        <v>851</v>
      </c>
      <c r="E15" s="125" t="s">
        <v>108</v>
      </c>
      <c r="F15" s="358" t="s">
        <v>109</v>
      </c>
      <c r="G15" s="358" t="s">
        <v>110</v>
      </c>
      <c r="H15" s="359"/>
      <c r="I15" s="360"/>
      <c r="J15" s="360"/>
      <c r="K15" s="361"/>
      <c r="L15" s="98"/>
      <c r="M15" s="98"/>
      <c r="N15" s="362"/>
      <c r="O15" s="351"/>
      <c r="P15" s="362"/>
      <c r="Q15" s="363"/>
      <c r="R15" s="99">
        <v>44377</v>
      </c>
      <c r="S15" s="55">
        <v>0</v>
      </c>
      <c r="T15" s="99"/>
      <c r="U15" s="243"/>
    </row>
    <row r="16" spans="1:22" outlineLevel="1" x14ac:dyDescent="0.25">
      <c r="C16" s="23" t="s">
        <v>106</v>
      </c>
      <c r="D16" s="125" t="s">
        <v>114</v>
      </c>
      <c r="E16" s="23" t="s">
        <v>108</v>
      </c>
      <c r="F16" s="23" t="s">
        <v>109</v>
      </c>
      <c r="G16" s="23" t="s">
        <v>110</v>
      </c>
      <c r="H16" s="98">
        <v>43646</v>
      </c>
      <c r="I16" s="39">
        <v>38</v>
      </c>
      <c r="J16" s="98">
        <v>43646</v>
      </c>
      <c r="K16" s="119">
        <v>38</v>
      </c>
      <c r="L16" s="98">
        <v>43646</v>
      </c>
      <c r="M16" s="39">
        <v>38</v>
      </c>
      <c r="N16" s="99">
        <v>43646</v>
      </c>
      <c r="O16" s="55">
        <v>38</v>
      </c>
      <c r="P16" s="99">
        <v>43646</v>
      </c>
      <c r="Q16" s="55">
        <v>38</v>
      </c>
      <c r="R16" s="99">
        <v>43646</v>
      </c>
      <c r="S16" s="55">
        <v>38</v>
      </c>
      <c r="T16" s="99"/>
      <c r="U16" s="55"/>
    </row>
    <row r="17" spans="3:21" outlineLevel="1" x14ac:dyDescent="0.25">
      <c r="C17" s="23" t="s">
        <v>115</v>
      </c>
      <c r="D17" s="59" t="s">
        <v>116</v>
      </c>
      <c r="E17" s="23" t="s">
        <v>108</v>
      </c>
      <c r="F17" s="23" t="s">
        <v>109</v>
      </c>
      <c r="G17" s="23" t="s">
        <v>110</v>
      </c>
      <c r="H17" s="98">
        <v>44012</v>
      </c>
      <c r="I17" s="39">
        <v>10.681187545882992</v>
      </c>
      <c r="J17" s="98">
        <v>44012</v>
      </c>
      <c r="K17" s="119">
        <v>10.681187545882992</v>
      </c>
      <c r="L17" s="98">
        <v>44012</v>
      </c>
      <c r="M17" s="39">
        <v>10.681187545882992</v>
      </c>
      <c r="N17" s="99">
        <v>44377</v>
      </c>
      <c r="O17" s="55">
        <v>13.337762647243332</v>
      </c>
      <c r="P17" s="99">
        <v>44377</v>
      </c>
      <c r="Q17" s="63">
        <v>13.337821545021233</v>
      </c>
      <c r="R17" s="99">
        <v>44742</v>
      </c>
      <c r="S17" s="63">
        <v>13.337821545021233</v>
      </c>
      <c r="T17" s="99"/>
      <c r="U17" s="63"/>
    </row>
    <row r="18" spans="3:21" outlineLevel="1" x14ac:dyDescent="0.25">
      <c r="C18" s="23" t="s">
        <v>273</v>
      </c>
      <c r="D18" s="23" t="s">
        <v>117</v>
      </c>
      <c r="E18" s="23" t="s">
        <v>108</v>
      </c>
      <c r="F18" s="23" t="s">
        <v>109</v>
      </c>
      <c r="G18" s="23" t="s">
        <v>110</v>
      </c>
      <c r="H18" s="98">
        <v>43646</v>
      </c>
      <c r="I18" s="39">
        <v>1.6735247135296942</v>
      </c>
      <c r="J18" s="98">
        <v>43646</v>
      </c>
      <c r="K18" s="119">
        <v>1.6735247135296942</v>
      </c>
      <c r="L18" s="98">
        <v>43646</v>
      </c>
      <c r="M18" s="39">
        <v>1.6735247135296942</v>
      </c>
      <c r="N18" s="99">
        <v>43646</v>
      </c>
      <c r="O18" s="55">
        <v>1.6735247135296942</v>
      </c>
      <c r="P18" s="99">
        <v>44012</v>
      </c>
      <c r="Q18" s="55">
        <v>2.0603588195421731</v>
      </c>
      <c r="R18" s="99">
        <v>44012</v>
      </c>
      <c r="S18" s="55">
        <v>2.0603588195421731</v>
      </c>
      <c r="T18" s="99"/>
      <c r="U18" s="55"/>
    </row>
    <row r="19" spans="3:21" outlineLevel="1" x14ac:dyDescent="0.25">
      <c r="C19" s="23" t="s">
        <v>273</v>
      </c>
      <c r="D19" s="59" t="s">
        <v>118</v>
      </c>
      <c r="E19" s="23" t="s">
        <v>108</v>
      </c>
      <c r="F19" s="23" t="s">
        <v>109</v>
      </c>
      <c r="G19" s="23" t="s">
        <v>110</v>
      </c>
      <c r="H19" s="98">
        <v>44196</v>
      </c>
      <c r="I19" s="39">
        <v>2.46</v>
      </c>
      <c r="J19" s="98">
        <v>44196</v>
      </c>
      <c r="K19" s="119">
        <v>2.46</v>
      </c>
      <c r="L19" s="98">
        <v>44196</v>
      </c>
      <c r="M19" s="39">
        <v>2.46</v>
      </c>
      <c r="N19" s="99">
        <v>44196</v>
      </c>
      <c r="O19" s="55">
        <v>0</v>
      </c>
      <c r="P19" s="99">
        <v>44196</v>
      </c>
      <c r="Q19" s="55">
        <v>0</v>
      </c>
      <c r="R19" s="99">
        <v>44742</v>
      </c>
      <c r="S19" s="55">
        <v>0</v>
      </c>
      <c r="T19" s="99"/>
      <c r="U19" s="55"/>
    </row>
    <row r="20" spans="3:21" outlineLevel="1" x14ac:dyDescent="0.25">
      <c r="C20" s="23" t="s">
        <v>273</v>
      </c>
      <c r="D20" s="59" t="s">
        <v>724</v>
      </c>
      <c r="E20" s="23" t="s">
        <v>108</v>
      </c>
      <c r="F20" s="23" t="s">
        <v>119</v>
      </c>
      <c r="G20" s="23" t="s">
        <v>110</v>
      </c>
      <c r="H20" s="98">
        <v>44012</v>
      </c>
      <c r="I20" s="39">
        <v>1.1849999999999999E-2</v>
      </c>
      <c r="J20" s="98">
        <v>44012</v>
      </c>
      <c r="K20" s="119">
        <v>1.1849999999999999E-2</v>
      </c>
      <c r="L20" s="98">
        <v>44012</v>
      </c>
      <c r="M20" s="39">
        <v>1.1849999999999999E-2</v>
      </c>
      <c r="N20" s="99">
        <v>44377</v>
      </c>
      <c r="O20" s="55">
        <v>1.1849999999999999E-2</v>
      </c>
      <c r="P20" s="99">
        <v>44377</v>
      </c>
      <c r="Q20" s="243">
        <v>1.1849999999999999E-2</v>
      </c>
      <c r="R20" s="99">
        <v>44377</v>
      </c>
      <c r="S20" s="243">
        <v>1.1849999999999999E-2</v>
      </c>
      <c r="T20" s="99"/>
      <c r="U20" s="243"/>
    </row>
    <row r="21" spans="3:21" outlineLevel="1" x14ac:dyDescent="0.25">
      <c r="C21" s="23" t="s">
        <v>273</v>
      </c>
      <c r="D21" s="59" t="s">
        <v>120</v>
      </c>
      <c r="E21" s="23" t="s">
        <v>108</v>
      </c>
      <c r="F21" s="23" t="s">
        <v>119</v>
      </c>
      <c r="G21" s="23" t="s">
        <v>110</v>
      </c>
      <c r="H21" s="98">
        <v>44012</v>
      </c>
      <c r="I21" s="39">
        <v>2.5499999999999998E-2</v>
      </c>
      <c r="J21" s="98">
        <v>44012</v>
      </c>
      <c r="K21" s="119">
        <v>2.5499999999999998E-2</v>
      </c>
      <c r="L21" s="98">
        <v>44012</v>
      </c>
      <c r="M21" s="39">
        <v>2.5499999999999998E-2</v>
      </c>
      <c r="N21" s="99">
        <v>44377</v>
      </c>
      <c r="O21" s="55">
        <v>2.5919999999999999E-2</v>
      </c>
      <c r="P21" s="99">
        <v>44377</v>
      </c>
      <c r="Q21" s="320">
        <v>2.5919999999999999E-2</v>
      </c>
      <c r="R21" s="99">
        <v>44377</v>
      </c>
      <c r="S21" s="320">
        <v>2.5919999999999999E-2</v>
      </c>
      <c r="T21" s="99"/>
      <c r="U21" s="320"/>
    </row>
    <row r="22" spans="3:21" outlineLevel="1" x14ac:dyDescent="0.25">
      <c r="C22" s="23" t="s">
        <v>121</v>
      </c>
      <c r="D22" s="23" t="s">
        <v>122</v>
      </c>
      <c r="E22" s="23" t="s">
        <v>108</v>
      </c>
      <c r="F22" s="23" t="s">
        <v>123</v>
      </c>
      <c r="G22" s="23" t="s">
        <v>110</v>
      </c>
      <c r="H22" s="98">
        <v>44196</v>
      </c>
      <c r="I22" s="39">
        <v>59.6</v>
      </c>
      <c r="J22" s="99">
        <v>44377</v>
      </c>
      <c r="K22" s="55">
        <v>63.7</v>
      </c>
      <c r="L22" s="99">
        <v>44377</v>
      </c>
      <c r="M22" s="55">
        <v>63.7</v>
      </c>
      <c r="N22" s="99">
        <v>44377</v>
      </c>
      <c r="O22" s="55">
        <v>63.7</v>
      </c>
      <c r="P22" s="99">
        <v>44377</v>
      </c>
      <c r="Q22" s="55">
        <v>63.7</v>
      </c>
      <c r="R22" s="99">
        <v>44377</v>
      </c>
      <c r="S22" s="63">
        <v>72.901836379042152</v>
      </c>
      <c r="T22" s="99"/>
      <c r="U22" s="55"/>
    </row>
    <row r="23" spans="3:21" outlineLevel="1" x14ac:dyDescent="0.25">
      <c r="C23" s="23" t="s">
        <v>121</v>
      </c>
      <c r="D23" s="23" t="s">
        <v>124</v>
      </c>
      <c r="E23" s="23" t="s">
        <v>108</v>
      </c>
      <c r="F23" s="23" t="s">
        <v>123</v>
      </c>
      <c r="G23" s="23" t="s">
        <v>110</v>
      </c>
      <c r="H23" s="98">
        <v>44196</v>
      </c>
      <c r="I23" s="39">
        <v>65.8</v>
      </c>
      <c r="J23" s="99">
        <v>44377</v>
      </c>
      <c r="K23" s="55">
        <v>59.4</v>
      </c>
      <c r="L23" s="99">
        <v>44377</v>
      </c>
      <c r="M23" s="55">
        <v>59.4</v>
      </c>
      <c r="N23" s="99">
        <v>44377</v>
      </c>
      <c r="O23" s="55">
        <v>59.4</v>
      </c>
      <c r="P23" s="99">
        <v>44377</v>
      </c>
      <c r="Q23" s="55">
        <v>59.4</v>
      </c>
      <c r="R23" s="99">
        <v>44377</v>
      </c>
      <c r="S23" s="63">
        <v>62.513688088390346</v>
      </c>
      <c r="T23" s="99"/>
      <c r="U23" s="55"/>
    </row>
    <row r="24" spans="3:21" outlineLevel="1" x14ac:dyDescent="0.25">
      <c r="C24" s="23" t="s">
        <v>121</v>
      </c>
      <c r="D24" s="23" t="s">
        <v>125</v>
      </c>
      <c r="E24" s="23" t="s">
        <v>108</v>
      </c>
      <c r="F24" s="23" t="s">
        <v>123</v>
      </c>
      <c r="G24" s="23" t="s">
        <v>110</v>
      </c>
      <c r="H24" s="98">
        <v>44196</v>
      </c>
      <c r="I24" s="39">
        <v>66.28</v>
      </c>
      <c r="J24" s="99">
        <v>44377</v>
      </c>
      <c r="K24" s="55">
        <v>54.19</v>
      </c>
      <c r="L24" s="99">
        <v>44377</v>
      </c>
      <c r="M24" s="55">
        <v>54.19</v>
      </c>
      <c r="N24" s="99">
        <v>44377</v>
      </c>
      <c r="O24" s="55">
        <v>54.19</v>
      </c>
      <c r="P24" s="99">
        <v>44377</v>
      </c>
      <c r="Q24" s="55">
        <v>54.19</v>
      </c>
      <c r="R24" s="99">
        <v>44377</v>
      </c>
      <c r="S24" s="63">
        <v>55.822653689249755</v>
      </c>
      <c r="T24" s="99"/>
      <c r="U24" s="55"/>
    </row>
    <row r="25" spans="3:21" outlineLevel="1" x14ac:dyDescent="0.25">
      <c r="C25" s="23" t="s">
        <v>121</v>
      </c>
      <c r="D25" s="23" t="s">
        <v>126</v>
      </c>
      <c r="E25" s="23" t="s">
        <v>108</v>
      </c>
      <c r="F25" s="23" t="s">
        <v>123</v>
      </c>
      <c r="G25" s="23" t="s">
        <v>110</v>
      </c>
      <c r="H25" s="98">
        <v>44196</v>
      </c>
      <c r="I25" s="39">
        <v>65.5</v>
      </c>
      <c r="J25" s="99">
        <v>44377</v>
      </c>
      <c r="K25" s="55">
        <v>58</v>
      </c>
      <c r="L25" s="99">
        <v>44377</v>
      </c>
      <c r="M25" s="55">
        <v>58</v>
      </c>
      <c r="N25" s="99">
        <v>44377</v>
      </c>
      <c r="O25" s="55">
        <v>58</v>
      </c>
      <c r="P25" s="99">
        <v>44377</v>
      </c>
      <c r="Q25" s="55">
        <v>58</v>
      </c>
      <c r="R25" s="99">
        <v>44377</v>
      </c>
      <c r="S25" s="63">
        <v>59.390794631454334</v>
      </c>
      <c r="T25" s="99"/>
      <c r="U25" s="55"/>
    </row>
    <row r="26" spans="3:21" outlineLevel="1" x14ac:dyDescent="0.25">
      <c r="C26" s="23" t="s">
        <v>121</v>
      </c>
      <c r="D26" s="23" t="s">
        <v>127</v>
      </c>
      <c r="E26" s="23" t="s">
        <v>108</v>
      </c>
      <c r="F26" s="23" t="s">
        <v>123</v>
      </c>
      <c r="G26" s="23" t="s">
        <v>110</v>
      </c>
      <c r="H26" s="98">
        <v>44196</v>
      </c>
      <c r="I26" s="39">
        <v>48.82</v>
      </c>
      <c r="J26" s="99">
        <v>44377</v>
      </c>
      <c r="K26" s="55">
        <v>42.92</v>
      </c>
      <c r="L26" s="99">
        <v>44377</v>
      </c>
      <c r="M26" s="55">
        <v>42.92</v>
      </c>
      <c r="N26" s="99">
        <v>44377</v>
      </c>
      <c r="O26" s="55">
        <v>42.92</v>
      </c>
      <c r="P26" s="99">
        <v>44377</v>
      </c>
      <c r="Q26" s="55">
        <v>42.92</v>
      </c>
      <c r="R26" s="99">
        <v>44377</v>
      </c>
      <c r="S26" s="63">
        <v>43.808058038216856</v>
      </c>
      <c r="T26" s="99"/>
      <c r="U26" s="55"/>
    </row>
    <row r="27" spans="3:21" outlineLevel="1" x14ac:dyDescent="0.25">
      <c r="C27" s="23" t="s">
        <v>121</v>
      </c>
      <c r="D27" s="23" t="s">
        <v>388</v>
      </c>
      <c r="E27" s="23" t="s">
        <v>108</v>
      </c>
      <c r="F27" s="23" t="s">
        <v>123</v>
      </c>
      <c r="G27" s="23" t="s">
        <v>92</v>
      </c>
      <c r="H27" s="98">
        <v>44196</v>
      </c>
      <c r="I27" s="39">
        <v>106</v>
      </c>
      <c r="J27" s="99">
        <v>44377</v>
      </c>
      <c r="K27" s="55">
        <v>111.11</v>
      </c>
      <c r="L27" s="99">
        <v>44377</v>
      </c>
      <c r="M27" s="55">
        <v>111.11</v>
      </c>
      <c r="N27" s="99">
        <v>44377</v>
      </c>
      <c r="O27" s="55">
        <v>111.11</v>
      </c>
      <c r="P27" s="99">
        <v>44377</v>
      </c>
      <c r="Q27" s="55">
        <v>111.11</v>
      </c>
      <c r="R27" s="99">
        <v>44377</v>
      </c>
      <c r="S27" s="55">
        <v>111.11</v>
      </c>
      <c r="T27" s="99"/>
      <c r="U27" s="55"/>
    </row>
    <row r="28" spans="3:21" outlineLevel="1" x14ac:dyDescent="0.25">
      <c r="C28" s="23" t="s">
        <v>121</v>
      </c>
      <c r="D28" s="23" t="s">
        <v>389</v>
      </c>
      <c r="E28" s="23" t="s">
        <v>108</v>
      </c>
      <c r="F28" s="23" t="s">
        <v>123</v>
      </c>
      <c r="G28" s="23" t="s">
        <v>92</v>
      </c>
      <c r="H28" s="98">
        <v>44196</v>
      </c>
      <c r="I28" s="39">
        <v>90</v>
      </c>
      <c r="J28" s="99">
        <v>44377</v>
      </c>
      <c r="K28" s="55">
        <v>90.009</v>
      </c>
      <c r="L28" s="99">
        <v>44377</v>
      </c>
      <c r="M28" s="55">
        <v>90.009</v>
      </c>
      <c r="N28" s="99">
        <v>44377</v>
      </c>
      <c r="O28" s="55">
        <v>90.009</v>
      </c>
      <c r="P28" s="99">
        <v>44377</v>
      </c>
      <c r="Q28" s="55">
        <v>90.009</v>
      </c>
      <c r="R28" s="99">
        <v>44377</v>
      </c>
      <c r="S28" s="55">
        <v>90.009</v>
      </c>
      <c r="T28" s="99"/>
      <c r="U28" s="55"/>
    </row>
    <row r="29" spans="3:21" outlineLevel="1" x14ac:dyDescent="0.25">
      <c r="C29" s="23" t="s">
        <v>121</v>
      </c>
      <c r="D29" s="23" t="s">
        <v>390</v>
      </c>
      <c r="E29" s="23" t="s">
        <v>108</v>
      </c>
      <c r="F29" s="23" t="s">
        <v>123</v>
      </c>
      <c r="G29" s="23" t="s">
        <v>92</v>
      </c>
      <c r="H29" s="98">
        <v>44196</v>
      </c>
      <c r="I29" s="39">
        <v>69.03</v>
      </c>
      <c r="J29" s="99">
        <v>44377</v>
      </c>
      <c r="K29" s="55">
        <v>82.195999999999998</v>
      </c>
      <c r="L29" s="99">
        <v>44377</v>
      </c>
      <c r="M29" s="55">
        <v>82.195999999999998</v>
      </c>
      <c r="N29" s="99">
        <v>44377</v>
      </c>
      <c r="O29" s="55">
        <v>82.195999999999998</v>
      </c>
      <c r="P29" s="99">
        <v>44377</v>
      </c>
      <c r="Q29" s="55">
        <v>82.195999999999998</v>
      </c>
      <c r="R29" s="99">
        <v>44377</v>
      </c>
      <c r="S29" s="55">
        <v>82.195999999999998</v>
      </c>
      <c r="T29" s="99"/>
      <c r="U29" s="55"/>
    </row>
    <row r="30" spans="3:21" outlineLevel="1" x14ac:dyDescent="0.25">
      <c r="C30" s="23" t="s">
        <v>121</v>
      </c>
      <c r="D30" s="23" t="s">
        <v>391</v>
      </c>
      <c r="E30" s="23" t="s">
        <v>108</v>
      </c>
      <c r="F30" s="23" t="s">
        <v>123</v>
      </c>
      <c r="G30" s="23" t="s">
        <v>92</v>
      </c>
      <c r="H30" s="98">
        <v>44196</v>
      </c>
      <c r="I30" s="39">
        <v>140</v>
      </c>
      <c r="J30" s="99">
        <v>44377</v>
      </c>
      <c r="K30" s="55">
        <v>139.97749999999999</v>
      </c>
      <c r="L30" s="99">
        <v>44377</v>
      </c>
      <c r="M30" s="55">
        <v>139.97749999999999</v>
      </c>
      <c r="N30" s="99">
        <v>44377</v>
      </c>
      <c r="O30" s="55">
        <v>139.97749999999999</v>
      </c>
      <c r="P30" s="99">
        <v>44377</v>
      </c>
      <c r="Q30" s="55">
        <v>139.97749999999999</v>
      </c>
      <c r="R30" s="99">
        <v>44377</v>
      </c>
      <c r="S30" s="55">
        <v>139.97749999999999</v>
      </c>
      <c r="T30" s="99"/>
      <c r="U30" s="55"/>
    </row>
    <row r="31" spans="3:21" outlineLevel="1" x14ac:dyDescent="0.25">
      <c r="C31" s="23" t="s">
        <v>121</v>
      </c>
      <c r="D31" s="23" t="s">
        <v>392</v>
      </c>
      <c r="E31" s="23" t="s">
        <v>108</v>
      </c>
      <c r="F31" s="23" t="s">
        <v>123</v>
      </c>
      <c r="G31" s="23" t="s">
        <v>92</v>
      </c>
      <c r="H31" s="98">
        <v>44196</v>
      </c>
      <c r="I31" s="39">
        <v>59.859999999999992</v>
      </c>
      <c r="J31" s="99">
        <v>44377</v>
      </c>
      <c r="K31" s="55">
        <v>80.007999999999996</v>
      </c>
      <c r="L31" s="99">
        <v>44377</v>
      </c>
      <c r="M31" s="55">
        <v>80.007999999999996</v>
      </c>
      <c r="N31" s="99">
        <v>44377</v>
      </c>
      <c r="O31" s="55">
        <v>80.007999999999996</v>
      </c>
      <c r="P31" s="99">
        <v>44377</v>
      </c>
      <c r="Q31" s="55">
        <v>80.007999999999996</v>
      </c>
      <c r="R31" s="99">
        <v>44377</v>
      </c>
      <c r="S31" s="55">
        <v>80.007999999999996</v>
      </c>
      <c r="T31" s="99"/>
      <c r="U31" s="55"/>
    </row>
    <row r="32" spans="3:21" outlineLevel="1" x14ac:dyDescent="0.25">
      <c r="C32" s="23" t="s">
        <v>121</v>
      </c>
      <c r="D32" s="59" t="s">
        <v>393</v>
      </c>
      <c r="E32" s="23" t="s">
        <v>108</v>
      </c>
      <c r="F32" s="23" t="s">
        <v>123</v>
      </c>
      <c r="G32" s="23" t="s">
        <v>93</v>
      </c>
      <c r="H32" s="98">
        <v>44196</v>
      </c>
      <c r="I32" s="39">
        <v>106</v>
      </c>
      <c r="J32" s="99">
        <v>44377</v>
      </c>
      <c r="K32" s="55">
        <v>111.11</v>
      </c>
      <c r="L32" s="99">
        <v>44377</v>
      </c>
      <c r="M32" s="55">
        <v>111.11</v>
      </c>
      <c r="N32" s="99">
        <v>44377</v>
      </c>
      <c r="O32" s="55">
        <v>111.11</v>
      </c>
      <c r="P32" s="99">
        <v>44377</v>
      </c>
      <c r="Q32" s="55">
        <v>111.11</v>
      </c>
      <c r="R32" s="99">
        <v>44377</v>
      </c>
      <c r="S32" s="55">
        <v>111.11</v>
      </c>
      <c r="T32" s="99"/>
      <c r="U32" s="55"/>
    </row>
    <row r="33" spans="3:21" outlineLevel="1" x14ac:dyDescent="0.25">
      <c r="C33" s="23" t="s">
        <v>121</v>
      </c>
      <c r="D33" s="23" t="s">
        <v>394</v>
      </c>
      <c r="E33" s="23" t="s">
        <v>108</v>
      </c>
      <c r="F33" s="23" t="s">
        <v>123</v>
      </c>
      <c r="G33" s="23" t="s">
        <v>93</v>
      </c>
      <c r="H33" s="98">
        <v>44196</v>
      </c>
      <c r="I33" s="39">
        <v>160</v>
      </c>
      <c r="J33" s="99">
        <v>44377</v>
      </c>
      <c r="K33" s="55">
        <v>160.01599999999999</v>
      </c>
      <c r="L33" s="99">
        <v>44377</v>
      </c>
      <c r="M33" s="55">
        <v>160.01599999999999</v>
      </c>
      <c r="N33" s="99">
        <v>44377</v>
      </c>
      <c r="O33" s="55">
        <v>160.01599999999999</v>
      </c>
      <c r="P33" s="99">
        <v>44377</v>
      </c>
      <c r="Q33" s="55">
        <v>160.01599999999999</v>
      </c>
      <c r="R33" s="99">
        <v>44377</v>
      </c>
      <c r="S33" s="55">
        <v>160.01599999999999</v>
      </c>
      <c r="T33" s="99"/>
      <c r="U33" s="55"/>
    </row>
    <row r="34" spans="3:21" outlineLevel="1" x14ac:dyDescent="0.25">
      <c r="C34" s="23" t="s">
        <v>121</v>
      </c>
      <c r="D34" s="23" t="s">
        <v>395</v>
      </c>
      <c r="E34" s="23" t="s">
        <v>108</v>
      </c>
      <c r="F34" s="23" t="s">
        <v>123</v>
      </c>
      <c r="G34" s="23" t="s">
        <v>93</v>
      </c>
      <c r="H34" s="98">
        <v>44196</v>
      </c>
      <c r="I34" s="39">
        <v>118.741</v>
      </c>
      <c r="J34" s="99">
        <v>44377</v>
      </c>
      <c r="K34" s="55">
        <v>134.46600000000001</v>
      </c>
      <c r="L34" s="99">
        <v>44377</v>
      </c>
      <c r="M34" s="55">
        <v>134.46600000000001</v>
      </c>
      <c r="N34" s="99">
        <v>44377</v>
      </c>
      <c r="O34" s="55">
        <v>134.46600000000001</v>
      </c>
      <c r="P34" s="99">
        <v>44377</v>
      </c>
      <c r="Q34" s="55">
        <v>134.46600000000001</v>
      </c>
      <c r="R34" s="99">
        <v>44377</v>
      </c>
      <c r="S34" s="55">
        <v>134.46600000000001</v>
      </c>
      <c r="T34" s="99"/>
      <c r="U34" s="55"/>
    </row>
    <row r="35" spans="3:21" outlineLevel="1" x14ac:dyDescent="0.25">
      <c r="C35" s="23" t="s">
        <v>121</v>
      </c>
      <c r="D35" s="23" t="s">
        <v>396</v>
      </c>
      <c r="E35" s="23" t="s">
        <v>108</v>
      </c>
      <c r="F35" s="23" t="s">
        <v>123</v>
      </c>
      <c r="G35" s="23" t="s">
        <v>93</v>
      </c>
      <c r="H35" s="98">
        <v>44196</v>
      </c>
      <c r="I35" s="39">
        <v>180</v>
      </c>
      <c r="J35" s="99">
        <v>44377</v>
      </c>
      <c r="K35" s="55">
        <v>179.98150000000001</v>
      </c>
      <c r="L35" s="99">
        <v>44377</v>
      </c>
      <c r="M35" s="55">
        <v>179.98150000000001</v>
      </c>
      <c r="N35" s="99">
        <v>44377</v>
      </c>
      <c r="O35" s="55">
        <v>179.98150000000001</v>
      </c>
      <c r="P35" s="99">
        <v>44377</v>
      </c>
      <c r="Q35" s="55">
        <v>179.98150000000001</v>
      </c>
      <c r="R35" s="99">
        <v>44377</v>
      </c>
      <c r="S35" s="55">
        <v>179.98150000000001</v>
      </c>
      <c r="T35" s="99"/>
      <c r="U35" s="55"/>
    </row>
    <row r="36" spans="3:21" outlineLevel="1" x14ac:dyDescent="0.25">
      <c r="C36" s="23" t="s">
        <v>121</v>
      </c>
      <c r="D36" s="23" t="s">
        <v>397</v>
      </c>
      <c r="E36" s="23" t="s">
        <v>108</v>
      </c>
      <c r="F36" s="23" t="s">
        <v>123</v>
      </c>
      <c r="G36" s="23" t="s">
        <v>93</v>
      </c>
      <c r="H36" s="98">
        <v>44196</v>
      </c>
      <c r="I36" s="39">
        <v>79.861999999999995</v>
      </c>
      <c r="J36" s="99">
        <v>44377</v>
      </c>
      <c r="K36" s="55">
        <v>120.01199999999999</v>
      </c>
      <c r="L36" s="99">
        <v>44377</v>
      </c>
      <c r="M36" s="55">
        <v>120.01199999999999</v>
      </c>
      <c r="N36" s="99">
        <v>44377</v>
      </c>
      <c r="O36" s="55">
        <v>120.01199999999999</v>
      </c>
      <c r="P36" s="99">
        <v>44377</v>
      </c>
      <c r="Q36" s="55">
        <v>120.01199999999999</v>
      </c>
      <c r="R36" s="99">
        <v>44377</v>
      </c>
      <c r="S36" s="55">
        <v>120.01199999999999</v>
      </c>
      <c r="T36" s="99"/>
      <c r="U36" s="55"/>
    </row>
    <row r="37" spans="3:21" outlineLevel="1" x14ac:dyDescent="0.25">
      <c r="C37" s="23" t="s">
        <v>121</v>
      </c>
      <c r="D37" s="23" t="s">
        <v>398</v>
      </c>
      <c r="E37" s="23" t="s">
        <v>108</v>
      </c>
      <c r="F37" s="23" t="s">
        <v>123</v>
      </c>
      <c r="G37" s="23" t="s">
        <v>92</v>
      </c>
      <c r="H37" s="98" t="s">
        <v>79</v>
      </c>
      <c r="I37" s="98" t="s">
        <v>79</v>
      </c>
      <c r="J37" s="99">
        <v>44377</v>
      </c>
      <c r="K37" s="55">
        <v>111.11</v>
      </c>
      <c r="L37" s="99">
        <v>44377</v>
      </c>
      <c r="M37" s="55">
        <v>111.11</v>
      </c>
      <c r="N37" s="99">
        <v>44377</v>
      </c>
      <c r="O37" s="55">
        <v>111.11</v>
      </c>
      <c r="P37" s="99">
        <v>44377</v>
      </c>
      <c r="Q37" s="55">
        <v>111.11</v>
      </c>
      <c r="R37" s="99">
        <v>44377</v>
      </c>
      <c r="S37" s="55">
        <v>111.11</v>
      </c>
      <c r="T37" s="99"/>
      <c r="U37" s="55"/>
    </row>
    <row r="38" spans="3:21" outlineLevel="1" x14ac:dyDescent="0.25">
      <c r="C38" s="23" t="s">
        <v>121</v>
      </c>
      <c r="D38" s="23" t="s">
        <v>399</v>
      </c>
      <c r="E38" s="23" t="s">
        <v>108</v>
      </c>
      <c r="F38" s="23" t="s">
        <v>123</v>
      </c>
      <c r="G38" s="23" t="s">
        <v>92</v>
      </c>
      <c r="H38" s="98" t="s">
        <v>79</v>
      </c>
      <c r="I38" s="98" t="s">
        <v>79</v>
      </c>
      <c r="J38" s="99">
        <v>44377</v>
      </c>
      <c r="K38" s="55">
        <v>90.009</v>
      </c>
      <c r="L38" s="99">
        <v>44377</v>
      </c>
      <c r="M38" s="55">
        <v>90.009</v>
      </c>
      <c r="N38" s="99">
        <v>44377</v>
      </c>
      <c r="O38" s="55">
        <v>90.009</v>
      </c>
      <c r="P38" s="99">
        <v>44377</v>
      </c>
      <c r="Q38" s="55">
        <v>90.009</v>
      </c>
      <c r="R38" s="99">
        <v>44377</v>
      </c>
      <c r="S38" s="55">
        <v>90.009</v>
      </c>
      <c r="T38" s="99"/>
      <c r="U38" s="55"/>
    </row>
    <row r="39" spans="3:21" outlineLevel="1" x14ac:dyDescent="0.25">
      <c r="C39" s="23" t="s">
        <v>121</v>
      </c>
      <c r="D39" s="23" t="s">
        <v>400</v>
      </c>
      <c r="E39" s="23" t="s">
        <v>108</v>
      </c>
      <c r="F39" s="23" t="s">
        <v>123</v>
      </c>
      <c r="G39" s="23" t="s">
        <v>92</v>
      </c>
      <c r="H39" s="98" t="s">
        <v>79</v>
      </c>
      <c r="I39" s="98" t="s">
        <v>79</v>
      </c>
      <c r="J39" s="99">
        <v>44377</v>
      </c>
      <c r="K39" s="55">
        <v>82.195999999999998</v>
      </c>
      <c r="L39" s="99">
        <v>44377</v>
      </c>
      <c r="M39" s="55">
        <v>82.195999999999998</v>
      </c>
      <c r="N39" s="99">
        <v>44377</v>
      </c>
      <c r="O39" s="55">
        <v>82.195999999999998</v>
      </c>
      <c r="P39" s="99">
        <v>44377</v>
      </c>
      <c r="Q39" s="55">
        <v>82.195999999999998</v>
      </c>
      <c r="R39" s="99">
        <v>44377</v>
      </c>
      <c r="S39" s="55">
        <v>82.195999999999998</v>
      </c>
      <c r="T39" s="99"/>
      <c r="U39" s="55"/>
    </row>
    <row r="40" spans="3:21" outlineLevel="1" x14ac:dyDescent="0.25">
      <c r="C40" s="23" t="s">
        <v>121</v>
      </c>
      <c r="D40" s="23" t="s">
        <v>401</v>
      </c>
      <c r="E40" s="23" t="s">
        <v>108</v>
      </c>
      <c r="F40" s="23" t="s">
        <v>123</v>
      </c>
      <c r="G40" s="23" t="s">
        <v>92</v>
      </c>
      <c r="H40" s="98" t="s">
        <v>79</v>
      </c>
      <c r="I40" s="98" t="s">
        <v>79</v>
      </c>
      <c r="J40" s="99">
        <v>44377</v>
      </c>
      <c r="K40" s="55">
        <v>139.97749999999999</v>
      </c>
      <c r="L40" s="99">
        <v>44377</v>
      </c>
      <c r="M40" s="55">
        <v>139.97749999999999</v>
      </c>
      <c r="N40" s="99">
        <v>44377</v>
      </c>
      <c r="O40" s="55">
        <v>139.97749999999999</v>
      </c>
      <c r="P40" s="99">
        <v>44377</v>
      </c>
      <c r="Q40" s="55">
        <v>139.97749999999999</v>
      </c>
      <c r="R40" s="99">
        <v>44377</v>
      </c>
      <c r="S40" s="55">
        <v>139.97749999999999</v>
      </c>
      <c r="T40" s="99"/>
      <c r="U40" s="55"/>
    </row>
    <row r="41" spans="3:21" outlineLevel="1" x14ac:dyDescent="0.25">
      <c r="C41" s="23" t="s">
        <v>121</v>
      </c>
      <c r="D41" s="23" t="s">
        <v>402</v>
      </c>
      <c r="E41" s="23" t="s">
        <v>108</v>
      </c>
      <c r="F41" s="23" t="s">
        <v>123</v>
      </c>
      <c r="G41" s="23" t="s">
        <v>92</v>
      </c>
      <c r="H41" s="98" t="s">
        <v>79</v>
      </c>
      <c r="I41" s="98" t="s">
        <v>79</v>
      </c>
      <c r="J41" s="99">
        <v>44377</v>
      </c>
      <c r="K41" s="55">
        <v>80.007999999999996</v>
      </c>
      <c r="L41" s="99">
        <v>44377</v>
      </c>
      <c r="M41" s="55">
        <v>80.007999999999996</v>
      </c>
      <c r="N41" s="99">
        <v>44377</v>
      </c>
      <c r="O41" s="55">
        <v>80.007999999999996</v>
      </c>
      <c r="P41" s="99">
        <v>44377</v>
      </c>
      <c r="Q41" s="55">
        <v>80.007999999999996</v>
      </c>
      <c r="R41" s="99">
        <v>44377</v>
      </c>
      <c r="S41" s="55">
        <v>80.007999999999996</v>
      </c>
      <c r="T41" s="99"/>
      <c r="U41" s="55"/>
    </row>
    <row r="42" spans="3:21" outlineLevel="1" x14ac:dyDescent="0.25">
      <c r="C42" s="23" t="s">
        <v>121</v>
      </c>
      <c r="D42" s="59" t="s">
        <v>403</v>
      </c>
      <c r="E42" s="23" t="s">
        <v>108</v>
      </c>
      <c r="F42" s="23" t="s">
        <v>123</v>
      </c>
      <c r="G42" s="23" t="s">
        <v>93</v>
      </c>
      <c r="H42" s="98" t="s">
        <v>79</v>
      </c>
      <c r="I42" s="98" t="s">
        <v>79</v>
      </c>
      <c r="J42" s="99">
        <v>44377</v>
      </c>
      <c r="K42" s="55">
        <v>111.11</v>
      </c>
      <c r="L42" s="99">
        <v>44377</v>
      </c>
      <c r="M42" s="55">
        <v>111.11</v>
      </c>
      <c r="N42" s="99">
        <v>44377</v>
      </c>
      <c r="O42" s="55">
        <v>111.11</v>
      </c>
      <c r="P42" s="99">
        <v>44377</v>
      </c>
      <c r="Q42" s="55">
        <v>111.11</v>
      </c>
      <c r="R42" s="99">
        <v>44377</v>
      </c>
      <c r="S42" s="55">
        <v>111.11</v>
      </c>
      <c r="T42" s="99"/>
      <c r="U42" s="55"/>
    </row>
    <row r="43" spans="3:21" outlineLevel="1" x14ac:dyDescent="0.25">
      <c r="C43" s="23" t="s">
        <v>121</v>
      </c>
      <c r="D43" s="23" t="s">
        <v>404</v>
      </c>
      <c r="E43" s="23" t="s">
        <v>108</v>
      </c>
      <c r="F43" s="23" t="s">
        <v>123</v>
      </c>
      <c r="G43" s="23" t="s">
        <v>93</v>
      </c>
      <c r="H43" s="98" t="s">
        <v>79</v>
      </c>
      <c r="I43" s="98" t="s">
        <v>79</v>
      </c>
      <c r="J43" s="99">
        <v>44377</v>
      </c>
      <c r="K43" s="55">
        <v>160.01599999999999</v>
      </c>
      <c r="L43" s="99">
        <v>44377</v>
      </c>
      <c r="M43" s="55">
        <v>160.01599999999999</v>
      </c>
      <c r="N43" s="99">
        <v>44377</v>
      </c>
      <c r="O43" s="55">
        <v>160.01599999999999</v>
      </c>
      <c r="P43" s="99">
        <v>44377</v>
      </c>
      <c r="Q43" s="55">
        <v>160.01599999999999</v>
      </c>
      <c r="R43" s="99">
        <v>44377</v>
      </c>
      <c r="S43" s="55">
        <v>160.01599999999999</v>
      </c>
      <c r="T43" s="99"/>
      <c r="U43" s="55"/>
    </row>
    <row r="44" spans="3:21" outlineLevel="1" x14ac:dyDescent="0.25">
      <c r="C44" s="23" t="s">
        <v>121</v>
      </c>
      <c r="D44" s="23" t="s">
        <v>405</v>
      </c>
      <c r="E44" s="23" t="s">
        <v>108</v>
      </c>
      <c r="F44" s="23" t="s">
        <v>123</v>
      </c>
      <c r="G44" s="23" t="s">
        <v>93</v>
      </c>
      <c r="H44" s="98" t="s">
        <v>79</v>
      </c>
      <c r="I44" s="98" t="s">
        <v>79</v>
      </c>
      <c r="J44" s="99">
        <v>44377</v>
      </c>
      <c r="K44" s="55">
        <v>242.124</v>
      </c>
      <c r="L44" s="99">
        <v>44377</v>
      </c>
      <c r="M44" s="55">
        <v>242.124</v>
      </c>
      <c r="N44" s="99">
        <v>44377</v>
      </c>
      <c r="O44" s="55">
        <v>242.124</v>
      </c>
      <c r="P44" s="99">
        <v>44377</v>
      </c>
      <c r="Q44" s="55">
        <v>242.124</v>
      </c>
      <c r="R44" s="99">
        <v>44377</v>
      </c>
      <c r="S44" s="55">
        <v>242.124</v>
      </c>
      <c r="T44" s="99"/>
      <c r="U44" s="55"/>
    </row>
    <row r="45" spans="3:21" outlineLevel="1" x14ac:dyDescent="0.25">
      <c r="C45" s="23" t="s">
        <v>121</v>
      </c>
      <c r="D45" s="23" t="s">
        <v>406</v>
      </c>
      <c r="E45" s="23" t="s">
        <v>108</v>
      </c>
      <c r="F45" s="23" t="s">
        <v>123</v>
      </c>
      <c r="G45" s="23" t="s">
        <v>93</v>
      </c>
      <c r="H45" s="98" t="s">
        <v>79</v>
      </c>
      <c r="I45" s="98" t="s">
        <v>79</v>
      </c>
      <c r="J45" s="99">
        <v>44377</v>
      </c>
      <c r="K45" s="55">
        <v>179.98150000000001</v>
      </c>
      <c r="L45" s="99">
        <v>44377</v>
      </c>
      <c r="M45" s="55">
        <v>179.98150000000001</v>
      </c>
      <c r="N45" s="99">
        <v>44377</v>
      </c>
      <c r="O45" s="55">
        <v>179.98150000000001</v>
      </c>
      <c r="P45" s="99">
        <v>44377</v>
      </c>
      <c r="Q45" s="55">
        <v>179.98150000000001</v>
      </c>
      <c r="R45" s="99">
        <v>44377</v>
      </c>
      <c r="S45" s="55">
        <v>179.98150000000001</v>
      </c>
      <c r="T45" s="99"/>
      <c r="U45" s="55"/>
    </row>
    <row r="46" spans="3:21" outlineLevel="1" x14ac:dyDescent="0.25">
      <c r="C46" s="23" t="s">
        <v>121</v>
      </c>
      <c r="D46" s="23" t="s">
        <v>407</v>
      </c>
      <c r="E46" s="23" t="s">
        <v>108</v>
      </c>
      <c r="F46" s="23" t="s">
        <v>123</v>
      </c>
      <c r="G46" s="23" t="s">
        <v>93</v>
      </c>
      <c r="H46" s="98" t="s">
        <v>79</v>
      </c>
      <c r="I46" s="98" t="s">
        <v>79</v>
      </c>
      <c r="J46" s="99">
        <v>44377</v>
      </c>
      <c r="K46" s="55">
        <v>120.01199999999999</v>
      </c>
      <c r="L46" s="99">
        <v>44377</v>
      </c>
      <c r="M46" s="55">
        <v>120.01199999999999</v>
      </c>
      <c r="N46" s="99">
        <v>44377</v>
      </c>
      <c r="O46" s="55">
        <v>120.01199999999999</v>
      </c>
      <c r="P46" s="99">
        <v>44377</v>
      </c>
      <c r="Q46" s="55">
        <v>120.01199999999999</v>
      </c>
      <c r="R46" s="99">
        <v>44377</v>
      </c>
      <c r="S46" s="55">
        <v>120.01199999999999</v>
      </c>
      <c r="T46" s="99"/>
      <c r="U46" s="55"/>
    </row>
    <row r="47" spans="3:21" outlineLevel="1" x14ac:dyDescent="0.25">
      <c r="C47" s="23" t="s">
        <v>128</v>
      </c>
      <c r="D47" s="125" t="s">
        <v>129</v>
      </c>
      <c r="E47" s="23" t="s">
        <v>130</v>
      </c>
      <c r="F47" s="23" t="s">
        <v>131</v>
      </c>
      <c r="G47" s="23" t="s">
        <v>92</v>
      </c>
      <c r="H47" s="98">
        <v>44196</v>
      </c>
      <c r="I47" s="39">
        <v>94.02</v>
      </c>
      <c r="J47" s="98">
        <v>44196</v>
      </c>
      <c r="K47" s="119">
        <v>94.02</v>
      </c>
      <c r="L47" s="98">
        <v>44196</v>
      </c>
      <c r="M47" s="39">
        <v>94.02</v>
      </c>
      <c r="N47" s="99">
        <v>44561</v>
      </c>
      <c r="O47" s="55">
        <v>70.94</v>
      </c>
      <c r="P47" s="99">
        <v>44926</v>
      </c>
      <c r="Q47" s="55">
        <v>71.42</v>
      </c>
      <c r="R47" s="99">
        <v>44742</v>
      </c>
      <c r="S47" s="55">
        <v>76.81</v>
      </c>
      <c r="T47" s="99"/>
      <c r="U47" s="55"/>
    </row>
    <row r="48" spans="3:21" outlineLevel="1" x14ac:dyDescent="0.25">
      <c r="C48" s="23" t="s">
        <v>128</v>
      </c>
      <c r="D48" s="125" t="s">
        <v>132</v>
      </c>
      <c r="E48" s="23" t="s">
        <v>130</v>
      </c>
      <c r="F48" s="23" t="s">
        <v>131</v>
      </c>
      <c r="G48" s="23" t="s">
        <v>92</v>
      </c>
      <c r="H48" s="98">
        <v>44196</v>
      </c>
      <c r="I48" s="39">
        <v>88.84</v>
      </c>
      <c r="J48" s="98">
        <v>44196</v>
      </c>
      <c r="K48" s="119">
        <v>88.84</v>
      </c>
      <c r="L48" s="98">
        <v>44196</v>
      </c>
      <c r="M48" s="39">
        <v>88.84</v>
      </c>
      <c r="N48" s="99">
        <v>44561</v>
      </c>
      <c r="O48" s="55">
        <v>67.239999999999995</v>
      </c>
      <c r="P48" s="99">
        <v>44926</v>
      </c>
      <c r="Q48" s="55">
        <v>67.8</v>
      </c>
      <c r="R48" s="99">
        <v>44742</v>
      </c>
      <c r="S48" s="55">
        <v>70.64</v>
      </c>
      <c r="T48" s="99"/>
      <c r="U48" s="55"/>
    </row>
    <row r="49" spans="3:21" outlineLevel="1" x14ac:dyDescent="0.25">
      <c r="C49" s="23" t="s">
        <v>128</v>
      </c>
      <c r="D49" s="125" t="s">
        <v>133</v>
      </c>
      <c r="E49" s="23" t="s">
        <v>130</v>
      </c>
      <c r="F49" s="23" t="s">
        <v>131</v>
      </c>
      <c r="G49" s="23" t="s">
        <v>92</v>
      </c>
      <c r="H49" s="98">
        <v>44196</v>
      </c>
      <c r="I49" s="39">
        <v>97.8</v>
      </c>
      <c r="J49" s="98">
        <v>44196</v>
      </c>
      <c r="K49" s="119">
        <v>97.8</v>
      </c>
      <c r="L49" s="98">
        <v>44196</v>
      </c>
      <c r="M49" s="39">
        <v>97.8</v>
      </c>
      <c r="N49" s="99">
        <v>44561</v>
      </c>
      <c r="O49" s="55">
        <v>73.25</v>
      </c>
      <c r="P49" s="99">
        <v>44926</v>
      </c>
      <c r="Q49" s="55">
        <v>73.680000000000007</v>
      </c>
      <c r="R49" s="99">
        <v>44742</v>
      </c>
      <c r="S49" s="55">
        <v>77.59</v>
      </c>
      <c r="T49" s="99"/>
      <c r="U49" s="55"/>
    </row>
    <row r="50" spans="3:21" outlineLevel="1" x14ac:dyDescent="0.25">
      <c r="C50" s="23" t="s">
        <v>128</v>
      </c>
      <c r="D50" s="125" t="s">
        <v>134</v>
      </c>
      <c r="E50" s="23" t="s">
        <v>130</v>
      </c>
      <c r="F50" s="23" t="s">
        <v>131</v>
      </c>
      <c r="G50" s="23" t="s">
        <v>92</v>
      </c>
      <c r="H50" s="98">
        <v>44196</v>
      </c>
      <c r="I50" s="39">
        <v>92.03</v>
      </c>
      <c r="J50" s="98">
        <v>44196</v>
      </c>
      <c r="K50" s="119">
        <v>92.03</v>
      </c>
      <c r="L50" s="98">
        <v>44196</v>
      </c>
      <c r="M50" s="39">
        <v>92.03</v>
      </c>
      <c r="N50" s="99">
        <v>44561</v>
      </c>
      <c r="O50" s="55">
        <v>69.23</v>
      </c>
      <c r="P50" s="99">
        <v>44926</v>
      </c>
      <c r="Q50" s="55">
        <v>69.78</v>
      </c>
      <c r="R50" s="99">
        <v>44742</v>
      </c>
      <c r="S50" s="55">
        <v>75.069999999999993</v>
      </c>
      <c r="T50" s="99"/>
      <c r="U50" s="55"/>
    </row>
    <row r="51" spans="3:21" outlineLevel="1" x14ac:dyDescent="0.25">
      <c r="C51" s="23" t="s">
        <v>128</v>
      </c>
      <c r="D51" s="125" t="s">
        <v>135</v>
      </c>
      <c r="E51" s="23" t="s">
        <v>130</v>
      </c>
      <c r="F51" s="23" t="s">
        <v>131</v>
      </c>
      <c r="G51" s="23" t="s">
        <v>92</v>
      </c>
      <c r="H51" s="98">
        <v>44196</v>
      </c>
      <c r="I51" s="39">
        <v>98.18</v>
      </c>
      <c r="J51" s="98">
        <v>44196</v>
      </c>
      <c r="K51" s="119">
        <v>98.18</v>
      </c>
      <c r="L51" s="98">
        <v>44196</v>
      </c>
      <c r="M51" s="39">
        <v>98.18</v>
      </c>
      <c r="N51" s="99">
        <v>44561</v>
      </c>
      <c r="O51" s="55">
        <v>73.75</v>
      </c>
      <c r="P51" s="99">
        <v>44926</v>
      </c>
      <c r="Q51" s="55">
        <v>74.19</v>
      </c>
      <c r="R51" s="99">
        <v>44742</v>
      </c>
      <c r="S51" s="55">
        <v>76.900000000000006</v>
      </c>
      <c r="T51" s="99"/>
      <c r="U51" s="55"/>
    </row>
    <row r="52" spans="3:21" outlineLevel="1" x14ac:dyDescent="0.25">
      <c r="C52" s="23" t="s">
        <v>128</v>
      </c>
      <c r="D52" s="125" t="s">
        <v>136</v>
      </c>
      <c r="E52" s="23" t="s">
        <v>130</v>
      </c>
      <c r="F52" s="23" t="s">
        <v>131</v>
      </c>
      <c r="G52" s="23" t="s">
        <v>92</v>
      </c>
      <c r="H52" s="98">
        <v>44196</v>
      </c>
      <c r="I52" s="39">
        <v>0.48</v>
      </c>
      <c r="J52" s="98">
        <v>44196</v>
      </c>
      <c r="K52" s="119">
        <v>0.48</v>
      </c>
      <c r="L52" s="98">
        <v>44196</v>
      </c>
      <c r="M52" s="39">
        <v>0.48</v>
      </c>
      <c r="N52" s="99">
        <v>44561</v>
      </c>
      <c r="O52" s="55">
        <v>0.3</v>
      </c>
      <c r="P52" s="99">
        <v>44926</v>
      </c>
      <c r="Q52" s="55">
        <v>0.27</v>
      </c>
      <c r="R52" s="99">
        <v>44742</v>
      </c>
      <c r="S52" s="55">
        <v>0.27</v>
      </c>
      <c r="T52" s="99"/>
      <c r="U52" s="55"/>
    </row>
    <row r="53" spans="3:21" outlineLevel="1" x14ac:dyDescent="0.25">
      <c r="C53" s="23" t="s">
        <v>128</v>
      </c>
      <c r="D53" s="125" t="s">
        <v>137</v>
      </c>
      <c r="E53" s="23" t="s">
        <v>130</v>
      </c>
      <c r="F53" s="23" t="s">
        <v>131</v>
      </c>
      <c r="G53" s="23" t="s">
        <v>92</v>
      </c>
      <c r="H53" s="98">
        <v>44196</v>
      </c>
      <c r="I53" s="39">
        <v>0.47</v>
      </c>
      <c r="J53" s="98">
        <v>44196</v>
      </c>
      <c r="K53" s="119">
        <v>0.47</v>
      </c>
      <c r="L53" s="98">
        <v>44196</v>
      </c>
      <c r="M53" s="39">
        <v>0.47</v>
      </c>
      <c r="N53" s="99">
        <v>44561</v>
      </c>
      <c r="O53" s="55">
        <v>0.3</v>
      </c>
      <c r="P53" s="99">
        <v>44926</v>
      </c>
      <c r="Q53" s="55">
        <v>0.28000000000000003</v>
      </c>
      <c r="R53" s="99">
        <v>44742</v>
      </c>
      <c r="S53" s="55">
        <v>0.31</v>
      </c>
      <c r="T53" s="99"/>
      <c r="U53" s="55"/>
    </row>
    <row r="54" spans="3:21" outlineLevel="1" x14ac:dyDescent="0.25">
      <c r="C54" s="23" t="s">
        <v>128</v>
      </c>
      <c r="D54" s="125" t="s">
        <v>138</v>
      </c>
      <c r="E54" s="23" t="s">
        <v>130</v>
      </c>
      <c r="F54" s="23" t="s">
        <v>131</v>
      </c>
      <c r="G54" s="23" t="s">
        <v>92</v>
      </c>
      <c r="H54" s="98">
        <v>44196</v>
      </c>
      <c r="I54" s="39">
        <v>0.45</v>
      </c>
      <c r="J54" s="98">
        <v>44196</v>
      </c>
      <c r="K54" s="119">
        <v>0.45</v>
      </c>
      <c r="L54" s="98">
        <v>44196</v>
      </c>
      <c r="M54" s="39">
        <v>0.45</v>
      </c>
      <c r="N54" s="99">
        <v>44561</v>
      </c>
      <c r="O54" s="55">
        <v>0.3</v>
      </c>
      <c r="P54" s="99">
        <v>44926</v>
      </c>
      <c r="Q54" s="55">
        <v>0.27</v>
      </c>
      <c r="R54" s="99">
        <v>44742</v>
      </c>
      <c r="S54" s="55">
        <v>0.25</v>
      </c>
      <c r="T54" s="99"/>
      <c r="U54" s="55"/>
    </row>
    <row r="55" spans="3:21" outlineLevel="1" x14ac:dyDescent="0.25">
      <c r="C55" s="23" t="s">
        <v>128</v>
      </c>
      <c r="D55" s="125" t="s">
        <v>139</v>
      </c>
      <c r="E55" s="23" t="s">
        <v>130</v>
      </c>
      <c r="F55" s="23" t="s">
        <v>131</v>
      </c>
      <c r="G55" s="23" t="s">
        <v>92</v>
      </c>
      <c r="H55" s="98">
        <v>44196</v>
      </c>
      <c r="I55" s="39">
        <v>0.42</v>
      </c>
      <c r="J55" s="98">
        <v>44196</v>
      </c>
      <c r="K55" s="119">
        <v>0.42</v>
      </c>
      <c r="L55" s="98">
        <v>44196</v>
      </c>
      <c r="M55" s="39">
        <v>0.42</v>
      </c>
      <c r="N55" s="99">
        <v>44561</v>
      </c>
      <c r="O55" s="55">
        <v>0.3</v>
      </c>
      <c r="P55" s="99">
        <v>44926</v>
      </c>
      <c r="Q55" s="55">
        <v>0.28000000000000003</v>
      </c>
      <c r="R55" s="99">
        <v>44742</v>
      </c>
      <c r="S55" s="55">
        <v>0.32</v>
      </c>
      <c r="T55" s="99"/>
      <c r="U55" s="55"/>
    </row>
    <row r="56" spans="3:21" outlineLevel="1" x14ac:dyDescent="0.25">
      <c r="C56" s="23" t="s">
        <v>128</v>
      </c>
      <c r="D56" s="125" t="s">
        <v>140</v>
      </c>
      <c r="E56" s="23" t="s">
        <v>130</v>
      </c>
      <c r="F56" s="23" t="s">
        <v>131</v>
      </c>
      <c r="G56" s="23" t="s">
        <v>92</v>
      </c>
      <c r="H56" s="98">
        <v>44196</v>
      </c>
      <c r="I56" s="39">
        <v>0.49</v>
      </c>
      <c r="J56" s="98">
        <v>44196</v>
      </c>
      <c r="K56" s="119">
        <v>0.49</v>
      </c>
      <c r="L56" s="98">
        <v>44196</v>
      </c>
      <c r="M56" s="39">
        <v>0.49</v>
      </c>
      <c r="N56" s="99">
        <v>44561</v>
      </c>
      <c r="O56" s="55">
        <v>0.33</v>
      </c>
      <c r="P56" s="99">
        <v>44926</v>
      </c>
      <c r="Q56" s="55">
        <v>0.3</v>
      </c>
      <c r="R56" s="99">
        <v>44742</v>
      </c>
      <c r="S56" s="55">
        <v>0.31</v>
      </c>
      <c r="T56" s="99"/>
      <c r="U56" s="55"/>
    </row>
    <row r="57" spans="3:21" outlineLevel="1" x14ac:dyDescent="0.25">
      <c r="C57" s="23" t="s">
        <v>128</v>
      </c>
      <c r="D57" s="125" t="s">
        <v>141</v>
      </c>
      <c r="E57" s="23" t="s">
        <v>130</v>
      </c>
      <c r="F57" s="23" t="s">
        <v>131</v>
      </c>
      <c r="G57" s="23" t="s">
        <v>93</v>
      </c>
      <c r="H57" s="98">
        <v>44196</v>
      </c>
      <c r="I57" s="39">
        <v>82.28</v>
      </c>
      <c r="J57" s="98">
        <v>44196</v>
      </c>
      <c r="K57" s="119">
        <v>82.28</v>
      </c>
      <c r="L57" s="98">
        <v>44196</v>
      </c>
      <c r="M57" s="39">
        <v>82.28</v>
      </c>
      <c r="N57" s="99">
        <v>44561</v>
      </c>
      <c r="O57" s="55">
        <v>62.64</v>
      </c>
      <c r="P57" s="99">
        <v>44926</v>
      </c>
      <c r="Q57" s="55">
        <v>62.76</v>
      </c>
      <c r="R57" s="99">
        <v>44742</v>
      </c>
      <c r="S57" s="55">
        <v>64.87</v>
      </c>
      <c r="T57" s="99"/>
      <c r="U57" s="55"/>
    </row>
    <row r="58" spans="3:21" outlineLevel="1" x14ac:dyDescent="0.25">
      <c r="C58" s="23" t="s">
        <v>128</v>
      </c>
      <c r="D58" s="125" t="s">
        <v>142</v>
      </c>
      <c r="E58" s="23" t="s">
        <v>130</v>
      </c>
      <c r="F58" s="23" t="s">
        <v>131</v>
      </c>
      <c r="G58" s="23" t="s">
        <v>93</v>
      </c>
      <c r="H58" s="98">
        <v>44196</v>
      </c>
      <c r="I58" s="39">
        <v>85.08</v>
      </c>
      <c r="J58" s="98">
        <v>44196</v>
      </c>
      <c r="K58" s="119">
        <v>85.08</v>
      </c>
      <c r="L58" s="98">
        <v>44196</v>
      </c>
      <c r="M58" s="39">
        <v>85.08</v>
      </c>
      <c r="N58" s="99">
        <v>44561</v>
      </c>
      <c r="O58" s="55">
        <v>63.9</v>
      </c>
      <c r="P58" s="99">
        <v>44926</v>
      </c>
      <c r="Q58" s="55">
        <v>63.89</v>
      </c>
      <c r="R58" s="99">
        <v>44742</v>
      </c>
      <c r="S58" s="55">
        <v>66.540000000000006</v>
      </c>
      <c r="T58" s="99"/>
      <c r="U58" s="55"/>
    </row>
    <row r="59" spans="3:21" outlineLevel="1" x14ac:dyDescent="0.25">
      <c r="C59" s="23" t="s">
        <v>128</v>
      </c>
      <c r="D59" s="125" t="s">
        <v>143</v>
      </c>
      <c r="E59" s="23" t="s">
        <v>130</v>
      </c>
      <c r="F59" s="23" t="s">
        <v>131</v>
      </c>
      <c r="G59" s="23" t="s">
        <v>93</v>
      </c>
      <c r="H59" s="98">
        <v>44196</v>
      </c>
      <c r="I59" s="39">
        <v>84.51</v>
      </c>
      <c r="J59" s="98">
        <v>44196</v>
      </c>
      <c r="K59" s="119">
        <v>84.51</v>
      </c>
      <c r="L59" s="98">
        <v>44196</v>
      </c>
      <c r="M59" s="39">
        <v>84.51</v>
      </c>
      <c r="N59" s="99">
        <v>44561</v>
      </c>
      <c r="O59" s="55">
        <v>63.96</v>
      </c>
      <c r="P59" s="99">
        <v>44926</v>
      </c>
      <c r="Q59" s="55">
        <v>63.96</v>
      </c>
      <c r="R59" s="99">
        <v>44742</v>
      </c>
      <c r="S59" s="55">
        <v>65.7</v>
      </c>
      <c r="T59" s="99"/>
      <c r="U59" s="55"/>
    </row>
    <row r="60" spans="3:21" outlineLevel="1" x14ac:dyDescent="0.25">
      <c r="C60" s="23" t="s">
        <v>128</v>
      </c>
      <c r="D60" s="125" t="s">
        <v>144</v>
      </c>
      <c r="E60" s="23" t="s">
        <v>130</v>
      </c>
      <c r="F60" s="23" t="s">
        <v>131</v>
      </c>
      <c r="G60" s="23" t="s">
        <v>93</v>
      </c>
      <c r="H60" s="98">
        <v>44196</v>
      </c>
      <c r="I60" s="39">
        <v>80.11</v>
      </c>
      <c r="J60" s="98">
        <v>44196</v>
      </c>
      <c r="K60" s="119">
        <v>80.11</v>
      </c>
      <c r="L60" s="98">
        <v>44196</v>
      </c>
      <c r="M60" s="39">
        <v>80.11</v>
      </c>
      <c r="N60" s="99">
        <v>44561</v>
      </c>
      <c r="O60" s="55">
        <v>60.92</v>
      </c>
      <c r="P60" s="99">
        <v>44926</v>
      </c>
      <c r="Q60" s="55">
        <v>61.05</v>
      </c>
      <c r="R60" s="99">
        <v>44742</v>
      </c>
      <c r="S60" s="55">
        <v>63.68</v>
      </c>
      <c r="T60" s="99"/>
      <c r="U60" s="55"/>
    </row>
    <row r="61" spans="3:21" outlineLevel="1" x14ac:dyDescent="0.25">
      <c r="C61" s="23" t="s">
        <v>128</v>
      </c>
      <c r="D61" s="125" t="s">
        <v>145</v>
      </c>
      <c r="E61" s="23" t="s">
        <v>130</v>
      </c>
      <c r="F61" s="23" t="s">
        <v>131</v>
      </c>
      <c r="G61" s="23" t="s">
        <v>93</v>
      </c>
      <c r="H61" s="98">
        <v>44196</v>
      </c>
      <c r="I61" s="39">
        <v>86.63</v>
      </c>
      <c r="J61" s="98">
        <v>44196</v>
      </c>
      <c r="K61" s="119">
        <v>86.63</v>
      </c>
      <c r="L61" s="98">
        <v>44196</v>
      </c>
      <c r="M61" s="39">
        <v>86.63</v>
      </c>
      <c r="N61" s="99">
        <v>44561</v>
      </c>
      <c r="O61" s="55">
        <v>65.260000000000005</v>
      </c>
      <c r="P61" s="99">
        <v>44926</v>
      </c>
      <c r="Q61" s="55">
        <v>65.22</v>
      </c>
      <c r="R61" s="99">
        <v>44742</v>
      </c>
      <c r="S61" s="55">
        <v>66.55</v>
      </c>
      <c r="T61" s="99"/>
      <c r="U61" s="55"/>
    </row>
    <row r="62" spans="3:21" outlineLevel="1" x14ac:dyDescent="0.25">
      <c r="C62" s="23" t="s">
        <v>128</v>
      </c>
      <c r="D62" s="125" t="s">
        <v>146</v>
      </c>
      <c r="E62" s="23" t="s">
        <v>130</v>
      </c>
      <c r="F62" s="23" t="s">
        <v>131</v>
      </c>
      <c r="G62" s="23" t="s">
        <v>93</v>
      </c>
      <c r="H62" s="98">
        <v>44196</v>
      </c>
      <c r="I62" s="39">
        <v>0.34</v>
      </c>
      <c r="J62" s="98">
        <v>44196</v>
      </c>
      <c r="K62" s="119">
        <v>0.34</v>
      </c>
      <c r="L62" s="98">
        <v>44196</v>
      </c>
      <c r="M62" s="39">
        <v>0.34</v>
      </c>
      <c r="N62" s="99">
        <v>44561</v>
      </c>
      <c r="O62" s="55">
        <v>0.24</v>
      </c>
      <c r="P62" s="99">
        <v>44926</v>
      </c>
      <c r="Q62" s="55">
        <v>0.23</v>
      </c>
      <c r="R62" s="99">
        <v>44742</v>
      </c>
      <c r="S62" s="55">
        <v>0.32</v>
      </c>
      <c r="T62" s="99"/>
      <c r="U62" s="55"/>
    </row>
    <row r="63" spans="3:21" outlineLevel="1" x14ac:dyDescent="0.25">
      <c r="C63" s="23" t="s">
        <v>128</v>
      </c>
      <c r="D63" s="125" t="s">
        <v>147</v>
      </c>
      <c r="E63" s="23" t="s">
        <v>130</v>
      </c>
      <c r="F63" s="23" t="s">
        <v>131</v>
      </c>
      <c r="G63" s="23" t="s">
        <v>93</v>
      </c>
      <c r="H63" s="98">
        <v>44196</v>
      </c>
      <c r="I63" s="39">
        <v>0.4</v>
      </c>
      <c r="J63" s="98">
        <v>44196</v>
      </c>
      <c r="K63" s="119">
        <v>0.4</v>
      </c>
      <c r="L63" s="98">
        <v>44196</v>
      </c>
      <c r="M63" s="39">
        <v>0.4</v>
      </c>
      <c r="N63" s="99">
        <v>44561</v>
      </c>
      <c r="O63" s="55">
        <v>0.23</v>
      </c>
      <c r="P63" s="99">
        <v>44926</v>
      </c>
      <c r="Q63" s="55">
        <v>0.22</v>
      </c>
      <c r="R63" s="99">
        <v>44742</v>
      </c>
      <c r="S63" s="55">
        <v>0.44</v>
      </c>
      <c r="T63" s="99"/>
      <c r="U63" s="55"/>
    </row>
    <row r="64" spans="3:21" outlineLevel="1" x14ac:dyDescent="0.25">
      <c r="C64" s="23" t="s">
        <v>128</v>
      </c>
      <c r="D64" s="125" t="s">
        <v>148</v>
      </c>
      <c r="E64" s="23" t="s">
        <v>130</v>
      </c>
      <c r="F64" s="23" t="s">
        <v>131</v>
      </c>
      <c r="G64" s="23" t="s">
        <v>93</v>
      </c>
      <c r="H64" s="98">
        <v>44196</v>
      </c>
      <c r="I64" s="39">
        <v>0.36</v>
      </c>
      <c r="J64" s="98">
        <v>44196</v>
      </c>
      <c r="K64" s="119">
        <v>0.36</v>
      </c>
      <c r="L64" s="98">
        <v>44196</v>
      </c>
      <c r="M64" s="39">
        <v>0.36</v>
      </c>
      <c r="N64" s="99">
        <v>44561</v>
      </c>
      <c r="O64" s="55">
        <v>0.23</v>
      </c>
      <c r="P64" s="99">
        <v>44926</v>
      </c>
      <c r="Q64" s="55">
        <v>0.22</v>
      </c>
      <c r="R64" s="99">
        <v>44742</v>
      </c>
      <c r="S64" s="55">
        <v>0.41</v>
      </c>
      <c r="T64" s="99"/>
      <c r="U64" s="55"/>
    </row>
    <row r="65" spans="3:21" outlineLevel="1" x14ac:dyDescent="0.25">
      <c r="C65" s="23" t="s">
        <v>128</v>
      </c>
      <c r="D65" s="125" t="s">
        <v>149</v>
      </c>
      <c r="E65" s="23" t="s">
        <v>130</v>
      </c>
      <c r="F65" s="23" t="s">
        <v>131</v>
      </c>
      <c r="G65" s="23" t="s">
        <v>93</v>
      </c>
      <c r="H65" s="98">
        <v>44196</v>
      </c>
      <c r="I65" s="39">
        <v>0.31</v>
      </c>
      <c r="J65" s="98">
        <v>44196</v>
      </c>
      <c r="K65" s="119">
        <v>0.31</v>
      </c>
      <c r="L65" s="98">
        <v>44196</v>
      </c>
      <c r="M65" s="39">
        <v>0.31</v>
      </c>
      <c r="N65" s="99">
        <v>44561</v>
      </c>
      <c r="O65" s="55">
        <v>0.19</v>
      </c>
      <c r="P65" s="99">
        <v>44926</v>
      </c>
      <c r="Q65" s="55">
        <v>0.18</v>
      </c>
      <c r="R65" s="99">
        <v>44742</v>
      </c>
      <c r="S65" s="55">
        <v>0.31</v>
      </c>
      <c r="T65" s="99"/>
      <c r="U65" s="55"/>
    </row>
    <row r="66" spans="3:21" outlineLevel="1" x14ac:dyDescent="0.25">
      <c r="C66" s="23" t="s">
        <v>128</v>
      </c>
      <c r="D66" s="125" t="s">
        <v>150</v>
      </c>
      <c r="E66" s="23" t="s">
        <v>130</v>
      </c>
      <c r="F66" s="23" t="s">
        <v>131</v>
      </c>
      <c r="G66" s="23" t="s">
        <v>93</v>
      </c>
      <c r="H66" s="98">
        <v>44196</v>
      </c>
      <c r="I66" s="39">
        <v>0.41</v>
      </c>
      <c r="J66" s="98">
        <v>44196</v>
      </c>
      <c r="K66" s="119">
        <v>0.41</v>
      </c>
      <c r="L66" s="98">
        <v>44196</v>
      </c>
      <c r="M66" s="39">
        <v>0.41</v>
      </c>
      <c r="N66" s="99">
        <v>44561</v>
      </c>
      <c r="O66" s="55">
        <v>0.24</v>
      </c>
      <c r="P66" s="99">
        <v>44926</v>
      </c>
      <c r="Q66" s="55">
        <v>0.23</v>
      </c>
      <c r="R66" s="99">
        <v>44742</v>
      </c>
      <c r="S66" s="55">
        <v>0.45</v>
      </c>
      <c r="T66" s="99"/>
      <c r="U66" s="55"/>
    </row>
    <row r="67" spans="3:21" outlineLevel="1" x14ac:dyDescent="0.25">
      <c r="C67" s="23" t="s">
        <v>151</v>
      </c>
      <c r="D67" s="125" t="s">
        <v>152</v>
      </c>
      <c r="E67" s="23" t="s">
        <v>130</v>
      </c>
      <c r="F67" s="23" t="s">
        <v>153</v>
      </c>
      <c r="G67" s="23" t="s">
        <v>110</v>
      </c>
      <c r="H67" s="98">
        <v>44104</v>
      </c>
      <c r="I67" s="39">
        <v>32.379354863483861</v>
      </c>
      <c r="J67" s="98">
        <v>44104</v>
      </c>
      <c r="K67" s="119">
        <v>32.379354863483861</v>
      </c>
      <c r="L67" s="98">
        <v>44104</v>
      </c>
      <c r="M67" s="379">
        <v>32.379354863483861</v>
      </c>
      <c r="N67" s="99">
        <v>44377</v>
      </c>
      <c r="O67" s="55">
        <v>49.642986107494764</v>
      </c>
      <c r="P67" s="99">
        <v>44377</v>
      </c>
      <c r="Q67" s="321">
        <v>56.939318273848677</v>
      </c>
      <c r="R67" s="99">
        <v>44742</v>
      </c>
      <c r="S67" s="55">
        <v>74.135088797592729</v>
      </c>
      <c r="T67" s="99"/>
      <c r="U67" s="321"/>
    </row>
    <row r="68" spans="3:21" outlineLevel="1" x14ac:dyDescent="0.25">
      <c r="C68" s="23" t="s">
        <v>151</v>
      </c>
      <c r="D68" s="125" t="s">
        <v>154</v>
      </c>
      <c r="E68" s="23" t="s">
        <v>130</v>
      </c>
      <c r="F68" s="23" t="s">
        <v>153</v>
      </c>
      <c r="G68" s="23" t="s">
        <v>110</v>
      </c>
      <c r="H68" s="98">
        <v>44196</v>
      </c>
      <c r="I68" s="39">
        <v>35.75</v>
      </c>
      <c r="J68" s="98">
        <v>44196</v>
      </c>
      <c r="K68" s="119">
        <v>35.75</v>
      </c>
      <c r="L68" s="98">
        <v>44196</v>
      </c>
      <c r="M68" s="39">
        <v>35.75</v>
      </c>
      <c r="N68" s="99">
        <v>44561</v>
      </c>
      <c r="O68" s="55">
        <v>34.01</v>
      </c>
      <c r="P68" s="99">
        <v>44561</v>
      </c>
      <c r="Q68" s="55">
        <v>34.44</v>
      </c>
      <c r="R68" s="99">
        <v>44742</v>
      </c>
      <c r="S68" s="55">
        <v>40.28</v>
      </c>
      <c r="T68" s="99"/>
      <c r="U68" s="55"/>
    </row>
    <row r="69" spans="3:21" outlineLevel="1" x14ac:dyDescent="0.25">
      <c r="C69" s="23" t="s">
        <v>151</v>
      </c>
      <c r="D69" s="125" t="s">
        <v>155</v>
      </c>
      <c r="E69" s="23" t="s">
        <v>130</v>
      </c>
      <c r="F69" s="23" t="s">
        <v>153</v>
      </c>
      <c r="G69" s="23" t="s">
        <v>110</v>
      </c>
      <c r="H69" s="98">
        <v>44196</v>
      </c>
      <c r="I69" s="39">
        <v>40</v>
      </c>
      <c r="J69" s="98">
        <v>44196</v>
      </c>
      <c r="K69" s="119">
        <v>40</v>
      </c>
      <c r="L69" s="98">
        <v>44196</v>
      </c>
      <c r="M69" s="39">
        <v>40</v>
      </c>
      <c r="N69" s="99">
        <v>44561</v>
      </c>
      <c r="O69" s="55">
        <v>40</v>
      </c>
      <c r="P69" s="99">
        <v>44561</v>
      </c>
      <c r="Q69" s="55">
        <v>40</v>
      </c>
      <c r="R69" s="99">
        <v>44742</v>
      </c>
      <c r="S69" s="63">
        <v>40</v>
      </c>
      <c r="T69" s="99"/>
      <c r="U69" s="55"/>
    </row>
    <row r="70" spans="3:21" outlineLevel="1" x14ac:dyDescent="0.25">
      <c r="C70" s="23" t="s">
        <v>151</v>
      </c>
      <c r="D70" s="125" t="s">
        <v>156</v>
      </c>
      <c r="E70" s="23" t="s">
        <v>130</v>
      </c>
      <c r="F70" s="23" t="s">
        <v>157</v>
      </c>
      <c r="G70" s="23" t="s">
        <v>110</v>
      </c>
      <c r="H70" s="98" t="s">
        <v>79</v>
      </c>
      <c r="I70" s="39">
        <v>0.17255000000000001</v>
      </c>
      <c r="J70" s="98" t="s">
        <v>79</v>
      </c>
      <c r="K70" s="242">
        <v>0.17255000000000001</v>
      </c>
      <c r="L70" s="98" t="s">
        <v>79</v>
      </c>
      <c r="M70" s="39">
        <v>0.17255000000000001</v>
      </c>
      <c r="N70" s="99" t="s">
        <v>79</v>
      </c>
      <c r="O70" s="55">
        <v>0.17255000000000001</v>
      </c>
      <c r="P70" s="99" t="s">
        <v>79</v>
      </c>
      <c r="Q70" s="243">
        <v>0.17255000000000001</v>
      </c>
      <c r="R70" s="99" t="s">
        <v>79</v>
      </c>
      <c r="S70" s="55">
        <v>0.16113</v>
      </c>
      <c r="T70" s="99"/>
      <c r="U70" s="243"/>
    </row>
    <row r="71" spans="3:21" outlineLevel="1" x14ac:dyDescent="0.25">
      <c r="C71" s="23" t="s">
        <v>151</v>
      </c>
      <c r="D71" s="125" t="s">
        <v>158</v>
      </c>
      <c r="E71" s="23" t="s">
        <v>130</v>
      </c>
      <c r="F71" s="23" t="s">
        <v>157</v>
      </c>
      <c r="G71" s="23" t="s">
        <v>110</v>
      </c>
      <c r="H71" s="98" t="s">
        <v>79</v>
      </c>
      <c r="I71" s="39">
        <v>0.1883</v>
      </c>
      <c r="J71" s="98" t="s">
        <v>79</v>
      </c>
      <c r="K71" s="39">
        <v>0.1883</v>
      </c>
      <c r="L71" s="98" t="s">
        <v>79</v>
      </c>
      <c r="M71" s="39">
        <v>0.1883</v>
      </c>
      <c r="N71" s="99" t="s">
        <v>79</v>
      </c>
      <c r="O71" s="55">
        <v>0.18540000000000001</v>
      </c>
      <c r="P71" s="99" t="s">
        <v>79</v>
      </c>
      <c r="Q71" s="55">
        <v>0.18540000000000001</v>
      </c>
      <c r="R71" s="99">
        <v>44742</v>
      </c>
      <c r="S71" s="55">
        <v>0.18640000000000001</v>
      </c>
      <c r="T71" s="99"/>
      <c r="U71" s="55"/>
    </row>
    <row r="72" spans="3:21" outlineLevel="1" x14ac:dyDescent="0.25">
      <c r="C72" s="23" t="s">
        <v>151</v>
      </c>
      <c r="D72" s="125" t="s">
        <v>719</v>
      </c>
      <c r="E72" s="23" t="s">
        <v>130</v>
      </c>
      <c r="F72" s="23" t="s">
        <v>157</v>
      </c>
      <c r="G72" s="23" t="s">
        <v>110</v>
      </c>
      <c r="H72" s="98" t="s">
        <v>79</v>
      </c>
      <c r="I72" s="39">
        <v>-1.0655881611320278E-2</v>
      </c>
      <c r="J72" s="98" t="s">
        <v>79</v>
      </c>
      <c r="K72" s="39">
        <v>-1.0655881611320278E-2</v>
      </c>
      <c r="L72" s="98" t="s">
        <v>79</v>
      </c>
      <c r="M72" s="119">
        <v>-1.0655881611320278E-2</v>
      </c>
      <c r="N72" s="99" t="s">
        <v>79</v>
      </c>
      <c r="O72" s="55" t="s">
        <v>79</v>
      </c>
      <c r="P72" s="99" t="s">
        <v>79</v>
      </c>
      <c r="Q72" s="55" t="s">
        <v>79</v>
      </c>
      <c r="R72" s="99" t="s">
        <v>79</v>
      </c>
      <c r="S72" s="55" t="s">
        <v>79</v>
      </c>
      <c r="T72" s="99"/>
      <c r="U72" s="55"/>
    </row>
    <row r="73" spans="3:21" outlineLevel="1" x14ac:dyDescent="0.25">
      <c r="C73" s="23" t="s">
        <v>151</v>
      </c>
      <c r="D73" s="125" t="s">
        <v>159</v>
      </c>
      <c r="E73" s="23" t="s">
        <v>130</v>
      </c>
      <c r="F73" s="23" t="s">
        <v>157</v>
      </c>
      <c r="G73" s="23" t="s">
        <v>110</v>
      </c>
      <c r="H73" s="98" t="s">
        <v>79</v>
      </c>
      <c r="I73" s="39">
        <v>0.219</v>
      </c>
      <c r="J73" s="98" t="s">
        <v>79</v>
      </c>
      <c r="K73" s="39">
        <v>0.219</v>
      </c>
      <c r="L73" s="98" t="s">
        <v>79</v>
      </c>
      <c r="M73" s="39">
        <v>0.219</v>
      </c>
      <c r="N73" s="99" t="s">
        <v>79</v>
      </c>
      <c r="O73" s="55">
        <v>0.25600000000000001</v>
      </c>
      <c r="P73" s="99" t="s">
        <v>79</v>
      </c>
      <c r="Q73" s="55">
        <v>0.25600000000000001</v>
      </c>
      <c r="R73" s="99">
        <v>44742</v>
      </c>
      <c r="S73" s="55">
        <v>0.248</v>
      </c>
      <c r="T73" s="99"/>
      <c r="U73" s="55"/>
    </row>
    <row r="74" spans="3:21" outlineLevel="1" x14ac:dyDescent="0.25">
      <c r="C74" s="23" t="s">
        <v>151</v>
      </c>
      <c r="D74" s="125" t="s">
        <v>718</v>
      </c>
      <c r="E74" s="23" t="s">
        <v>130</v>
      </c>
      <c r="F74" s="23" t="s">
        <v>157</v>
      </c>
      <c r="G74" s="23" t="s">
        <v>110</v>
      </c>
      <c r="H74" s="98" t="s">
        <v>79</v>
      </c>
      <c r="I74" s="39">
        <v>6.25E-2</v>
      </c>
      <c r="J74" s="98" t="s">
        <v>79</v>
      </c>
      <c r="K74" s="39">
        <v>6.25E-2</v>
      </c>
      <c r="L74" s="98" t="s">
        <v>79</v>
      </c>
      <c r="M74" s="39">
        <v>6.25E-2</v>
      </c>
      <c r="N74" s="99" t="s">
        <v>79</v>
      </c>
      <c r="O74" s="55" t="s">
        <v>79</v>
      </c>
      <c r="P74" s="99" t="s">
        <v>79</v>
      </c>
      <c r="Q74" s="55" t="s">
        <v>79</v>
      </c>
      <c r="R74" s="99" t="s">
        <v>79</v>
      </c>
      <c r="S74" s="55" t="s">
        <v>79</v>
      </c>
      <c r="T74" s="99"/>
      <c r="U74" s="55"/>
    </row>
    <row r="75" spans="3:21" outlineLevel="1" x14ac:dyDescent="0.25">
      <c r="C75" s="23" t="s">
        <v>273</v>
      </c>
      <c r="D75" s="23" t="s">
        <v>160</v>
      </c>
      <c r="E75" s="23" t="s">
        <v>130</v>
      </c>
      <c r="F75" s="23" t="s">
        <v>131</v>
      </c>
      <c r="G75" s="23" t="s">
        <v>110</v>
      </c>
      <c r="H75" s="98">
        <v>44012</v>
      </c>
      <c r="I75" s="39">
        <v>0.36799999999999999</v>
      </c>
      <c r="J75" s="98">
        <v>44012</v>
      </c>
      <c r="K75" s="119">
        <v>0.36799999999999999</v>
      </c>
      <c r="L75" s="98">
        <v>44012</v>
      </c>
      <c r="M75" s="39">
        <v>0.36799999999999999</v>
      </c>
      <c r="N75" s="99">
        <v>44377</v>
      </c>
      <c r="O75" s="55">
        <v>0.40001999999999999</v>
      </c>
      <c r="P75" s="99">
        <v>44377</v>
      </c>
      <c r="Q75" s="320">
        <v>0.40001999999999999</v>
      </c>
      <c r="R75" s="99">
        <v>44377</v>
      </c>
      <c r="S75" s="320">
        <v>0.40001999999999999</v>
      </c>
      <c r="T75" s="99"/>
      <c r="U75" s="320"/>
    </row>
    <row r="76" spans="3:21" outlineLevel="1" x14ac:dyDescent="0.25">
      <c r="C76" s="23" t="s">
        <v>273</v>
      </c>
      <c r="D76" s="23" t="s">
        <v>161</v>
      </c>
      <c r="E76" s="23" t="s">
        <v>130</v>
      </c>
      <c r="F76" s="23" t="s">
        <v>131</v>
      </c>
      <c r="G76" s="23" t="s">
        <v>110</v>
      </c>
      <c r="H76" s="98" t="s">
        <v>79</v>
      </c>
      <c r="I76" s="39" t="s">
        <v>79</v>
      </c>
      <c r="J76" s="98" t="s">
        <v>79</v>
      </c>
      <c r="K76" s="119" t="s">
        <v>79</v>
      </c>
      <c r="L76" s="98" t="s">
        <v>79</v>
      </c>
      <c r="M76" s="39" t="s">
        <v>79</v>
      </c>
      <c r="N76" s="99" t="s">
        <v>79</v>
      </c>
      <c r="O76" s="55" t="s">
        <v>79</v>
      </c>
      <c r="P76" s="99" t="s">
        <v>79</v>
      </c>
      <c r="Q76" s="55" t="s">
        <v>79</v>
      </c>
      <c r="R76" s="99" t="s">
        <v>79</v>
      </c>
      <c r="S76" s="55" t="s">
        <v>79</v>
      </c>
      <c r="T76" s="99"/>
      <c r="U76" s="55"/>
    </row>
    <row r="77" spans="3:21" outlineLevel="1" x14ac:dyDescent="0.25">
      <c r="C77" s="23" t="s">
        <v>273</v>
      </c>
      <c r="D77" s="23" t="s">
        <v>162</v>
      </c>
      <c r="E77" s="23" t="s">
        <v>130</v>
      </c>
      <c r="F77" s="23" t="s">
        <v>131</v>
      </c>
      <c r="G77" s="23" t="s">
        <v>110</v>
      </c>
      <c r="H77" s="98">
        <v>44012</v>
      </c>
      <c r="I77" s="39">
        <v>0</v>
      </c>
      <c r="J77" s="98">
        <v>44012</v>
      </c>
      <c r="K77" s="119">
        <v>0</v>
      </c>
      <c r="L77" s="98">
        <v>44012</v>
      </c>
      <c r="M77" s="39">
        <v>0</v>
      </c>
      <c r="N77" s="99">
        <v>44377</v>
      </c>
      <c r="O77" s="55">
        <v>0</v>
      </c>
      <c r="P77" s="99">
        <v>44377</v>
      </c>
      <c r="Q77" s="55">
        <v>0</v>
      </c>
      <c r="R77" s="99">
        <v>44377</v>
      </c>
      <c r="S77" s="55">
        <v>0</v>
      </c>
      <c r="T77" s="99"/>
      <c r="U77" s="55"/>
    </row>
    <row r="78" spans="3:21" outlineLevel="1" x14ac:dyDescent="0.25">
      <c r="C78" s="23" t="s">
        <v>273</v>
      </c>
      <c r="D78" s="23" t="s">
        <v>163</v>
      </c>
      <c r="E78" s="23" t="s">
        <v>130</v>
      </c>
      <c r="F78" s="23" t="s">
        <v>131</v>
      </c>
      <c r="G78" s="23" t="s">
        <v>110</v>
      </c>
      <c r="H78" s="98">
        <v>44196</v>
      </c>
      <c r="I78" s="39">
        <v>0.36029616847724721</v>
      </c>
      <c r="J78" s="98">
        <v>44196</v>
      </c>
      <c r="K78" s="119">
        <v>0.36029616847724721</v>
      </c>
      <c r="L78" s="98">
        <v>44196</v>
      </c>
      <c r="M78" s="242">
        <v>0.36029616847724721</v>
      </c>
      <c r="N78" s="99">
        <v>44561</v>
      </c>
      <c r="O78" s="55">
        <v>0.29909999999999998</v>
      </c>
      <c r="P78" s="99">
        <v>44561</v>
      </c>
      <c r="Q78" s="55">
        <v>0.32597970254075737</v>
      </c>
      <c r="R78" s="99">
        <v>44742</v>
      </c>
      <c r="S78" s="55">
        <v>0.34689976369582542</v>
      </c>
      <c r="T78" s="99"/>
      <c r="U78" s="55"/>
    </row>
    <row r="79" spans="3:21" outlineLevel="1" x14ac:dyDescent="0.25">
      <c r="C79" s="23" t="s">
        <v>273</v>
      </c>
      <c r="D79" s="23" t="s">
        <v>758</v>
      </c>
      <c r="E79" s="23" t="s">
        <v>130</v>
      </c>
      <c r="F79" s="23" t="s">
        <v>131</v>
      </c>
      <c r="G79" s="23" t="s">
        <v>110</v>
      </c>
      <c r="H79" s="98" t="s">
        <v>79</v>
      </c>
      <c r="I79" s="98" t="s">
        <v>79</v>
      </c>
      <c r="J79" s="98" t="s">
        <v>79</v>
      </c>
      <c r="K79" s="98" t="s">
        <v>79</v>
      </c>
      <c r="L79" s="98" t="s">
        <v>79</v>
      </c>
      <c r="M79" s="98" t="s">
        <v>79</v>
      </c>
      <c r="N79" s="99" t="s">
        <v>79</v>
      </c>
      <c r="O79" s="99" t="s">
        <v>79</v>
      </c>
      <c r="P79" s="99">
        <v>44377</v>
      </c>
      <c r="Q79" s="243">
        <v>0.12325</v>
      </c>
      <c r="R79" s="99">
        <v>44377</v>
      </c>
      <c r="S79" s="243">
        <v>0.12325</v>
      </c>
      <c r="T79" s="99"/>
      <c r="U79" s="243"/>
    </row>
    <row r="80" spans="3:21" outlineLevel="1" x14ac:dyDescent="0.25">
      <c r="C80" s="23" t="s">
        <v>273</v>
      </c>
      <c r="D80" s="23" t="s">
        <v>757</v>
      </c>
      <c r="E80" s="23" t="s">
        <v>130</v>
      </c>
      <c r="F80" s="23" t="s">
        <v>131</v>
      </c>
      <c r="G80" s="23" t="s">
        <v>110</v>
      </c>
      <c r="H80" s="98" t="s">
        <v>79</v>
      </c>
      <c r="I80" s="98" t="s">
        <v>79</v>
      </c>
      <c r="J80" s="98" t="s">
        <v>79</v>
      </c>
      <c r="K80" s="98" t="s">
        <v>79</v>
      </c>
      <c r="L80" s="98" t="s">
        <v>79</v>
      </c>
      <c r="M80" s="98" t="s">
        <v>79</v>
      </c>
      <c r="N80" s="99" t="s">
        <v>79</v>
      </c>
      <c r="O80" s="99" t="s">
        <v>79</v>
      </c>
      <c r="P80" s="99">
        <v>44377</v>
      </c>
      <c r="Q80" s="243">
        <v>2.623E-2</v>
      </c>
      <c r="R80" s="99">
        <v>44377</v>
      </c>
      <c r="S80" s="243">
        <v>2.623E-2</v>
      </c>
      <c r="T80" s="99"/>
      <c r="U80" s="243"/>
    </row>
    <row r="81" spans="3:21" outlineLevel="1" x14ac:dyDescent="0.25">
      <c r="C81" s="23" t="s">
        <v>121</v>
      </c>
      <c r="D81" s="23" t="s">
        <v>164</v>
      </c>
      <c r="E81" s="23" t="s">
        <v>130</v>
      </c>
      <c r="F81" s="23" t="s">
        <v>165</v>
      </c>
      <c r="G81" s="23" t="s">
        <v>92</v>
      </c>
      <c r="H81" s="98">
        <v>44196</v>
      </c>
      <c r="I81" s="39">
        <v>10.535</v>
      </c>
      <c r="J81" s="99">
        <v>44377</v>
      </c>
      <c r="K81" s="55">
        <v>11.4503</v>
      </c>
      <c r="L81" s="99">
        <v>44377</v>
      </c>
      <c r="M81" s="55">
        <v>11.4503</v>
      </c>
      <c r="N81" s="99">
        <v>44377</v>
      </c>
      <c r="O81" s="55">
        <v>11.4503</v>
      </c>
      <c r="P81" s="99">
        <v>44377</v>
      </c>
      <c r="Q81" s="55">
        <v>11.4503</v>
      </c>
      <c r="R81" s="99">
        <v>44377</v>
      </c>
      <c r="S81" s="55">
        <v>11.4503</v>
      </c>
      <c r="T81" s="99"/>
      <c r="U81" s="55"/>
    </row>
    <row r="82" spans="3:21" outlineLevel="1" x14ac:dyDescent="0.25">
      <c r="C82" s="23" t="s">
        <v>121</v>
      </c>
      <c r="D82" s="23" t="s">
        <v>166</v>
      </c>
      <c r="E82" s="23" t="s">
        <v>130</v>
      </c>
      <c r="F82" s="23" t="s">
        <v>165</v>
      </c>
      <c r="G82" s="23" t="s">
        <v>92</v>
      </c>
      <c r="H82" s="98">
        <v>44196</v>
      </c>
      <c r="I82" s="39">
        <v>12.073700000000001</v>
      </c>
      <c r="J82" s="99">
        <v>44377</v>
      </c>
      <c r="K82" s="55">
        <v>12.838200000000001</v>
      </c>
      <c r="L82" s="99">
        <v>44377</v>
      </c>
      <c r="M82" s="55">
        <v>12.838200000000001</v>
      </c>
      <c r="N82" s="99">
        <v>44377</v>
      </c>
      <c r="O82" s="55">
        <v>12.838200000000001</v>
      </c>
      <c r="P82" s="99">
        <v>44377</v>
      </c>
      <c r="Q82" s="55">
        <v>12.838200000000001</v>
      </c>
      <c r="R82" s="99">
        <v>44377</v>
      </c>
      <c r="S82" s="55">
        <v>12.838200000000001</v>
      </c>
      <c r="T82" s="99"/>
      <c r="U82" s="55"/>
    </row>
    <row r="83" spans="3:21" outlineLevel="1" x14ac:dyDescent="0.25">
      <c r="C83" s="23" t="s">
        <v>121</v>
      </c>
      <c r="D83" s="23" t="s">
        <v>167</v>
      </c>
      <c r="E83" s="23" t="s">
        <v>130</v>
      </c>
      <c r="F83" s="23" t="s">
        <v>165</v>
      </c>
      <c r="G83" s="23" t="s">
        <v>92</v>
      </c>
      <c r="H83" s="98">
        <v>44196</v>
      </c>
      <c r="I83" s="39">
        <v>6.47</v>
      </c>
      <c r="J83" s="99">
        <v>44377</v>
      </c>
      <c r="K83" s="55">
        <v>8.0500000000000007</v>
      </c>
      <c r="L83" s="99">
        <v>44377</v>
      </c>
      <c r="M83" s="55">
        <v>8.0500000000000007</v>
      </c>
      <c r="N83" s="99">
        <v>44377</v>
      </c>
      <c r="O83" s="55">
        <v>8.0500000000000007</v>
      </c>
      <c r="P83" s="99">
        <v>44377</v>
      </c>
      <c r="Q83" s="55">
        <v>8.0500000000000007</v>
      </c>
      <c r="R83" s="99">
        <v>44377</v>
      </c>
      <c r="S83" s="55">
        <v>8.0500000000000007</v>
      </c>
      <c r="T83" s="99"/>
      <c r="U83" s="55"/>
    </row>
    <row r="84" spans="3:21" outlineLevel="1" x14ac:dyDescent="0.25">
      <c r="C84" s="23" t="s">
        <v>121</v>
      </c>
      <c r="D84" s="23" t="s">
        <v>168</v>
      </c>
      <c r="E84" s="23" t="s">
        <v>130</v>
      </c>
      <c r="F84" s="23" t="s">
        <v>165</v>
      </c>
      <c r="G84" s="23" t="s">
        <v>92</v>
      </c>
      <c r="H84" s="98">
        <v>44196</v>
      </c>
      <c r="I84" s="39">
        <v>7.4139999999999997</v>
      </c>
      <c r="J84" s="99">
        <v>44377</v>
      </c>
      <c r="K84" s="55">
        <v>8.67</v>
      </c>
      <c r="L84" s="99">
        <v>44377</v>
      </c>
      <c r="M84" s="55">
        <v>8.67</v>
      </c>
      <c r="N84" s="99">
        <v>44377</v>
      </c>
      <c r="O84" s="55">
        <v>8.67</v>
      </c>
      <c r="P84" s="99">
        <v>44377</v>
      </c>
      <c r="Q84" s="55">
        <v>8.67</v>
      </c>
      <c r="R84" s="99">
        <v>44377</v>
      </c>
      <c r="S84" s="55">
        <v>8.67</v>
      </c>
      <c r="T84" s="99"/>
      <c r="U84" s="55"/>
    </row>
    <row r="85" spans="3:21" outlineLevel="1" x14ac:dyDescent="0.25">
      <c r="C85" s="23" t="s">
        <v>121</v>
      </c>
      <c r="D85" s="23" t="s">
        <v>169</v>
      </c>
      <c r="E85" s="23" t="s">
        <v>130</v>
      </c>
      <c r="F85" s="23" t="s">
        <v>165</v>
      </c>
      <c r="G85" s="23" t="s">
        <v>92</v>
      </c>
      <c r="H85" s="98">
        <v>44196</v>
      </c>
      <c r="I85" s="39">
        <v>6.74</v>
      </c>
      <c r="J85" s="99">
        <v>44377</v>
      </c>
      <c r="K85" s="55">
        <v>8.15</v>
      </c>
      <c r="L85" s="99">
        <v>44377</v>
      </c>
      <c r="M85" s="55">
        <v>8.15</v>
      </c>
      <c r="N85" s="99">
        <v>44377</v>
      </c>
      <c r="O85" s="55">
        <v>8.15</v>
      </c>
      <c r="P85" s="99">
        <v>44377</v>
      </c>
      <c r="Q85" s="55">
        <v>8.15</v>
      </c>
      <c r="R85" s="99">
        <v>44377</v>
      </c>
      <c r="S85" s="55">
        <v>8.15</v>
      </c>
      <c r="T85" s="99"/>
      <c r="U85" s="55"/>
    </row>
    <row r="86" spans="3:21" outlineLevel="1" x14ac:dyDescent="0.25">
      <c r="C86" s="23" t="s">
        <v>121</v>
      </c>
      <c r="D86" s="23" t="s">
        <v>170</v>
      </c>
      <c r="E86" s="23" t="s">
        <v>130</v>
      </c>
      <c r="F86" s="23" t="s">
        <v>165</v>
      </c>
      <c r="G86" s="23" t="s">
        <v>92</v>
      </c>
      <c r="H86" s="98">
        <v>44196</v>
      </c>
      <c r="I86" s="39">
        <v>7.67</v>
      </c>
      <c r="J86" s="99">
        <v>44377</v>
      </c>
      <c r="K86" s="55">
        <v>7.99</v>
      </c>
      <c r="L86" s="99">
        <v>44377</v>
      </c>
      <c r="M86" s="55">
        <v>7.99</v>
      </c>
      <c r="N86" s="99">
        <v>44377</v>
      </c>
      <c r="O86" s="55">
        <v>7.99</v>
      </c>
      <c r="P86" s="99">
        <v>44377</v>
      </c>
      <c r="Q86" s="55">
        <v>7.99</v>
      </c>
      <c r="R86" s="99">
        <v>44377</v>
      </c>
      <c r="S86" s="55">
        <v>7.99</v>
      </c>
      <c r="T86" s="99"/>
      <c r="U86" s="55"/>
    </row>
    <row r="87" spans="3:21" outlineLevel="1" x14ac:dyDescent="0.25">
      <c r="C87" s="23" t="s">
        <v>121</v>
      </c>
      <c r="D87" s="23" t="s">
        <v>171</v>
      </c>
      <c r="E87" s="23" t="s">
        <v>130</v>
      </c>
      <c r="F87" s="23" t="s">
        <v>165</v>
      </c>
      <c r="G87" s="23" t="s">
        <v>93</v>
      </c>
      <c r="H87" s="98">
        <v>44196</v>
      </c>
      <c r="I87" s="39">
        <v>13.9602</v>
      </c>
      <c r="J87" s="99">
        <v>44377</v>
      </c>
      <c r="K87" s="55">
        <v>15.538600000000001</v>
      </c>
      <c r="L87" s="99">
        <v>44377</v>
      </c>
      <c r="M87" s="55">
        <v>15.538600000000001</v>
      </c>
      <c r="N87" s="99">
        <v>44377</v>
      </c>
      <c r="O87" s="55">
        <v>15.538600000000001</v>
      </c>
      <c r="P87" s="99">
        <v>44377</v>
      </c>
      <c r="Q87" s="55">
        <v>15.538600000000001</v>
      </c>
      <c r="R87" s="99">
        <v>44377</v>
      </c>
      <c r="S87" s="55">
        <v>15.538600000000001</v>
      </c>
      <c r="T87" s="99"/>
      <c r="U87" s="55"/>
    </row>
    <row r="88" spans="3:21" outlineLevel="1" x14ac:dyDescent="0.25">
      <c r="C88" s="23" t="s">
        <v>121</v>
      </c>
      <c r="D88" s="23" t="s">
        <v>172</v>
      </c>
      <c r="E88" s="23" t="s">
        <v>130</v>
      </c>
      <c r="F88" s="23" t="s">
        <v>165</v>
      </c>
      <c r="G88" s="23" t="s">
        <v>93</v>
      </c>
      <c r="H88" s="98">
        <v>44196</v>
      </c>
      <c r="I88" s="39">
        <v>16.934899999999999</v>
      </c>
      <c r="J88" s="99">
        <v>44377</v>
      </c>
      <c r="K88" s="55">
        <v>18.2667</v>
      </c>
      <c r="L88" s="99">
        <v>44377</v>
      </c>
      <c r="M88" s="55">
        <v>18.2667</v>
      </c>
      <c r="N88" s="99">
        <v>44377</v>
      </c>
      <c r="O88" s="55">
        <v>18.2667</v>
      </c>
      <c r="P88" s="99">
        <v>44377</v>
      </c>
      <c r="Q88" s="55">
        <v>18.2667</v>
      </c>
      <c r="R88" s="99">
        <v>44377</v>
      </c>
      <c r="S88" s="55">
        <v>18.2667</v>
      </c>
      <c r="T88" s="99"/>
      <c r="U88" s="55"/>
    </row>
    <row r="89" spans="3:21" outlineLevel="1" x14ac:dyDescent="0.25">
      <c r="C89" s="23" t="s">
        <v>121</v>
      </c>
      <c r="D89" s="23" t="s">
        <v>173</v>
      </c>
      <c r="E89" s="23" t="s">
        <v>130</v>
      </c>
      <c r="F89" s="23" t="s">
        <v>165</v>
      </c>
      <c r="G89" s="23" t="s">
        <v>93</v>
      </c>
      <c r="H89" s="98">
        <v>44196</v>
      </c>
      <c r="I89" s="39">
        <v>7.54</v>
      </c>
      <c r="J89" s="99">
        <v>44377</v>
      </c>
      <c r="K89" s="55">
        <v>8.2100000000000009</v>
      </c>
      <c r="L89" s="99">
        <v>44377</v>
      </c>
      <c r="M89" s="55">
        <v>8.2100000000000009</v>
      </c>
      <c r="N89" s="99">
        <v>44377</v>
      </c>
      <c r="O89" s="55">
        <v>8.2100000000000009</v>
      </c>
      <c r="P89" s="99">
        <v>44377</v>
      </c>
      <c r="Q89" s="55">
        <v>8.2100000000000009</v>
      </c>
      <c r="R89" s="99">
        <v>44377</v>
      </c>
      <c r="S89" s="55">
        <v>8.2100000000000009</v>
      </c>
      <c r="T89" s="99"/>
      <c r="U89" s="55"/>
    </row>
    <row r="90" spans="3:21" outlineLevel="1" x14ac:dyDescent="0.25">
      <c r="C90" s="23" t="s">
        <v>121</v>
      </c>
      <c r="D90" s="23" t="s">
        <v>174</v>
      </c>
      <c r="E90" s="23" t="s">
        <v>130</v>
      </c>
      <c r="F90" s="23" t="s">
        <v>165</v>
      </c>
      <c r="G90" s="23" t="s">
        <v>93</v>
      </c>
      <c r="H90" s="98">
        <v>44196</v>
      </c>
      <c r="I90" s="39">
        <v>9.3260000000000005</v>
      </c>
      <c r="J90" s="99">
        <v>44377</v>
      </c>
      <c r="K90" s="55">
        <v>10.973000000000001</v>
      </c>
      <c r="L90" s="99">
        <v>44377</v>
      </c>
      <c r="M90" s="55">
        <v>10.973000000000001</v>
      </c>
      <c r="N90" s="99">
        <v>44377</v>
      </c>
      <c r="O90" s="55">
        <v>10.973000000000001</v>
      </c>
      <c r="P90" s="99">
        <v>44377</v>
      </c>
      <c r="Q90" s="55">
        <v>10.973000000000001</v>
      </c>
      <c r="R90" s="99">
        <v>44377</v>
      </c>
      <c r="S90" s="55">
        <v>10.973000000000001</v>
      </c>
      <c r="T90" s="99"/>
      <c r="U90" s="55"/>
    </row>
    <row r="91" spans="3:21" outlineLevel="1" x14ac:dyDescent="0.25">
      <c r="C91" s="23" t="s">
        <v>121</v>
      </c>
      <c r="D91" s="23" t="s">
        <v>175</v>
      </c>
      <c r="E91" s="23" t="s">
        <v>130</v>
      </c>
      <c r="F91" s="23" t="s">
        <v>165</v>
      </c>
      <c r="G91" s="23" t="s">
        <v>93</v>
      </c>
      <c r="H91" s="98">
        <v>44196</v>
      </c>
      <c r="I91" s="39">
        <v>8.44</v>
      </c>
      <c r="J91" s="99">
        <v>44377</v>
      </c>
      <c r="K91" s="55">
        <v>9.2899999999999991</v>
      </c>
      <c r="L91" s="99">
        <v>44377</v>
      </c>
      <c r="M91" s="55">
        <v>9.2899999999999991</v>
      </c>
      <c r="N91" s="99">
        <v>44377</v>
      </c>
      <c r="O91" s="55">
        <v>9.2899999999999991</v>
      </c>
      <c r="P91" s="99">
        <v>44377</v>
      </c>
      <c r="Q91" s="55">
        <v>9.2899999999999991</v>
      </c>
      <c r="R91" s="99">
        <v>44377</v>
      </c>
      <c r="S91" s="55">
        <v>9.2899999999999991</v>
      </c>
      <c r="T91" s="99"/>
      <c r="U91" s="55"/>
    </row>
    <row r="92" spans="3:21" outlineLevel="1" x14ac:dyDescent="0.25">
      <c r="C92" s="23" t="s">
        <v>121</v>
      </c>
      <c r="D92" s="23" t="s">
        <v>176</v>
      </c>
      <c r="E92" s="23" t="s">
        <v>130</v>
      </c>
      <c r="F92" s="23" t="s">
        <v>165</v>
      </c>
      <c r="G92" s="23" t="s">
        <v>93</v>
      </c>
      <c r="H92" s="98">
        <v>44196</v>
      </c>
      <c r="I92" s="39">
        <v>9.27</v>
      </c>
      <c r="J92" s="99">
        <v>44377</v>
      </c>
      <c r="K92" s="55">
        <v>8.7899999999999991</v>
      </c>
      <c r="L92" s="99">
        <v>44377</v>
      </c>
      <c r="M92" s="55">
        <v>8.7899999999999991</v>
      </c>
      <c r="N92" s="99">
        <v>44377</v>
      </c>
      <c r="O92" s="55">
        <v>8.7899999999999991</v>
      </c>
      <c r="P92" s="99">
        <v>44377</v>
      </c>
      <c r="Q92" s="55">
        <v>8.7899999999999991</v>
      </c>
      <c r="R92" s="99">
        <v>44377</v>
      </c>
      <c r="S92" s="55">
        <v>8.7899999999999991</v>
      </c>
      <c r="T92" s="99"/>
      <c r="U92" s="55"/>
    </row>
    <row r="93" spans="3:21" outlineLevel="1" x14ac:dyDescent="0.25">
      <c r="C93" s="23" t="s">
        <v>121</v>
      </c>
      <c r="D93" s="23" t="s">
        <v>177</v>
      </c>
      <c r="E93" s="23" t="s">
        <v>130</v>
      </c>
      <c r="F93" s="23" t="s">
        <v>165</v>
      </c>
      <c r="G93" s="23" t="s">
        <v>92</v>
      </c>
      <c r="H93" s="98" t="s">
        <v>79</v>
      </c>
      <c r="I93" s="39" t="s">
        <v>79</v>
      </c>
      <c r="J93" s="99">
        <v>44377</v>
      </c>
      <c r="K93" s="55">
        <v>20.853200000000001</v>
      </c>
      <c r="L93" s="99">
        <v>44377</v>
      </c>
      <c r="M93" s="55">
        <v>20.853200000000001</v>
      </c>
      <c r="N93" s="99">
        <v>44377</v>
      </c>
      <c r="O93" s="55">
        <v>20.853200000000001</v>
      </c>
      <c r="P93" s="99">
        <v>44377</v>
      </c>
      <c r="Q93" s="55">
        <v>20.853200000000001</v>
      </c>
      <c r="R93" s="99">
        <v>44377</v>
      </c>
      <c r="S93" s="55">
        <v>20.853200000000001</v>
      </c>
      <c r="T93" s="99"/>
      <c r="U93" s="55"/>
    </row>
    <row r="94" spans="3:21" outlineLevel="1" x14ac:dyDescent="0.25">
      <c r="C94" s="23" t="s">
        <v>121</v>
      </c>
      <c r="D94" s="23" t="s">
        <v>178</v>
      </c>
      <c r="E94" s="23" t="s">
        <v>130</v>
      </c>
      <c r="F94" s="23" t="s">
        <v>165</v>
      </c>
      <c r="G94" s="23" t="s">
        <v>92</v>
      </c>
      <c r="H94" s="98" t="s">
        <v>79</v>
      </c>
      <c r="I94" s="39" t="s">
        <v>79</v>
      </c>
      <c r="J94" s="99">
        <v>44377</v>
      </c>
      <c r="K94" s="55">
        <v>15.94</v>
      </c>
      <c r="L94" s="99">
        <v>44377</v>
      </c>
      <c r="M94" s="55">
        <v>15.94</v>
      </c>
      <c r="N94" s="99">
        <v>44377</v>
      </c>
      <c r="O94" s="55">
        <v>15.94</v>
      </c>
      <c r="P94" s="99">
        <v>44377</v>
      </c>
      <c r="Q94" s="55">
        <v>15.94</v>
      </c>
      <c r="R94" s="99">
        <v>44377</v>
      </c>
      <c r="S94" s="55">
        <v>15.94</v>
      </c>
      <c r="T94" s="99"/>
      <c r="U94" s="55"/>
    </row>
    <row r="95" spans="3:21" outlineLevel="1" x14ac:dyDescent="0.25">
      <c r="C95" s="23" t="s">
        <v>121</v>
      </c>
      <c r="D95" s="23" t="s">
        <v>179</v>
      </c>
      <c r="E95" s="23" t="s">
        <v>130</v>
      </c>
      <c r="F95" s="23" t="s">
        <v>165</v>
      </c>
      <c r="G95" s="23" t="s">
        <v>92</v>
      </c>
      <c r="H95" s="98" t="s">
        <v>79</v>
      </c>
      <c r="I95" s="39" t="s">
        <v>79</v>
      </c>
      <c r="J95" s="99">
        <v>44377</v>
      </c>
      <c r="K95" s="55">
        <v>13.492000000000001</v>
      </c>
      <c r="L95" s="99">
        <v>44377</v>
      </c>
      <c r="M95" s="55">
        <v>13.492000000000001</v>
      </c>
      <c r="N95" s="99">
        <v>44377</v>
      </c>
      <c r="O95" s="55">
        <v>13.492000000000001</v>
      </c>
      <c r="P95" s="99">
        <v>44377</v>
      </c>
      <c r="Q95" s="55">
        <v>13.492000000000001</v>
      </c>
      <c r="R95" s="99">
        <v>44377</v>
      </c>
      <c r="S95" s="55">
        <v>13.492000000000001</v>
      </c>
      <c r="T95" s="99"/>
      <c r="U95" s="55"/>
    </row>
    <row r="96" spans="3:21" outlineLevel="1" x14ac:dyDescent="0.25">
      <c r="C96" s="23" t="s">
        <v>121</v>
      </c>
      <c r="D96" s="23" t="s">
        <v>180</v>
      </c>
      <c r="E96" s="23" t="s">
        <v>130</v>
      </c>
      <c r="F96" s="23" t="s">
        <v>165</v>
      </c>
      <c r="G96" s="23" t="s">
        <v>92</v>
      </c>
      <c r="H96" s="98" t="s">
        <v>79</v>
      </c>
      <c r="I96" s="39" t="s">
        <v>79</v>
      </c>
      <c r="J96" s="99">
        <v>44377</v>
      </c>
      <c r="K96" s="55">
        <v>15.87</v>
      </c>
      <c r="L96" s="99">
        <v>44377</v>
      </c>
      <c r="M96" s="55">
        <v>15.87</v>
      </c>
      <c r="N96" s="99">
        <v>44377</v>
      </c>
      <c r="O96" s="55">
        <v>15.87</v>
      </c>
      <c r="P96" s="99">
        <v>44377</v>
      </c>
      <c r="Q96" s="55">
        <v>15.87</v>
      </c>
      <c r="R96" s="99">
        <v>44377</v>
      </c>
      <c r="S96" s="55">
        <v>15.87</v>
      </c>
      <c r="T96" s="99"/>
      <c r="U96" s="55"/>
    </row>
    <row r="97" spans="3:21" outlineLevel="1" x14ac:dyDescent="0.25">
      <c r="C97" s="23" t="s">
        <v>121</v>
      </c>
      <c r="D97" s="23" t="s">
        <v>181</v>
      </c>
      <c r="E97" s="23" t="s">
        <v>130</v>
      </c>
      <c r="F97" s="23" t="s">
        <v>165</v>
      </c>
      <c r="G97" s="23" t="s">
        <v>92</v>
      </c>
      <c r="H97" s="98" t="s">
        <v>79</v>
      </c>
      <c r="I97" s="39" t="s">
        <v>79</v>
      </c>
      <c r="J97" s="99">
        <v>44377</v>
      </c>
      <c r="K97" s="55">
        <v>15.79</v>
      </c>
      <c r="L97" s="99">
        <v>44377</v>
      </c>
      <c r="M97" s="55">
        <v>15.79</v>
      </c>
      <c r="N97" s="99">
        <v>44377</v>
      </c>
      <c r="O97" s="55">
        <v>15.79</v>
      </c>
      <c r="P97" s="99">
        <v>44377</v>
      </c>
      <c r="Q97" s="55">
        <v>15.79</v>
      </c>
      <c r="R97" s="99">
        <v>44377</v>
      </c>
      <c r="S97" s="55">
        <v>15.79</v>
      </c>
      <c r="T97" s="99"/>
      <c r="U97" s="55"/>
    </row>
    <row r="98" spans="3:21" outlineLevel="1" x14ac:dyDescent="0.25">
      <c r="C98" s="23" t="s">
        <v>121</v>
      </c>
      <c r="D98" s="23" t="s">
        <v>182</v>
      </c>
      <c r="E98" s="23" t="s">
        <v>130</v>
      </c>
      <c r="F98" s="23" t="s">
        <v>165</v>
      </c>
      <c r="G98" s="23" t="s">
        <v>92</v>
      </c>
      <c r="H98" s="98" t="s">
        <v>79</v>
      </c>
      <c r="I98" s="39" t="s">
        <v>79</v>
      </c>
      <c r="J98" s="99">
        <v>44377</v>
      </c>
      <c r="K98" s="55">
        <v>4.3418999999999999</v>
      </c>
      <c r="L98" s="99">
        <v>44377</v>
      </c>
      <c r="M98" s="55">
        <v>4.3418999999999999</v>
      </c>
      <c r="N98" s="99">
        <v>44377</v>
      </c>
      <c r="O98" s="55">
        <v>4.3418999999999999</v>
      </c>
      <c r="P98" s="99">
        <v>44377</v>
      </c>
      <c r="Q98" s="55">
        <v>4.3418999999999999</v>
      </c>
      <c r="R98" s="99">
        <v>44377</v>
      </c>
      <c r="S98" s="55">
        <v>4.3418999999999999</v>
      </c>
      <c r="T98" s="99"/>
      <c r="U98" s="55"/>
    </row>
    <row r="99" spans="3:21" outlineLevel="1" x14ac:dyDescent="0.25">
      <c r="C99" s="23" t="s">
        <v>121</v>
      </c>
      <c r="D99" s="23" t="s">
        <v>183</v>
      </c>
      <c r="E99" s="23" t="s">
        <v>130</v>
      </c>
      <c r="F99" s="23" t="s">
        <v>165</v>
      </c>
      <c r="G99" s="23" t="s">
        <v>92</v>
      </c>
      <c r="H99" s="98" t="s">
        <v>79</v>
      </c>
      <c r="I99" s="39" t="s">
        <v>79</v>
      </c>
      <c r="J99" s="99">
        <v>44377</v>
      </c>
      <c r="K99" s="55">
        <v>3.98</v>
      </c>
      <c r="L99" s="99">
        <v>44377</v>
      </c>
      <c r="M99" s="55">
        <v>3.98</v>
      </c>
      <c r="N99" s="99">
        <v>44377</v>
      </c>
      <c r="O99" s="55">
        <v>3.98</v>
      </c>
      <c r="P99" s="99">
        <v>44377</v>
      </c>
      <c r="Q99" s="55">
        <v>3.98</v>
      </c>
      <c r="R99" s="99">
        <v>44377</v>
      </c>
      <c r="S99" s="55">
        <v>3.98</v>
      </c>
      <c r="T99" s="99"/>
      <c r="U99" s="55"/>
    </row>
    <row r="100" spans="3:21" outlineLevel="1" x14ac:dyDescent="0.25">
      <c r="C100" s="23" t="s">
        <v>121</v>
      </c>
      <c r="D100" s="23" t="s">
        <v>184</v>
      </c>
      <c r="E100" s="23" t="s">
        <v>130</v>
      </c>
      <c r="F100" s="23" t="s">
        <v>165</v>
      </c>
      <c r="G100" s="23" t="s">
        <v>92</v>
      </c>
      <c r="H100" s="98" t="s">
        <v>79</v>
      </c>
      <c r="I100" s="39" t="s">
        <v>79</v>
      </c>
      <c r="J100" s="99">
        <v>44377</v>
      </c>
      <c r="K100" s="55">
        <v>3.89</v>
      </c>
      <c r="L100" s="99">
        <v>44377</v>
      </c>
      <c r="M100" s="55">
        <v>3.89</v>
      </c>
      <c r="N100" s="99">
        <v>44377</v>
      </c>
      <c r="O100" s="55">
        <v>3.89</v>
      </c>
      <c r="P100" s="99">
        <v>44377</v>
      </c>
      <c r="Q100" s="55">
        <v>3.89</v>
      </c>
      <c r="R100" s="99">
        <v>44377</v>
      </c>
      <c r="S100" s="55">
        <v>3.89</v>
      </c>
      <c r="T100" s="99"/>
      <c r="U100" s="55"/>
    </row>
    <row r="101" spans="3:21" outlineLevel="1" x14ac:dyDescent="0.25">
      <c r="C101" s="23" t="s">
        <v>121</v>
      </c>
      <c r="D101" s="23" t="s">
        <v>185</v>
      </c>
      <c r="E101" s="23" t="s">
        <v>130</v>
      </c>
      <c r="F101" s="23" t="s">
        <v>165</v>
      </c>
      <c r="G101" s="23" t="s">
        <v>92</v>
      </c>
      <c r="H101" s="98" t="s">
        <v>79</v>
      </c>
      <c r="I101" s="39" t="s">
        <v>79</v>
      </c>
      <c r="J101" s="99">
        <v>44377</v>
      </c>
      <c r="K101" s="55">
        <v>3.96</v>
      </c>
      <c r="L101" s="99">
        <v>44377</v>
      </c>
      <c r="M101" s="55">
        <v>3.96</v>
      </c>
      <c r="N101" s="99">
        <v>44377</v>
      </c>
      <c r="O101" s="55">
        <v>3.96</v>
      </c>
      <c r="P101" s="99">
        <v>44377</v>
      </c>
      <c r="Q101" s="55">
        <v>3.96</v>
      </c>
      <c r="R101" s="99">
        <v>44377</v>
      </c>
      <c r="S101" s="55">
        <v>3.96</v>
      </c>
      <c r="T101" s="99"/>
      <c r="U101" s="55"/>
    </row>
    <row r="102" spans="3:21" outlineLevel="1" x14ac:dyDescent="0.25">
      <c r="C102" s="23" t="s">
        <v>121</v>
      </c>
      <c r="D102" s="23" t="s">
        <v>186</v>
      </c>
      <c r="E102" s="23" t="s">
        <v>130</v>
      </c>
      <c r="F102" s="23" t="s">
        <v>165</v>
      </c>
      <c r="G102" s="23" t="s">
        <v>92</v>
      </c>
      <c r="H102" s="98" t="s">
        <v>79</v>
      </c>
      <c r="I102" s="39" t="s">
        <v>79</v>
      </c>
      <c r="J102" s="99">
        <v>44377</v>
      </c>
      <c r="K102" s="55">
        <v>3.95</v>
      </c>
      <c r="L102" s="99">
        <v>44377</v>
      </c>
      <c r="M102" s="55">
        <v>3.95</v>
      </c>
      <c r="N102" s="99">
        <v>44377</v>
      </c>
      <c r="O102" s="55">
        <v>3.95</v>
      </c>
      <c r="P102" s="99">
        <v>44377</v>
      </c>
      <c r="Q102" s="55">
        <v>3.95</v>
      </c>
      <c r="R102" s="99">
        <v>44377</v>
      </c>
      <c r="S102" s="55">
        <v>3.95</v>
      </c>
      <c r="T102" s="99"/>
      <c r="U102" s="55"/>
    </row>
    <row r="103" spans="3:21" outlineLevel="1" x14ac:dyDescent="0.25">
      <c r="C103" s="23" t="s">
        <v>121</v>
      </c>
      <c r="D103" s="23" t="s">
        <v>187</v>
      </c>
      <c r="E103" s="23" t="s">
        <v>130</v>
      </c>
      <c r="F103" s="23" t="s">
        <v>165</v>
      </c>
      <c r="G103" s="23" t="s">
        <v>93</v>
      </c>
      <c r="H103" s="98" t="s">
        <v>79</v>
      </c>
      <c r="I103" s="39" t="s">
        <v>79</v>
      </c>
      <c r="J103" s="99">
        <v>44377</v>
      </c>
      <c r="K103" s="55">
        <v>17.508700000000001</v>
      </c>
      <c r="L103" s="99">
        <v>44377</v>
      </c>
      <c r="M103" s="55">
        <v>17.508700000000001</v>
      </c>
      <c r="N103" s="99">
        <v>44377</v>
      </c>
      <c r="O103" s="55">
        <v>17.508700000000001</v>
      </c>
      <c r="P103" s="99">
        <v>44377</v>
      </c>
      <c r="Q103" s="55">
        <v>17.508700000000001</v>
      </c>
      <c r="R103" s="99">
        <v>44377</v>
      </c>
      <c r="S103" s="55">
        <v>17.508700000000001</v>
      </c>
      <c r="T103" s="99"/>
      <c r="U103" s="55"/>
    </row>
    <row r="104" spans="3:21" outlineLevel="1" x14ac:dyDescent="0.25">
      <c r="C104" s="23" t="s">
        <v>121</v>
      </c>
      <c r="D104" s="23" t="s">
        <v>188</v>
      </c>
      <c r="E104" s="23" t="s">
        <v>130</v>
      </c>
      <c r="F104" s="23" t="s">
        <v>165</v>
      </c>
      <c r="G104" s="23" t="s">
        <v>93</v>
      </c>
      <c r="H104" s="98" t="s">
        <v>79</v>
      </c>
      <c r="I104" s="39" t="s">
        <v>79</v>
      </c>
      <c r="J104" s="99">
        <v>44377</v>
      </c>
      <c r="K104" s="55">
        <v>13.02</v>
      </c>
      <c r="L104" s="99">
        <v>44377</v>
      </c>
      <c r="M104" s="55">
        <v>13.02</v>
      </c>
      <c r="N104" s="99">
        <v>44377</v>
      </c>
      <c r="O104" s="55">
        <v>13.02</v>
      </c>
      <c r="P104" s="99">
        <v>44377</v>
      </c>
      <c r="Q104" s="55">
        <v>13.02</v>
      </c>
      <c r="R104" s="99">
        <v>44377</v>
      </c>
      <c r="S104" s="55">
        <v>13.02</v>
      </c>
      <c r="T104" s="99"/>
      <c r="U104" s="55"/>
    </row>
    <row r="105" spans="3:21" outlineLevel="1" x14ac:dyDescent="0.25">
      <c r="C105" s="23" t="s">
        <v>121</v>
      </c>
      <c r="D105" s="23" t="s">
        <v>189</v>
      </c>
      <c r="E105" s="23" t="s">
        <v>130</v>
      </c>
      <c r="F105" s="23" t="s">
        <v>165</v>
      </c>
      <c r="G105" s="23" t="s">
        <v>93</v>
      </c>
      <c r="H105" s="98" t="s">
        <v>79</v>
      </c>
      <c r="I105" s="39" t="s">
        <v>79</v>
      </c>
      <c r="J105" s="99">
        <v>44377</v>
      </c>
      <c r="K105" s="55">
        <v>14.331</v>
      </c>
      <c r="L105" s="99">
        <v>44377</v>
      </c>
      <c r="M105" s="55">
        <v>14.331</v>
      </c>
      <c r="N105" s="99">
        <v>44377</v>
      </c>
      <c r="O105" s="55">
        <v>14.331</v>
      </c>
      <c r="P105" s="99">
        <v>44377</v>
      </c>
      <c r="Q105" s="55">
        <v>14.331</v>
      </c>
      <c r="R105" s="99">
        <v>44377</v>
      </c>
      <c r="S105" s="55">
        <v>14.331</v>
      </c>
      <c r="T105" s="99"/>
      <c r="U105" s="55"/>
    </row>
    <row r="106" spans="3:21" outlineLevel="1" x14ac:dyDescent="0.25">
      <c r="C106" s="23" t="s">
        <v>121</v>
      </c>
      <c r="D106" s="23" t="s">
        <v>190</v>
      </c>
      <c r="E106" s="23" t="s">
        <v>130</v>
      </c>
      <c r="F106" s="23" t="s">
        <v>165</v>
      </c>
      <c r="G106" s="23" t="s">
        <v>93</v>
      </c>
      <c r="H106" s="98" t="s">
        <v>79</v>
      </c>
      <c r="I106" s="39" t="s">
        <v>79</v>
      </c>
      <c r="J106" s="99">
        <v>44377</v>
      </c>
      <c r="K106" s="55">
        <v>14.75</v>
      </c>
      <c r="L106" s="99">
        <v>44377</v>
      </c>
      <c r="M106" s="55">
        <v>14.75</v>
      </c>
      <c r="N106" s="99">
        <v>44377</v>
      </c>
      <c r="O106" s="55">
        <v>14.75</v>
      </c>
      <c r="P106" s="99">
        <v>44377</v>
      </c>
      <c r="Q106" s="55">
        <v>14.75</v>
      </c>
      <c r="R106" s="99">
        <v>44377</v>
      </c>
      <c r="S106" s="55">
        <v>14.75</v>
      </c>
      <c r="T106" s="99"/>
      <c r="U106" s="55"/>
    </row>
    <row r="107" spans="3:21" outlineLevel="1" x14ac:dyDescent="0.25">
      <c r="C107" s="23" t="s">
        <v>121</v>
      </c>
      <c r="D107" s="23" t="s">
        <v>191</v>
      </c>
      <c r="E107" s="23" t="s">
        <v>130</v>
      </c>
      <c r="F107" s="23" t="s">
        <v>165</v>
      </c>
      <c r="G107" s="23" t="s">
        <v>93</v>
      </c>
      <c r="H107" s="98" t="s">
        <v>79</v>
      </c>
      <c r="I107" s="39" t="s">
        <v>79</v>
      </c>
      <c r="J107" s="99">
        <v>44377</v>
      </c>
      <c r="K107" s="55">
        <v>13.99</v>
      </c>
      <c r="L107" s="99">
        <v>44377</v>
      </c>
      <c r="M107" s="55">
        <v>13.99</v>
      </c>
      <c r="N107" s="99">
        <v>44377</v>
      </c>
      <c r="O107" s="55">
        <v>13.99</v>
      </c>
      <c r="P107" s="99">
        <v>44377</v>
      </c>
      <c r="Q107" s="55">
        <v>13.99</v>
      </c>
      <c r="R107" s="99">
        <v>44377</v>
      </c>
      <c r="S107" s="55">
        <v>13.99</v>
      </c>
      <c r="T107" s="99"/>
      <c r="U107" s="55"/>
    </row>
    <row r="108" spans="3:21" outlineLevel="1" x14ac:dyDescent="0.25">
      <c r="C108" s="23" t="s">
        <v>121</v>
      </c>
      <c r="D108" s="23" t="s">
        <v>192</v>
      </c>
      <c r="E108" s="23" t="s">
        <v>130</v>
      </c>
      <c r="F108" s="23" t="s">
        <v>165</v>
      </c>
      <c r="G108" s="23" t="s">
        <v>93</v>
      </c>
      <c r="H108" s="98" t="s">
        <v>79</v>
      </c>
      <c r="I108" s="39" t="s">
        <v>79</v>
      </c>
      <c r="J108" s="99">
        <v>44377</v>
      </c>
      <c r="K108" s="55">
        <v>4.2656000000000001</v>
      </c>
      <c r="L108" s="99">
        <v>44377</v>
      </c>
      <c r="M108" s="55">
        <v>4.2656000000000001</v>
      </c>
      <c r="N108" s="99">
        <v>44377</v>
      </c>
      <c r="O108" s="55">
        <v>4.2656000000000001</v>
      </c>
      <c r="P108" s="99">
        <v>44377</v>
      </c>
      <c r="Q108" s="55">
        <v>4.2656000000000001</v>
      </c>
      <c r="R108" s="99">
        <v>44377</v>
      </c>
      <c r="S108" s="55">
        <v>4.2656000000000001</v>
      </c>
      <c r="T108" s="99"/>
      <c r="U108" s="55"/>
    </row>
    <row r="109" spans="3:21" outlineLevel="1" x14ac:dyDescent="0.25">
      <c r="C109" s="23" t="s">
        <v>121</v>
      </c>
      <c r="D109" s="23" t="s">
        <v>193</v>
      </c>
      <c r="E109" s="23" t="s">
        <v>130</v>
      </c>
      <c r="F109" s="23" t="s">
        <v>165</v>
      </c>
      <c r="G109" s="23" t="s">
        <v>93</v>
      </c>
      <c r="H109" s="98" t="s">
        <v>79</v>
      </c>
      <c r="I109" s="39" t="s">
        <v>79</v>
      </c>
      <c r="J109" s="99">
        <v>44377</v>
      </c>
      <c r="K109" s="55">
        <v>2.89</v>
      </c>
      <c r="L109" s="99">
        <v>44377</v>
      </c>
      <c r="M109" s="55">
        <v>2.89</v>
      </c>
      <c r="N109" s="99">
        <v>44377</v>
      </c>
      <c r="O109" s="55">
        <v>2.89</v>
      </c>
      <c r="P109" s="99">
        <v>44377</v>
      </c>
      <c r="Q109" s="55">
        <v>2.89</v>
      </c>
      <c r="R109" s="99">
        <v>44377</v>
      </c>
      <c r="S109" s="55">
        <v>2.89</v>
      </c>
      <c r="T109" s="99"/>
      <c r="U109" s="55"/>
    </row>
    <row r="110" spans="3:21" outlineLevel="1" x14ac:dyDescent="0.25">
      <c r="C110" s="23" t="s">
        <v>121</v>
      </c>
      <c r="D110" s="23" t="s">
        <v>194</v>
      </c>
      <c r="E110" s="23" t="s">
        <v>130</v>
      </c>
      <c r="F110" s="23" t="s">
        <v>165</v>
      </c>
      <c r="G110" s="23" t="s">
        <v>93</v>
      </c>
      <c r="H110" s="98" t="s">
        <v>79</v>
      </c>
      <c r="I110" s="39" t="s">
        <v>79</v>
      </c>
      <c r="J110" s="99">
        <v>44377</v>
      </c>
      <c r="K110" s="55">
        <v>3.052</v>
      </c>
      <c r="L110" s="99">
        <v>44377</v>
      </c>
      <c r="M110" s="55">
        <v>3.052</v>
      </c>
      <c r="N110" s="99">
        <v>44377</v>
      </c>
      <c r="O110" s="55">
        <v>3.052</v>
      </c>
      <c r="P110" s="99">
        <v>44377</v>
      </c>
      <c r="Q110" s="55">
        <v>3.052</v>
      </c>
      <c r="R110" s="99">
        <v>44377</v>
      </c>
      <c r="S110" s="55">
        <v>3.052</v>
      </c>
      <c r="T110" s="99"/>
      <c r="U110" s="55"/>
    </row>
    <row r="111" spans="3:21" outlineLevel="1" x14ac:dyDescent="0.25">
      <c r="C111" s="23" t="s">
        <v>121</v>
      </c>
      <c r="D111" s="23" t="s">
        <v>195</v>
      </c>
      <c r="E111" s="23" t="s">
        <v>130</v>
      </c>
      <c r="F111" s="23" t="s">
        <v>165</v>
      </c>
      <c r="G111" s="23" t="s">
        <v>93</v>
      </c>
      <c r="H111" s="98" t="s">
        <v>79</v>
      </c>
      <c r="I111" s="39" t="s">
        <v>79</v>
      </c>
      <c r="J111" s="99">
        <v>44377</v>
      </c>
      <c r="K111" s="55">
        <v>3.28</v>
      </c>
      <c r="L111" s="99">
        <v>44377</v>
      </c>
      <c r="M111" s="55">
        <v>3.28</v>
      </c>
      <c r="N111" s="99">
        <v>44377</v>
      </c>
      <c r="O111" s="55">
        <v>3.28</v>
      </c>
      <c r="P111" s="99">
        <v>44377</v>
      </c>
      <c r="Q111" s="55">
        <v>3.28</v>
      </c>
      <c r="R111" s="99">
        <v>44377</v>
      </c>
      <c r="S111" s="55">
        <v>3.28</v>
      </c>
      <c r="T111" s="99"/>
      <c r="U111" s="55"/>
    </row>
    <row r="112" spans="3:21" outlineLevel="1" x14ac:dyDescent="0.25">
      <c r="C112" s="23" t="s">
        <v>121</v>
      </c>
      <c r="D112" s="23" t="s">
        <v>196</v>
      </c>
      <c r="E112" s="23" t="s">
        <v>130</v>
      </c>
      <c r="F112" s="23" t="s">
        <v>165</v>
      </c>
      <c r="G112" s="23" t="s">
        <v>93</v>
      </c>
      <c r="H112" s="98" t="s">
        <v>79</v>
      </c>
      <c r="I112" s="39" t="s">
        <v>79</v>
      </c>
      <c r="J112" s="99">
        <v>44377</v>
      </c>
      <c r="K112" s="55">
        <v>3.11</v>
      </c>
      <c r="L112" s="99">
        <v>44377</v>
      </c>
      <c r="M112" s="55">
        <v>3.11</v>
      </c>
      <c r="N112" s="99">
        <v>44377</v>
      </c>
      <c r="O112" s="55">
        <v>3.11</v>
      </c>
      <c r="P112" s="99">
        <v>44377</v>
      </c>
      <c r="Q112" s="55">
        <v>3.11</v>
      </c>
      <c r="R112" s="99">
        <v>44377</v>
      </c>
      <c r="S112" s="55">
        <v>3.11</v>
      </c>
      <c r="T112" s="99"/>
      <c r="U112" s="55"/>
    </row>
    <row r="113" spans="3:21" outlineLevel="1" x14ac:dyDescent="0.25">
      <c r="C113" s="23" t="s">
        <v>121</v>
      </c>
      <c r="D113" s="23" t="s">
        <v>197</v>
      </c>
      <c r="E113" s="23" t="s">
        <v>130</v>
      </c>
      <c r="F113" s="23" t="s">
        <v>165</v>
      </c>
      <c r="G113" s="23" t="s">
        <v>92</v>
      </c>
      <c r="H113" s="98">
        <v>44196</v>
      </c>
      <c r="I113" s="39">
        <v>3.8612000000000002</v>
      </c>
      <c r="J113" s="99">
        <v>44377</v>
      </c>
      <c r="K113" s="55">
        <v>4.2622999999999998</v>
      </c>
      <c r="L113" s="99">
        <v>44377</v>
      </c>
      <c r="M113" s="55">
        <v>4.2622999999999998</v>
      </c>
      <c r="N113" s="99">
        <v>44377</v>
      </c>
      <c r="O113" s="55">
        <v>4.2622999999999998</v>
      </c>
      <c r="P113" s="99">
        <v>44377</v>
      </c>
      <c r="Q113" s="55">
        <v>4.2622999999999998</v>
      </c>
      <c r="R113" s="99">
        <v>44377</v>
      </c>
      <c r="S113" s="55">
        <v>4.2622999999999998</v>
      </c>
      <c r="T113" s="99"/>
      <c r="U113" s="55"/>
    </row>
    <row r="114" spans="3:21" outlineLevel="1" x14ac:dyDescent="0.25">
      <c r="C114" s="23" t="s">
        <v>121</v>
      </c>
      <c r="D114" s="23" t="s">
        <v>198</v>
      </c>
      <c r="E114" s="23" t="s">
        <v>130</v>
      </c>
      <c r="F114" s="23" t="s">
        <v>165</v>
      </c>
      <c r="G114" s="23" t="s">
        <v>92</v>
      </c>
      <c r="H114" s="98">
        <v>44196</v>
      </c>
      <c r="I114" s="39">
        <v>2.09</v>
      </c>
      <c r="J114" s="99">
        <v>44377</v>
      </c>
      <c r="K114" s="55">
        <v>2.4700000000000002</v>
      </c>
      <c r="L114" s="99">
        <v>44377</v>
      </c>
      <c r="M114" s="55">
        <v>2.4700000000000002</v>
      </c>
      <c r="N114" s="99">
        <v>44377</v>
      </c>
      <c r="O114" s="55">
        <v>2.4700000000000002</v>
      </c>
      <c r="P114" s="99">
        <v>44377</v>
      </c>
      <c r="Q114" s="55">
        <v>2.4700000000000002</v>
      </c>
      <c r="R114" s="99">
        <v>44377</v>
      </c>
      <c r="S114" s="55">
        <v>2.4700000000000002</v>
      </c>
      <c r="T114" s="99"/>
      <c r="U114" s="55"/>
    </row>
    <row r="115" spans="3:21" outlineLevel="1" x14ac:dyDescent="0.25">
      <c r="C115" s="23" t="s">
        <v>121</v>
      </c>
      <c r="D115" s="23" t="s">
        <v>199</v>
      </c>
      <c r="E115" s="23" t="s">
        <v>130</v>
      </c>
      <c r="F115" s="23" t="s">
        <v>165</v>
      </c>
      <c r="G115" s="23" t="s">
        <v>92</v>
      </c>
      <c r="H115" s="98">
        <v>44196</v>
      </c>
      <c r="I115" s="39">
        <v>2.9159999999999999</v>
      </c>
      <c r="J115" s="99">
        <v>44377</v>
      </c>
      <c r="K115" s="55">
        <v>3.5990000000000002</v>
      </c>
      <c r="L115" s="99">
        <v>44377</v>
      </c>
      <c r="M115" s="55">
        <v>3.5990000000000002</v>
      </c>
      <c r="N115" s="99">
        <v>44377</v>
      </c>
      <c r="O115" s="55">
        <v>3.5990000000000002</v>
      </c>
      <c r="P115" s="99">
        <v>44377</v>
      </c>
      <c r="Q115" s="55">
        <v>3.5990000000000002</v>
      </c>
      <c r="R115" s="99">
        <v>44377</v>
      </c>
      <c r="S115" s="55">
        <v>3.5990000000000002</v>
      </c>
      <c r="T115" s="99"/>
      <c r="U115" s="55"/>
    </row>
    <row r="116" spans="3:21" outlineLevel="1" x14ac:dyDescent="0.25">
      <c r="C116" s="23" t="s">
        <v>121</v>
      </c>
      <c r="D116" s="23" t="s">
        <v>200</v>
      </c>
      <c r="E116" s="23" t="s">
        <v>130</v>
      </c>
      <c r="F116" s="23" t="s">
        <v>165</v>
      </c>
      <c r="G116" s="23" t="s">
        <v>92</v>
      </c>
      <c r="H116" s="98">
        <v>44196</v>
      </c>
      <c r="I116" s="39">
        <v>2.14</v>
      </c>
      <c r="J116" s="99">
        <v>44377</v>
      </c>
      <c r="K116" s="55">
        <v>2.39</v>
      </c>
      <c r="L116" s="99">
        <v>44377</v>
      </c>
      <c r="M116" s="55">
        <v>2.39</v>
      </c>
      <c r="N116" s="99">
        <v>44377</v>
      </c>
      <c r="O116" s="55">
        <v>2.39</v>
      </c>
      <c r="P116" s="99">
        <v>44377</v>
      </c>
      <c r="Q116" s="55">
        <v>2.39</v>
      </c>
      <c r="R116" s="99">
        <v>44377</v>
      </c>
      <c r="S116" s="55">
        <v>2.39</v>
      </c>
      <c r="T116" s="99"/>
      <c r="U116" s="55"/>
    </row>
    <row r="117" spans="3:21" outlineLevel="1" x14ac:dyDescent="0.25">
      <c r="C117" s="44" t="s">
        <v>121</v>
      </c>
      <c r="D117" s="44" t="s">
        <v>201</v>
      </c>
      <c r="E117" s="44" t="s">
        <v>130</v>
      </c>
      <c r="F117" s="44" t="s">
        <v>165</v>
      </c>
      <c r="G117" s="23" t="s">
        <v>92</v>
      </c>
      <c r="H117" s="98">
        <v>44196</v>
      </c>
      <c r="I117" s="39">
        <v>1.73</v>
      </c>
      <c r="J117" s="99">
        <v>44377</v>
      </c>
      <c r="K117" s="55">
        <v>2.17</v>
      </c>
      <c r="L117" s="99">
        <v>44377</v>
      </c>
      <c r="M117" s="55">
        <v>2.17</v>
      </c>
      <c r="N117" s="99">
        <v>44377</v>
      </c>
      <c r="O117" s="55">
        <v>2.17</v>
      </c>
      <c r="P117" s="99">
        <v>44377</v>
      </c>
      <c r="Q117" s="55">
        <v>2.17</v>
      </c>
      <c r="R117" s="99">
        <v>44377</v>
      </c>
      <c r="S117" s="55">
        <v>2.17</v>
      </c>
      <c r="T117" s="99"/>
      <c r="U117" s="55"/>
    </row>
    <row r="118" spans="3:21" outlineLevel="1" x14ac:dyDescent="0.25">
      <c r="C118" s="23" t="s">
        <v>202</v>
      </c>
      <c r="D118" s="23" t="s">
        <v>203</v>
      </c>
      <c r="E118" s="23" t="s">
        <v>9</v>
      </c>
      <c r="F118" s="23" t="s">
        <v>204</v>
      </c>
      <c r="G118" s="23" t="s">
        <v>110</v>
      </c>
      <c r="H118" s="98" t="s">
        <v>79</v>
      </c>
      <c r="I118" s="39">
        <v>6.0400000000000002E-2</v>
      </c>
      <c r="J118" s="98" t="s">
        <v>79</v>
      </c>
      <c r="K118" s="119">
        <v>6.0400000000000002E-2</v>
      </c>
      <c r="L118" s="98" t="s">
        <v>79</v>
      </c>
      <c r="M118" s="39">
        <v>6.0400000000000002E-2</v>
      </c>
      <c r="N118" s="99" t="s">
        <v>79</v>
      </c>
      <c r="O118" s="243">
        <v>6.0400000000000002E-2</v>
      </c>
      <c r="P118" s="99" t="s">
        <v>79</v>
      </c>
      <c r="Q118" s="243">
        <v>6.0400000000000002E-2</v>
      </c>
      <c r="R118" s="99" t="s">
        <v>79</v>
      </c>
      <c r="S118" s="243">
        <v>6.0400000000000002E-2</v>
      </c>
      <c r="T118" s="99"/>
      <c r="U118" s="243"/>
    </row>
    <row r="119" spans="3:21" outlineLevel="1" x14ac:dyDescent="0.25">
      <c r="C119" s="23" t="s">
        <v>205</v>
      </c>
      <c r="D119" s="125" t="s">
        <v>206</v>
      </c>
      <c r="E119" s="23" t="s">
        <v>9</v>
      </c>
      <c r="F119" s="23" t="s">
        <v>204</v>
      </c>
      <c r="G119" s="23" t="s">
        <v>110</v>
      </c>
      <c r="H119" s="98" t="s">
        <v>79</v>
      </c>
      <c r="I119" s="39">
        <v>0.99914999999999998</v>
      </c>
      <c r="J119" s="98" t="s">
        <v>79</v>
      </c>
      <c r="K119" s="119">
        <v>0.99914999999999998</v>
      </c>
      <c r="L119" s="98" t="s">
        <v>79</v>
      </c>
      <c r="M119" s="39">
        <v>0.99914999999999998</v>
      </c>
      <c r="N119" s="99" t="s">
        <v>79</v>
      </c>
      <c r="O119" s="243">
        <v>1.0016499999999999</v>
      </c>
      <c r="P119" s="99" t="s">
        <v>79</v>
      </c>
      <c r="Q119" s="243">
        <v>1.0056461538461539</v>
      </c>
      <c r="R119" s="99" t="s">
        <v>79</v>
      </c>
      <c r="S119" s="243">
        <v>1.0056461538461539</v>
      </c>
      <c r="T119" s="99"/>
      <c r="U119" s="243"/>
    </row>
    <row r="120" spans="3:21" outlineLevel="1" x14ac:dyDescent="0.25">
      <c r="C120" s="23" t="s">
        <v>205</v>
      </c>
      <c r="D120" s="125" t="s">
        <v>207</v>
      </c>
      <c r="E120" s="23" t="s">
        <v>9</v>
      </c>
      <c r="F120" s="23" t="s">
        <v>204</v>
      </c>
      <c r="G120" s="23" t="s">
        <v>110</v>
      </c>
      <c r="H120" s="98" t="s">
        <v>79</v>
      </c>
      <c r="I120" s="39">
        <v>0.99780999999999997</v>
      </c>
      <c r="J120" s="98" t="s">
        <v>79</v>
      </c>
      <c r="K120" s="119">
        <v>0.99780999999999997</v>
      </c>
      <c r="L120" s="98" t="s">
        <v>79</v>
      </c>
      <c r="M120" s="39">
        <v>0.99780999999999997</v>
      </c>
      <c r="N120" s="99" t="s">
        <v>79</v>
      </c>
      <c r="O120" s="243">
        <v>0.99756</v>
      </c>
      <c r="P120" s="99" t="s">
        <v>79</v>
      </c>
      <c r="Q120" s="243">
        <v>0.99787777777777775</v>
      </c>
      <c r="R120" s="99" t="s">
        <v>79</v>
      </c>
      <c r="S120" s="243">
        <v>0.99787777777777775</v>
      </c>
      <c r="T120" s="99"/>
      <c r="U120" s="243"/>
    </row>
    <row r="121" spans="3:21" outlineLevel="1" x14ac:dyDescent="0.25">
      <c r="C121" s="23" t="s">
        <v>205</v>
      </c>
      <c r="D121" s="125" t="s">
        <v>208</v>
      </c>
      <c r="E121" s="23" t="s">
        <v>9</v>
      </c>
      <c r="F121" s="23" t="s">
        <v>204</v>
      </c>
      <c r="G121" s="23" t="s">
        <v>110</v>
      </c>
      <c r="H121" s="98" t="s">
        <v>79</v>
      </c>
      <c r="I121" s="39">
        <v>0.99831111111111126</v>
      </c>
      <c r="J121" s="98" t="s">
        <v>79</v>
      </c>
      <c r="K121" s="119">
        <v>0.99831111111111126</v>
      </c>
      <c r="L121" s="98" t="s">
        <v>79</v>
      </c>
      <c r="M121" s="39">
        <v>0.99831111111111126</v>
      </c>
      <c r="N121" s="99" t="s">
        <v>79</v>
      </c>
      <c r="O121" s="243">
        <v>0.99891111111111108</v>
      </c>
      <c r="P121" s="99" t="s">
        <v>79</v>
      </c>
      <c r="Q121" s="243">
        <v>0.99932500000000002</v>
      </c>
      <c r="R121" s="99" t="s">
        <v>79</v>
      </c>
      <c r="S121" s="243">
        <v>0.99932500000000002</v>
      </c>
      <c r="T121" s="99"/>
      <c r="U121" s="243"/>
    </row>
    <row r="122" spans="3:21" outlineLevel="1" x14ac:dyDescent="0.25">
      <c r="C122" s="23" t="s">
        <v>205</v>
      </c>
      <c r="D122" s="125" t="s">
        <v>209</v>
      </c>
      <c r="E122" s="23" t="s">
        <v>9</v>
      </c>
      <c r="F122" s="23" t="s">
        <v>204</v>
      </c>
      <c r="G122" s="23" t="s">
        <v>110</v>
      </c>
      <c r="H122" s="98" t="s">
        <v>79</v>
      </c>
      <c r="I122" s="39">
        <v>0.98904090909090892</v>
      </c>
      <c r="J122" s="98" t="s">
        <v>79</v>
      </c>
      <c r="K122" s="119">
        <v>0.98904090909090892</v>
      </c>
      <c r="L122" s="98" t="s">
        <v>79</v>
      </c>
      <c r="M122" s="39">
        <v>0.98904090909090892</v>
      </c>
      <c r="N122" s="99" t="s">
        <v>79</v>
      </c>
      <c r="O122" s="243">
        <v>0.99418636363636348</v>
      </c>
      <c r="P122" s="99" t="s">
        <v>79</v>
      </c>
      <c r="Q122" s="243">
        <v>0.99378947368421044</v>
      </c>
      <c r="R122" s="99" t="s">
        <v>79</v>
      </c>
      <c r="S122" s="243">
        <v>0.99378947368421044</v>
      </c>
      <c r="T122" s="99"/>
      <c r="U122" s="243"/>
    </row>
    <row r="123" spans="3:21" outlineLevel="1" x14ac:dyDescent="0.25">
      <c r="C123" s="23" t="s">
        <v>205</v>
      </c>
      <c r="D123" s="125" t="s">
        <v>210</v>
      </c>
      <c r="E123" s="23" t="s">
        <v>9</v>
      </c>
      <c r="F123" s="23" t="s">
        <v>204</v>
      </c>
      <c r="G123" s="23" t="s">
        <v>110</v>
      </c>
      <c r="H123" s="98" t="s">
        <v>79</v>
      </c>
      <c r="I123" s="39">
        <v>0.99633000000000005</v>
      </c>
      <c r="J123" s="98" t="s">
        <v>79</v>
      </c>
      <c r="K123" s="119">
        <v>0.99633000000000005</v>
      </c>
      <c r="L123" s="98" t="s">
        <v>79</v>
      </c>
      <c r="M123" s="39">
        <v>0.99633000000000005</v>
      </c>
      <c r="N123" s="99" t="s">
        <v>79</v>
      </c>
      <c r="O123" s="243">
        <v>0.99576000000000009</v>
      </c>
      <c r="P123" s="99" t="s">
        <v>79</v>
      </c>
      <c r="Q123" s="243">
        <v>0.99566363636363631</v>
      </c>
      <c r="R123" s="99" t="s">
        <v>79</v>
      </c>
      <c r="S123" s="243">
        <v>0.99566363636363631</v>
      </c>
      <c r="T123" s="99"/>
      <c r="U123" s="243"/>
    </row>
    <row r="124" spans="3:21" outlineLevel="1" x14ac:dyDescent="0.25">
      <c r="C124" s="23" t="s">
        <v>211</v>
      </c>
      <c r="D124" s="125" t="s">
        <v>212</v>
      </c>
      <c r="E124" s="23" t="s">
        <v>9</v>
      </c>
      <c r="F124" s="23" t="s">
        <v>204</v>
      </c>
      <c r="G124" s="23" t="s">
        <v>110</v>
      </c>
      <c r="H124" s="98" t="s">
        <v>79</v>
      </c>
      <c r="I124" s="39">
        <v>1.06795</v>
      </c>
      <c r="J124" s="98" t="s">
        <v>79</v>
      </c>
      <c r="K124" s="119">
        <v>1.06795</v>
      </c>
      <c r="L124" s="98" t="s">
        <v>79</v>
      </c>
      <c r="M124" s="39">
        <v>1.06795</v>
      </c>
      <c r="N124" s="99" t="s">
        <v>79</v>
      </c>
      <c r="O124" s="243">
        <v>1.0686</v>
      </c>
      <c r="P124" s="99" t="s">
        <v>79</v>
      </c>
      <c r="Q124" s="243">
        <v>1.0733923356752877</v>
      </c>
      <c r="R124" s="99" t="s">
        <v>79</v>
      </c>
      <c r="S124" s="243">
        <v>1.0733923356752877</v>
      </c>
      <c r="T124" s="99"/>
      <c r="U124" s="243"/>
    </row>
    <row r="125" spans="3:21" outlineLevel="1" x14ac:dyDescent="0.25">
      <c r="C125" s="23" t="s">
        <v>211</v>
      </c>
      <c r="D125" s="125" t="s">
        <v>213</v>
      </c>
      <c r="E125" s="23" t="s">
        <v>9</v>
      </c>
      <c r="F125" s="23" t="s">
        <v>204</v>
      </c>
      <c r="G125" s="23" t="s">
        <v>110</v>
      </c>
      <c r="H125" s="98" t="s">
        <v>79</v>
      </c>
      <c r="I125" s="39">
        <v>1.0508999999999999</v>
      </c>
      <c r="J125" s="98" t="s">
        <v>79</v>
      </c>
      <c r="K125" s="119">
        <v>1.0508999999999999</v>
      </c>
      <c r="L125" s="98" t="s">
        <v>79</v>
      </c>
      <c r="M125" s="39">
        <v>1.0508999999999999</v>
      </c>
      <c r="N125" s="99" t="s">
        <v>79</v>
      </c>
      <c r="O125" s="243">
        <v>1.0525</v>
      </c>
      <c r="P125" s="99" t="s">
        <v>79</v>
      </c>
      <c r="Q125" s="243">
        <v>1.05</v>
      </c>
      <c r="R125" s="99" t="s">
        <v>79</v>
      </c>
      <c r="S125" s="243">
        <v>1.05</v>
      </c>
      <c r="T125" s="99"/>
      <c r="U125" s="243"/>
    </row>
    <row r="126" spans="3:21" outlineLevel="1" x14ac:dyDescent="0.25">
      <c r="C126" s="23" t="s">
        <v>211</v>
      </c>
      <c r="D126" s="125" t="s">
        <v>214</v>
      </c>
      <c r="E126" s="23" t="s">
        <v>9</v>
      </c>
      <c r="F126" s="23" t="s">
        <v>204</v>
      </c>
      <c r="G126" s="23" t="s">
        <v>110</v>
      </c>
      <c r="H126" s="98" t="s">
        <v>79</v>
      </c>
      <c r="I126" s="39">
        <v>1.0394000000000001</v>
      </c>
      <c r="J126" s="98" t="s">
        <v>79</v>
      </c>
      <c r="K126" s="119">
        <v>1.0394000000000001</v>
      </c>
      <c r="L126" s="98" t="s">
        <v>79</v>
      </c>
      <c r="M126" s="39">
        <v>1.0394000000000001</v>
      </c>
      <c r="N126" s="99" t="s">
        <v>79</v>
      </c>
      <c r="O126" s="243">
        <v>1.0429999999999999</v>
      </c>
      <c r="P126" s="99" t="s">
        <v>79</v>
      </c>
      <c r="Q126" s="243">
        <v>1.0429999999999999</v>
      </c>
      <c r="R126" s="99" t="s">
        <v>79</v>
      </c>
      <c r="S126" s="243">
        <v>1.0429999999999999</v>
      </c>
      <c r="T126" s="99"/>
      <c r="U126" s="243"/>
    </row>
    <row r="127" spans="3:21" outlineLevel="1" x14ac:dyDescent="0.25">
      <c r="C127" s="23" t="s">
        <v>211</v>
      </c>
      <c r="D127" s="125" t="s">
        <v>215</v>
      </c>
      <c r="E127" s="23" t="s">
        <v>9</v>
      </c>
      <c r="F127" s="23" t="s">
        <v>204</v>
      </c>
      <c r="G127" s="23" t="s">
        <v>110</v>
      </c>
      <c r="H127" s="98" t="s">
        <v>79</v>
      </c>
      <c r="I127" s="39">
        <v>1.0829499999999999</v>
      </c>
      <c r="J127" s="98" t="s">
        <v>79</v>
      </c>
      <c r="K127" s="119">
        <v>1.0829499999999999</v>
      </c>
      <c r="L127" s="98" t="s">
        <v>79</v>
      </c>
      <c r="M127" s="39">
        <v>1.0829499999999999</v>
      </c>
      <c r="N127" s="99" t="s">
        <v>79</v>
      </c>
      <c r="O127" s="243">
        <v>1.0806</v>
      </c>
      <c r="P127" s="99" t="s">
        <v>79</v>
      </c>
      <c r="Q127" s="243">
        <v>1.0782239470237072</v>
      </c>
      <c r="R127" s="99" t="s">
        <v>79</v>
      </c>
      <c r="S127" s="243">
        <v>1.0782239470237072</v>
      </c>
      <c r="T127" s="99"/>
      <c r="U127" s="243"/>
    </row>
    <row r="128" spans="3:21" outlineLevel="1" x14ac:dyDescent="0.25">
      <c r="C128" s="23" t="s">
        <v>211</v>
      </c>
      <c r="D128" s="125" t="s">
        <v>216</v>
      </c>
      <c r="E128" s="23" t="s">
        <v>9</v>
      </c>
      <c r="F128" s="23" t="s">
        <v>204</v>
      </c>
      <c r="G128" s="23" t="s">
        <v>110</v>
      </c>
      <c r="H128" s="98" t="s">
        <v>79</v>
      </c>
      <c r="I128" s="39">
        <v>1.0563</v>
      </c>
      <c r="J128" s="98" t="s">
        <v>79</v>
      </c>
      <c r="K128" s="119">
        <v>1.0563</v>
      </c>
      <c r="L128" s="98" t="s">
        <v>79</v>
      </c>
      <c r="M128" s="39">
        <v>1.0563</v>
      </c>
      <c r="N128" s="99" t="s">
        <v>79</v>
      </c>
      <c r="O128" s="243">
        <v>1.0525</v>
      </c>
      <c r="P128" s="99" t="s">
        <v>79</v>
      </c>
      <c r="Q128" s="243">
        <v>1.0525</v>
      </c>
      <c r="R128" s="99" t="s">
        <v>79</v>
      </c>
      <c r="S128" s="243">
        <v>1.0525</v>
      </c>
      <c r="T128" s="99"/>
      <c r="U128" s="243"/>
    </row>
    <row r="129" spans="1:18" outlineLevel="1" x14ac:dyDescent="0.25"/>
    <row r="130" spans="1:18" x14ac:dyDescent="0.25">
      <c r="P130" s="289"/>
    </row>
    <row r="131" spans="1:18" ht="16.5" thickBot="1" x14ac:dyDescent="0.3">
      <c r="A131" s="1" t="s">
        <v>23</v>
      </c>
      <c r="B131" s="9">
        <f ca="1">MAX(B$3:B130)+0.1</f>
        <v>15.2</v>
      </c>
      <c r="C131" s="28" t="s">
        <v>562</v>
      </c>
      <c r="D131" s="28"/>
      <c r="E131" s="28"/>
      <c r="F131" s="28"/>
      <c r="G131" s="28"/>
      <c r="H131" s="28"/>
      <c r="I131" s="28"/>
      <c r="J131" s="28"/>
      <c r="K131" s="28"/>
      <c r="L131" s="28"/>
      <c r="M131" s="28"/>
      <c r="N131" s="28"/>
      <c r="O131" s="28"/>
      <c r="P131" s="28"/>
      <c r="Q131" s="28"/>
      <c r="R131" s="28"/>
    </row>
    <row r="132" spans="1:18" outlineLevel="1" x14ac:dyDescent="0.25"/>
    <row r="133" spans="1:18" ht="15.75" outlineLevel="1" x14ac:dyDescent="0.25">
      <c r="H133" s="40" t="s">
        <v>100</v>
      </c>
      <c r="I133" s="2">
        <v>2021</v>
      </c>
      <c r="J133" s="2">
        <v>2021</v>
      </c>
      <c r="K133" s="2">
        <v>2021</v>
      </c>
      <c r="L133" s="2">
        <v>2022</v>
      </c>
      <c r="M133" s="2">
        <v>2022</v>
      </c>
      <c r="N133" s="2" t="s">
        <v>817</v>
      </c>
      <c r="O133" s="2" t="s">
        <v>817</v>
      </c>
    </row>
    <row r="134" spans="1:18" ht="15.75" outlineLevel="1" x14ac:dyDescent="0.25">
      <c r="H134" s="40" t="s">
        <v>101</v>
      </c>
      <c r="I134" s="41" t="str">
        <f>"VDO "&amp;I133&amp;" - "&amp;IF(LEFT(I136,1)="F","Final",IF(LEFT(I136,1)="D","Draft",IF(LEFT(I136,2)="VD","Variation draft",IF(LEFT(I136,2)="VF","Variation final"))))</f>
        <v>VDO 2021 - Final</v>
      </c>
      <c r="J134" s="41" t="str">
        <f>"VDO "&amp;J133&amp;" - "&amp;IF(LEFT(J136,1)="F","Final",IF(LEFT(J136,1)="D","Draft",IF(LEFT(J136,2)="VD","Variation draft",IF(LEFT(J136,2)="VF","Variation final"))))</f>
        <v>VDO 2021 - Variation draft</v>
      </c>
      <c r="K134" s="41" t="str">
        <f>"VDO "&amp;K133&amp;" - "&amp;IF(LEFT(K136,1)="F","Final",IF(LEFT(K136,1)="D","Draft",IF(LEFT(K136,2)="VD","Variation draft",IF(LEFT(K136,2)="VF","Variation final"))))</f>
        <v>VDO 2021 - Variation final</v>
      </c>
      <c r="L134" s="41" t="str">
        <f t="shared" ref="L134:N134" si="0">"VDO "&amp;L133&amp;" - "&amp;IF(LEFT(L136,1)="F","Final",IF(LEFT(L136,1)="D","Draft",IF(LEFT(L136,2)="VD","Variation draft",IF(LEFT(L136,2)="VF","Variation final"))))</f>
        <v>VDO 2022 - Draft</v>
      </c>
      <c r="M134" s="41" t="str">
        <f t="shared" ref="M134:O134" si="1">"VDO "&amp;M133&amp;" - "&amp;IF(LEFT(M136,1)="F","Final",IF(LEFT(M136,1)="D","Draft",IF(LEFT(M136,2)="VD","Variation draft",IF(LEFT(M136,2)="VF","Variation final"))))</f>
        <v>VDO 2022 - Final</v>
      </c>
      <c r="N134" s="41" t="str">
        <f t="shared" si="0"/>
        <v>VDO 2022-23 - Draft</v>
      </c>
      <c r="O134" s="41" t="str">
        <f t="shared" si="1"/>
        <v>VDO 2022-23 - Final</v>
      </c>
    </row>
    <row r="135" spans="1:18" ht="15.75" outlineLevel="1" x14ac:dyDescent="0.25">
      <c r="C135" s="29" t="s">
        <v>641</v>
      </c>
    </row>
    <row r="136" spans="1:18" ht="15.75" outlineLevel="1" x14ac:dyDescent="0.25">
      <c r="C136" s="43" t="s">
        <v>217</v>
      </c>
      <c r="D136" s="43" t="s">
        <v>218</v>
      </c>
      <c r="E136" s="43" t="s">
        <v>219</v>
      </c>
      <c r="F136" s="43" t="s">
        <v>103</v>
      </c>
      <c r="G136" s="43" t="s">
        <v>91</v>
      </c>
      <c r="H136" s="43" t="s">
        <v>454</v>
      </c>
      <c r="I136" s="43" t="s">
        <v>831</v>
      </c>
      <c r="J136" s="43" t="s">
        <v>829</v>
      </c>
      <c r="K136" s="43" t="s">
        <v>827</v>
      </c>
      <c r="L136" s="43" t="s">
        <v>825</v>
      </c>
      <c r="M136" s="115" t="s">
        <v>47</v>
      </c>
      <c r="N136" s="43" t="s">
        <v>48</v>
      </c>
      <c r="O136" s="43" t="s">
        <v>49</v>
      </c>
    </row>
    <row r="137" spans="1:18" outlineLevel="1" x14ac:dyDescent="0.25">
      <c r="C137" s="23" t="s">
        <v>220</v>
      </c>
      <c r="D137" s="23" t="s">
        <v>221</v>
      </c>
      <c r="E137" s="82" t="str">
        <f>Input_Usage[[#This Row],[Profile name]]&amp;" - "&amp;Input_Usage[[#This Row],[Usage type]]</f>
        <v>Residential - small - Block 1</v>
      </c>
      <c r="F137" s="23" t="s">
        <v>222</v>
      </c>
      <c r="G137" s="23" t="s">
        <v>92</v>
      </c>
      <c r="H137" s="23" t="s">
        <v>556</v>
      </c>
      <c r="I137" s="39">
        <v>2000</v>
      </c>
      <c r="J137" s="38">
        <v>2000</v>
      </c>
      <c r="K137" s="38">
        <v>2000</v>
      </c>
      <c r="L137" s="38">
        <v>2000</v>
      </c>
      <c r="M137" s="38">
        <v>2000</v>
      </c>
      <c r="N137" s="346">
        <v>2000</v>
      </c>
      <c r="O137" s="346">
        <v>2000</v>
      </c>
    </row>
    <row r="138" spans="1:18" outlineLevel="1" x14ac:dyDescent="0.25">
      <c r="C138" s="23" t="s">
        <v>223</v>
      </c>
      <c r="D138" s="23" t="s">
        <v>221</v>
      </c>
      <c r="E138" s="82" t="str">
        <f>Input_Usage[[#This Row],[Profile name]]&amp;" - "&amp;Input_Usage[[#This Row],[Usage type]]</f>
        <v>Residential - medium - Block 1</v>
      </c>
      <c r="F138" s="23" t="s">
        <v>222</v>
      </c>
      <c r="G138" s="23" t="s">
        <v>92</v>
      </c>
      <c r="H138" s="23" t="s">
        <v>556</v>
      </c>
      <c r="I138" s="39">
        <v>4000</v>
      </c>
      <c r="J138" s="38">
        <v>4000</v>
      </c>
      <c r="K138" s="38">
        <v>4000</v>
      </c>
      <c r="L138" s="38">
        <v>4000</v>
      </c>
      <c r="M138" s="38">
        <v>4000</v>
      </c>
      <c r="N138" s="346">
        <v>4000</v>
      </c>
      <c r="O138" s="346">
        <v>4000</v>
      </c>
    </row>
    <row r="139" spans="1:18" outlineLevel="1" x14ac:dyDescent="0.25">
      <c r="C139" s="23" t="s">
        <v>224</v>
      </c>
      <c r="D139" s="23" t="s">
        <v>221</v>
      </c>
      <c r="E139" s="82" t="str">
        <f>Input_Usage[[#This Row],[Profile name]]&amp;" - "&amp;Input_Usage[[#This Row],[Usage type]]</f>
        <v>Residential - large - Block 1</v>
      </c>
      <c r="F139" s="23" t="s">
        <v>222</v>
      </c>
      <c r="G139" s="23" t="s">
        <v>92</v>
      </c>
      <c r="H139" s="23" t="s">
        <v>556</v>
      </c>
      <c r="I139" s="39">
        <v>4080</v>
      </c>
      <c r="J139" s="38">
        <v>4080</v>
      </c>
      <c r="K139" s="38">
        <v>4080</v>
      </c>
      <c r="L139" s="38">
        <v>4080</v>
      </c>
      <c r="M139" s="38">
        <v>4080</v>
      </c>
      <c r="N139" s="346">
        <v>4080</v>
      </c>
      <c r="O139" s="346">
        <v>4080</v>
      </c>
    </row>
    <row r="140" spans="1:18" outlineLevel="1" x14ac:dyDescent="0.25">
      <c r="C140" s="23" t="s">
        <v>225</v>
      </c>
      <c r="D140" s="23" t="s">
        <v>221</v>
      </c>
      <c r="E140" s="82" t="str">
        <f>Input_Usage[[#This Row],[Profile name]]&amp;" - "&amp;Input_Usage[[#This Row],[Usage type]]</f>
        <v>Small business - small - Block 1</v>
      </c>
      <c r="F140" s="23" t="s">
        <v>222</v>
      </c>
      <c r="G140" s="23" t="s">
        <v>93</v>
      </c>
      <c r="H140" s="23" t="s">
        <v>556</v>
      </c>
      <c r="I140" s="39">
        <v>4080</v>
      </c>
      <c r="J140" s="38">
        <v>4080</v>
      </c>
      <c r="K140" s="38">
        <v>4080</v>
      </c>
      <c r="L140" s="38">
        <v>4080</v>
      </c>
      <c r="M140" s="38">
        <v>4080</v>
      </c>
      <c r="N140" s="346">
        <v>4080</v>
      </c>
      <c r="O140" s="346">
        <v>4080</v>
      </c>
    </row>
    <row r="141" spans="1:18" outlineLevel="1" x14ac:dyDescent="0.25">
      <c r="C141" s="23" t="s">
        <v>226</v>
      </c>
      <c r="D141" s="23" t="s">
        <v>221</v>
      </c>
      <c r="E141" s="82" t="str">
        <f>Input_Usage[[#This Row],[Profile name]]&amp;" - "&amp;Input_Usage[[#This Row],[Usage type]]</f>
        <v>Small business - medium - Block 1</v>
      </c>
      <c r="F141" s="23" t="s">
        <v>222</v>
      </c>
      <c r="G141" s="23" t="s">
        <v>93</v>
      </c>
      <c r="H141" s="23" t="s">
        <v>556</v>
      </c>
      <c r="I141" s="39">
        <v>4080</v>
      </c>
      <c r="J141" s="38">
        <v>4080</v>
      </c>
      <c r="K141" s="38">
        <v>4080</v>
      </c>
      <c r="L141" s="38">
        <v>4080</v>
      </c>
      <c r="M141" s="38">
        <v>4080</v>
      </c>
      <c r="N141" s="346">
        <v>4080</v>
      </c>
      <c r="O141" s="346">
        <v>4080</v>
      </c>
    </row>
    <row r="142" spans="1:18" outlineLevel="1" x14ac:dyDescent="0.25">
      <c r="C142" s="23" t="s">
        <v>227</v>
      </c>
      <c r="D142" s="23" t="s">
        <v>221</v>
      </c>
      <c r="E142" s="82" t="str">
        <f>Input_Usage[[#This Row],[Profile name]]&amp;" - "&amp;Input_Usage[[#This Row],[Usage type]]</f>
        <v>Small business - large - Block 1</v>
      </c>
      <c r="F142" s="23" t="s">
        <v>222</v>
      </c>
      <c r="G142" s="23" t="s">
        <v>93</v>
      </c>
      <c r="H142" s="23" t="s">
        <v>556</v>
      </c>
      <c r="I142" s="39">
        <v>4080</v>
      </c>
      <c r="J142" s="38">
        <v>4080</v>
      </c>
      <c r="K142" s="38">
        <v>4080</v>
      </c>
      <c r="L142" s="38">
        <v>4080</v>
      </c>
      <c r="M142" s="38">
        <v>4080</v>
      </c>
      <c r="N142" s="346">
        <v>4080</v>
      </c>
      <c r="O142" s="346">
        <v>4080</v>
      </c>
    </row>
    <row r="143" spans="1:18" outlineLevel="1" x14ac:dyDescent="0.25">
      <c r="C143" s="23" t="s">
        <v>220</v>
      </c>
      <c r="D143" s="23" t="s">
        <v>228</v>
      </c>
      <c r="E143" s="82" t="str">
        <f>Input_Usage[[#This Row],[Profile name]]&amp;" - "&amp;Input_Usage[[#This Row],[Usage type]]</f>
        <v>Residential - small - Balance</v>
      </c>
      <c r="F143" s="23" t="s">
        <v>222</v>
      </c>
      <c r="G143" s="23" t="s">
        <v>92</v>
      </c>
      <c r="H143" s="23" t="s">
        <v>556</v>
      </c>
      <c r="I143" s="39">
        <v>0</v>
      </c>
      <c r="J143" s="38">
        <v>0</v>
      </c>
      <c r="K143" s="38">
        <v>0</v>
      </c>
      <c r="L143" s="38">
        <v>0</v>
      </c>
      <c r="M143" s="38">
        <v>0</v>
      </c>
      <c r="N143" s="346">
        <v>0</v>
      </c>
      <c r="O143" s="346">
        <v>0</v>
      </c>
    </row>
    <row r="144" spans="1:18" outlineLevel="1" x14ac:dyDescent="0.25">
      <c r="C144" s="23" t="s">
        <v>223</v>
      </c>
      <c r="D144" s="23" t="s">
        <v>228</v>
      </c>
      <c r="E144" s="82" t="str">
        <f>Input_Usage[[#This Row],[Profile name]]&amp;" - "&amp;Input_Usage[[#This Row],[Usage type]]</f>
        <v>Residential - medium - Balance</v>
      </c>
      <c r="F144" s="23" t="s">
        <v>222</v>
      </c>
      <c r="G144" s="23" t="s">
        <v>92</v>
      </c>
      <c r="H144" s="23" t="s">
        <v>556</v>
      </c>
      <c r="I144" s="39">
        <v>0</v>
      </c>
      <c r="J144" s="38">
        <v>0</v>
      </c>
      <c r="K144" s="38">
        <v>0</v>
      </c>
      <c r="L144" s="38">
        <v>0</v>
      </c>
      <c r="M144" s="38">
        <v>0</v>
      </c>
      <c r="N144" s="346">
        <v>0</v>
      </c>
      <c r="O144" s="346">
        <v>0</v>
      </c>
    </row>
    <row r="145" spans="3:15" outlineLevel="1" x14ac:dyDescent="0.25">
      <c r="C145" s="23" t="s">
        <v>224</v>
      </c>
      <c r="D145" s="23" t="s">
        <v>228</v>
      </c>
      <c r="E145" s="82" t="str">
        <f>Input_Usage[[#This Row],[Profile name]]&amp;" - "&amp;Input_Usage[[#This Row],[Usage type]]</f>
        <v>Residential - large - Balance</v>
      </c>
      <c r="F145" s="23" t="s">
        <v>222</v>
      </c>
      <c r="G145" s="23" t="s">
        <v>92</v>
      </c>
      <c r="H145" s="23" t="s">
        <v>556</v>
      </c>
      <c r="I145" s="39">
        <v>3920</v>
      </c>
      <c r="J145" s="38">
        <v>3920</v>
      </c>
      <c r="K145" s="38">
        <v>3920</v>
      </c>
      <c r="L145" s="38">
        <v>3920</v>
      </c>
      <c r="M145" s="38">
        <v>3920</v>
      </c>
      <c r="N145" s="346">
        <v>3920</v>
      </c>
      <c r="O145" s="346">
        <v>3920</v>
      </c>
    </row>
    <row r="146" spans="3:15" outlineLevel="1" x14ac:dyDescent="0.25">
      <c r="C146" s="23" t="s">
        <v>225</v>
      </c>
      <c r="D146" s="23" t="s">
        <v>228</v>
      </c>
      <c r="E146" s="82" t="str">
        <f>Input_Usage[[#This Row],[Profile name]]&amp;" - "&amp;Input_Usage[[#This Row],[Usage type]]</f>
        <v>Small business - small - Balance</v>
      </c>
      <c r="F146" s="23" t="s">
        <v>222</v>
      </c>
      <c r="G146" s="23" t="s">
        <v>93</v>
      </c>
      <c r="H146" s="23" t="s">
        <v>556</v>
      </c>
      <c r="I146" s="39">
        <v>7920</v>
      </c>
      <c r="J146" s="38">
        <v>7920</v>
      </c>
      <c r="K146" s="38">
        <v>7920</v>
      </c>
      <c r="L146" s="38">
        <v>7920</v>
      </c>
      <c r="M146" s="38">
        <v>7920</v>
      </c>
      <c r="N146" s="346">
        <v>7920</v>
      </c>
      <c r="O146" s="346">
        <v>7920</v>
      </c>
    </row>
    <row r="147" spans="3:15" outlineLevel="1" x14ac:dyDescent="0.25">
      <c r="C147" s="23" t="s">
        <v>226</v>
      </c>
      <c r="D147" s="23" t="s">
        <v>228</v>
      </c>
      <c r="E147" s="82" t="str">
        <f>Input_Usage[[#This Row],[Profile name]]&amp;" - "&amp;Input_Usage[[#This Row],[Usage type]]</f>
        <v>Small business - medium - Balance</v>
      </c>
      <c r="F147" s="23" t="s">
        <v>222</v>
      </c>
      <c r="G147" s="23" t="s">
        <v>93</v>
      </c>
      <c r="H147" s="23" t="s">
        <v>556</v>
      </c>
      <c r="I147" s="39">
        <v>15920</v>
      </c>
      <c r="J147" s="38">
        <v>15920</v>
      </c>
      <c r="K147" s="38">
        <v>15920</v>
      </c>
      <c r="L147" s="38">
        <v>15920</v>
      </c>
      <c r="M147" s="38">
        <v>15920</v>
      </c>
      <c r="N147" s="346">
        <v>15920</v>
      </c>
      <c r="O147" s="346">
        <v>15920</v>
      </c>
    </row>
    <row r="148" spans="3:15" outlineLevel="1" x14ac:dyDescent="0.25">
      <c r="C148" s="23" t="s">
        <v>227</v>
      </c>
      <c r="D148" s="23" t="s">
        <v>228</v>
      </c>
      <c r="E148" s="82" t="str">
        <f>Input_Usage[[#This Row],[Profile name]]&amp;" - "&amp;Input_Usage[[#This Row],[Usage type]]</f>
        <v>Small business - large - Balance</v>
      </c>
      <c r="F148" s="23" t="s">
        <v>222</v>
      </c>
      <c r="G148" s="23" t="s">
        <v>93</v>
      </c>
      <c r="H148" s="23" t="s">
        <v>556</v>
      </c>
      <c r="I148" s="39">
        <v>35920</v>
      </c>
      <c r="J148" s="38">
        <v>35920</v>
      </c>
      <c r="K148" s="38">
        <v>35920</v>
      </c>
      <c r="L148" s="38">
        <v>35920</v>
      </c>
      <c r="M148" s="38">
        <v>35920</v>
      </c>
      <c r="N148" s="346">
        <v>35920</v>
      </c>
      <c r="O148" s="346">
        <v>35920</v>
      </c>
    </row>
    <row r="149" spans="3:15" outlineLevel="1" x14ac:dyDescent="0.25">
      <c r="C149" s="23" t="s">
        <v>220</v>
      </c>
      <c r="D149" s="23" t="s">
        <v>229</v>
      </c>
      <c r="E149" s="82" t="str">
        <f>Input_Usage[[#This Row],[Profile name]]&amp;" - "&amp;Input_Usage[[#This Row],[Usage type]]</f>
        <v>Residential - small - Annual</v>
      </c>
      <c r="F149" s="23" t="s">
        <v>222</v>
      </c>
      <c r="G149" s="23" t="s">
        <v>92</v>
      </c>
      <c r="H149" s="23" t="s">
        <v>556</v>
      </c>
      <c r="I149" s="39">
        <v>2000</v>
      </c>
      <c r="J149" s="38">
        <v>2000</v>
      </c>
      <c r="K149" s="38">
        <v>2000</v>
      </c>
      <c r="L149" s="38">
        <v>2000</v>
      </c>
      <c r="M149" s="38">
        <v>2000</v>
      </c>
      <c r="N149" s="346">
        <v>2000</v>
      </c>
      <c r="O149" s="346">
        <v>2000</v>
      </c>
    </row>
    <row r="150" spans="3:15" outlineLevel="1" x14ac:dyDescent="0.25">
      <c r="C150" s="23" t="s">
        <v>223</v>
      </c>
      <c r="D150" s="23" t="s">
        <v>229</v>
      </c>
      <c r="E150" s="82" t="str">
        <f>Input_Usage[[#This Row],[Profile name]]&amp;" - "&amp;Input_Usage[[#This Row],[Usage type]]</f>
        <v>Residential - medium - Annual</v>
      </c>
      <c r="F150" s="23" t="s">
        <v>222</v>
      </c>
      <c r="G150" s="23" t="s">
        <v>92</v>
      </c>
      <c r="H150" s="23" t="s">
        <v>556</v>
      </c>
      <c r="I150" s="39">
        <v>4000</v>
      </c>
      <c r="J150" s="38">
        <v>4000</v>
      </c>
      <c r="K150" s="38">
        <v>4000</v>
      </c>
      <c r="L150" s="38">
        <v>4000</v>
      </c>
      <c r="M150" s="38">
        <v>4000</v>
      </c>
      <c r="N150" s="346">
        <v>4000</v>
      </c>
      <c r="O150" s="346">
        <v>4000</v>
      </c>
    </row>
    <row r="151" spans="3:15" outlineLevel="1" x14ac:dyDescent="0.25">
      <c r="C151" s="23" t="s">
        <v>224</v>
      </c>
      <c r="D151" s="23" t="s">
        <v>229</v>
      </c>
      <c r="E151" s="82" t="str">
        <f>Input_Usage[[#This Row],[Profile name]]&amp;" - "&amp;Input_Usage[[#This Row],[Usage type]]</f>
        <v>Residential - large - Annual</v>
      </c>
      <c r="F151" s="23" t="s">
        <v>222</v>
      </c>
      <c r="G151" s="23" t="s">
        <v>92</v>
      </c>
      <c r="H151" s="23" t="s">
        <v>556</v>
      </c>
      <c r="I151" s="39">
        <v>8000</v>
      </c>
      <c r="J151" s="38">
        <v>8000</v>
      </c>
      <c r="K151" s="38">
        <v>8000</v>
      </c>
      <c r="L151" s="38">
        <v>8000</v>
      </c>
      <c r="M151" s="38">
        <v>8000</v>
      </c>
      <c r="N151" s="346">
        <v>8000</v>
      </c>
      <c r="O151" s="346">
        <v>8000</v>
      </c>
    </row>
    <row r="152" spans="3:15" outlineLevel="1" x14ac:dyDescent="0.25">
      <c r="C152" s="23" t="s">
        <v>225</v>
      </c>
      <c r="D152" s="23" t="s">
        <v>229</v>
      </c>
      <c r="E152" s="82" t="str">
        <f>Input_Usage[[#This Row],[Profile name]]&amp;" - "&amp;Input_Usage[[#This Row],[Usage type]]</f>
        <v>Small business - small - Annual</v>
      </c>
      <c r="F152" s="23" t="s">
        <v>222</v>
      </c>
      <c r="G152" s="23" t="s">
        <v>93</v>
      </c>
      <c r="H152" s="23" t="s">
        <v>556</v>
      </c>
      <c r="I152" s="39">
        <v>12000</v>
      </c>
      <c r="J152" s="38">
        <v>12000</v>
      </c>
      <c r="K152" s="38">
        <v>12000</v>
      </c>
      <c r="L152" s="38">
        <v>12000</v>
      </c>
      <c r="M152" s="38">
        <v>12000</v>
      </c>
      <c r="N152" s="346">
        <v>12000</v>
      </c>
      <c r="O152" s="346">
        <v>12000</v>
      </c>
    </row>
    <row r="153" spans="3:15" outlineLevel="1" x14ac:dyDescent="0.25">
      <c r="C153" s="23" t="s">
        <v>226</v>
      </c>
      <c r="D153" s="23" t="s">
        <v>229</v>
      </c>
      <c r="E153" s="82" t="str">
        <f>Input_Usage[[#This Row],[Profile name]]&amp;" - "&amp;Input_Usage[[#This Row],[Usage type]]</f>
        <v>Small business - medium - Annual</v>
      </c>
      <c r="F153" s="23" t="s">
        <v>222</v>
      </c>
      <c r="G153" s="23" t="s">
        <v>93</v>
      </c>
      <c r="H153" s="23" t="s">
        <v>556</v>
      </c>
      <c r="I153" s="39">
        <v>20000</v>
      </c>
      <c r="J153" s="38">
        <v>20000</v>
      </c>
      <c r="K153" s="38">
        <v>20000</v>
      </c>
      <c r="L153" s="38">
        <v>20000</v>
      </c>
      <c r="M153" s="38">
        <v>20000</v>
      </c>
      <c r="N153" s="346">
        <v>20000</v>
      </c>
      <c r="O153" s="346">
        <v>20000</v>
      </c>
    </row>
    <row r="154" spans="3:15" outlineLevel="1" x14ac:dyDescent="0.25">
      <c r="C154" s="23" t="s">
        <v>227</v>
      </c>
      <c r="D154" s="23" t="s">
        <v>229</v>
      </c>
      <c r="E154" s="82" t="str">
        <f>Input_Usage[[#This Row],[Profile name]]&amp;" - "&amp;Input_Usage[[#This Row],[Usage type]]</f>
        <v>Small business - large - Annual</v>
      </c>
      <c r="F154" s="23" t="s">
        <v>222</v>
      </c>
      <c r="G154" s="23" t="s">
        <v>93</v>
      </c>
      <c r="H154" s="23" t="s">
        <v>556</v>
      </c>
      <c r="I154" s="39">
        <v>40000</v>
      </c>
      <c r="J154" s="38">
        <v>40000</v>
      </c>
      <c r="K154" s="38">
        <v>40000</v>
      </c>
      <c r="L154" s="38">
        <v>40000</v>
      </c>
      <c r="M154" s="38">
        <v>40000</v>
      </c>
      <c r="N154" s="346">
        <v>40000</v>
      </c>
      <c r="O154" s="346">
        <v>40000</v>
      </c>
    </row>
    <row r="155" spans="3:15" outlineLevel="1" x14ac:dyDescent="0.25">
      <c r="C155" s="59" t="s">
        <v>220</v>
      </c>
      <c r="D155" s="59" t="s">
        <v>549</v>
      </c>
      <c r="E155" s="82" t="str">
        <f>Input_Usage[[#This Row],[Profile name]]&amp;" - "&amp;Input_Usage[[#This Row],[Usage type]]</f>
        <v>Residential - small - Single rate</v>
      </c>
      <c r="F155" s="59" t="s">
        <v>222</v>
      </c>
      <c r="G155" s="59" t="s">
        <v>92</v>
      </c>
      <c r="H155" s="59" t="s">
        <v>556</v>
      </c>
      <c r="I155" s="39">
        <v>2000</v>
      </c>
      <c r="J155" s="38">
        <v>2000</v>
      </c>
      <c r="K155" s="38">
        <v>2000</v>
      </c>
      <c r="L155" s="38">
        <v>2000</v>
      </c>
      <c r="M155" s="38">
        <v>2000</v>
      </c>
      <c r="N155" s="346">
        <v>2000</v>
      </c>
      <c r="O155" s="346">
        <v>2000</v>
      </c>
    </row>
    <row r="156" spans="3:15" outlineLevel="1" x14ac:dyDescent="0.25">
      <c r="C156" s="59" t="s">
        <v>223</v>
      </c>
      <c r="D156" s="59" t="s">
        <v>549</v>
      </c>
      <c r="E156" s="82" t="str">
        <f>Input_Usage[[#This Row],[Profile name]]&amp;" - "&amp;Input_Usage[[#This Row],[Usage type]]</f>
        <v>Residential - medium - Single rate</v>
      </c>
      <c r="F156" s="59" t="s">
        <v>222</v>
      </c>
      <c r="G156" s="59" t="s">
        <v>92</v>
      </c>
      <c r="H156" s="59" t="s">
        <v>556</v>
      </c>
      <c r="I156" s="39">
        <v>4000</v>
      </c>
      <c r="J156" s="38">
        <v>4000</v>
      </c>
      <c r="K156" s="38">
        <v>4000</v>
      </c>
      <c r="L156" s="38">
        <v>4000</v>
      </c>
      <c r="M156" s="38">
        <v>4000</v>
      </c>
      <c r="N156" s="346">
        <v>4000</v>
      </c>
      <c r="O156" s="346">
        <v>4000</v>
      </c>
    </row>
    <row r="157" spans="3:15" outlineLevel="1" x14ac:dyDescent="0.25">
      <c r="C157" s="59" t="s">
        <v>224</v>
      </c>
      <c r="D157" s="59" t="s">
        <v>549</v>
      </c>
      <c r="E157" s="82" t="str">
        <f>Input_Usage[[#This Row],[Profile name]]&amp;" - "&amp;Input_Usage[[#This Row],[Usage type]]</f>
        <v>Residential - large - Single rate</v>
      </c>
      <c r="F157" s="59" t="s">
        <v>222</v>
      </c>
      <c r="G157" s="59" t="s">
        <v>92</v>
      </c>
      <c r="H157" s="59" t="s">
        <v>556</v>
      </c>
      <c r="I157" s="39">
        <v>8000</v>
      </c>
      <c r="J157" s="38">
        <v>8000</v>
      </c>
      <c r="K157" s="38">
        <v>8000</v>
      </c>
      <c r="L157" s="38">
        <v>8000</v>
      </c>
      <c r="M157" s="38">
        <v>8000</v>
      </c>
      <c r="N157" s="346">
        <v>8000</v>
      </c>
      <c r="O157" s="346">
        <v>8000</v>
      </c>
    </row>
    <row r="158" spans="3:15" outlineLevel="1" x14ac:dyDescent="0.25">
      <c r="C158" s="59" t="s">
        <v>225</v>
      </c>
      <c r="D158" s="59" t="s">
        <v>549</v>
      </c>
      <c r="E158" s="82" t="str">
        <f>Input_Usage[[#This Row],[Profile name]]&amp;" - "&amp;Input_Usage[[#This Row],[Usage type]]</f>
        <v>Small business - small - Single rate</v>
      </c>
      <c r="F158" s="59" t="s">
        <v>222</v>
      </c>
      <c r="G158" s="59" t="s">
        <v>93</v>
      </c>
      <c r="H158" s="59" t="s">
        <v>556</v>
      </c>
      <c r="I158" s="39">
        <v>12000</v>
      </c>
      <c r="J158" s="38">
        <v>12000</v>
      </c>
      <c r="K158" s="38">
        <v>12000</v>
      </c>
      <c r="L158" s="38">
        <v>12000</v>
      </c>
      <c r="M158" s="38">
        <v>12000</v>
      </c>
      <c r="N158" s="346">
        <v>12000</v>
      </c>
      <c r="O158" s="346">
        <v>12000</v>
      </c>
    </row>
    <row r="159" spans="3:15" outlineLevel="1" x14ac:dyDescent="0.25">
      <c r="C159" s="59" t="s">
        <v>226</v>
      </c>
      <c r="D159" s="59" t="s">
        <v>549</v>
      </c>
      <c r="E159" s="82" t="str">
        <f>Input_Usage[[#This Row],[Profile name]]&amp;" - "&amp;Input_Usage[[#This Row],[Usage type]]</f>
        <v>Small business - medium - Single rate</v>
      </c>
      <c r="F159" s="59" t="s">
        <v>222</v>
      </c>
      <c r="G159" s="59" t="s">
        <v>93</v>
      </c>
      <c r="H159" s="59" t="s">
        <v>556</v>
      </c>
      <c r="I159" s="39">
        <v>20000</v>
      </c>
      <c r="J159" s="38">
        <v>20000</v>
      </c>
      <c r="K159" s="38">
        <v>20000</v>
      </c>
      <c r="L159" s="38">
        <v>20000</v>
      </c>
      <c r="M159" s="38">
        <v>20000</v>
      </c>
      <c r="N159" s="346">
        <v>20000</v>
      </c>
      <c r="O159" s="346">
        <v>20000</v>
      </c>
    </row>
    <row r="160" spans="3:15" outlineLevel="1" x14ac:dyDescent="0.25">
      <c r="C160" s="59" t="s">
        <v>227</v>
      </c>
      <c r="D160" s="59" t="s">
        <v>549</v>
      </c>
      <c r="E160" s="82" t="str">
        <f>Input_Usage[[#This Row],[Profile name]]&amp;" - "&amp;Input_Usage[[#This Row],[Usage type]]</f>
        <v>Small business - large - Single rate</v>
      </c>
      <c r="F160" s="59" t="s">
        <v>222</v>
      </c>
      <c r="G160" s="59" t="s">
        <v>93</v>
      </c>
      <c r="H160" s="59" t="s">
        <v>556</v>
      </c>
      <c r="I160" s="39">
        <v>40000</v>
      </c>
      <c r="J160" s="38">
        <v>40000</v>
      </c>
      <c r="K160" s="38">
        <v>40000</v>
      </c>
      <c r="L160" s="38">
        <v>40000</v>
      </c>
      <c r="M160" s="38">
        <v>40000</v>
      </c>
      <c r="N160" s="346">
        <v>40000</v>
      </c>
      <c r="O160" s="346">
        <v>40000</v>
      </c>
    </row>
    <row r="161" spans="2:18" outlineLevel="1" x14ac:dyDescent="0.25">
      <c r="C161" s="59" t="s">
        <v>223</v>
      </c>
      <c r="D161" s="59" t="s">
        <v>287</v>
      </c>
      <c r="E161" s="82" t="str">
        <f>Input_Usage[[#This Row],[Profile name]]&amp;" - "&amp;Input_Usage[[#This Row],[Usage type]]</f>
        <v>Residential - medium - Controlled load</v>
      </c>
      <c r="F161" s="59" t="s">
        <v>222</v>
      </c>
      <c r="G161" s="59" t="s">
        <v>92</v>
      </c>
      <c r="H161" s="59" t="s">
        <v>556</v>
      </c>
      <c r="I161" s="39">
        <v>2000</v>
      </c>
      <c r="J161" s="38">
        <v>2000</v>
      </c>
      <c r="K161" s="38">
        <v>2000</v>
      </c>
      <c r="L161" s="38">
        <v>2000</v>
      </c>
      <c r="M161" s="38">
        <v>2000</v>
      </c>
      <c r="N161" s="346">
        <v>2000</v>
      </c>
      <c r="O161" s="346">
        <v>2000</v>
      </c>
    </row>
    <row r="162" spans="2:18" outlineLevel="1" x14ac:dyDescent="0.25">
      <c r="C162" s="23" t="s">
        <v>220</v>
      </c>
      <c r="D162" s="23" t="s">
        <v>230</v>
      </c>
      <c r="E162" s="82" t="str">
        <f>Input_Usage[[#This Row],[Profile name]]&amp;" - "&amp;Input_Usage[[#This Row],[Usage type]]</f>
        <v>Residential - small - Peak</v>
      </c>
      <c r="F162" s="23" t="s">
        <v>222</v>
      </c>
      <c r="G162" s="23" t="s">
        <v>92</v>
      </c>
      <c r="H162" s="23" t="s">
        <v>557</v>
      </c>
      <c r="I162" s="39" t="s">
        <v>79</v>
      </c>
      <c r="J162" s="127">
        <v>660</v>
      </c>
      <c r="K162" s="127">
        <v>660</v>
      </c>
      <c r="L162" s="127">
        <v>660</v>
      </c>
      <c r="M162" s="127">
        <v>660</v>
      </c>
      <c r="N162" s="332">
        <v>660</v>
      </c>
      <c r="O162" s="332">
        <v>660</v>
      </c>
    </row>
    <row r="163" spans="2:18" outlineLevel="1" x14ac:dyDescent="0.25">
      <c r="C163" s="23" t="s">
        <v>223</v>
      </c>
      <c r="D163" s="23" t="s">
        <v>230</v>
      </c>
      <c r="E163" s="82" t="str">
        <f>Input_Usage[[#This Row],[Profile name]]&amp;" - "&amp;Input_Usage[[#This Row],[Usage type]]</f>
        <v>Residential - medium - Peak</v>
      </c>
      <c r="F163" s="23" t="s">
        <v>222</v>
      </c>
      <c r="G163" s="23" t="s">
        <v>92</v>
      </c>
      <c r="H163" s="23" t="s">
        <v>557</v>
      </c>
      <c r="I163" s="39" t="s">
        <v>79</v>
      </c>
      <c r="J163" s="127">
        <v>1320</v>
      </c>
      <c r="K163" s="127">
        <v>1320</v>
      </c>
      <c r="L163" s="127">
        <v>1320</v>
      </c>
      <c r="M163" s="127">
        <v>1320</v>
      </c>
      <c r="N163" s="332">
        <v>1320</v>
      </c>
      <c r="O163" s="332">
        <v>1320</v>
      </c>
    </row>
    <row r="164" spans="2:18" outlineLevel="1" x14ac:dyDescent="0.25">
      <c r="C164" s="23" t="s">
        <v>224</v>
      </c>
      <c r="D164" s="23" t="s">
        <v>230</v>
      </c>
      <c r="E164" s="82" t="str">
        <f>Input_Usage[[#This Row],[Profile name]]&amp;" - "&amp;Input_Usage[[#This Row],[Usage type]]</f>
        <v>Residential - large - Peak</v>
      </c>
      <c r="F164" s="23" t="s">
        <v>222</v>
      </c>
      <c r="G164" s="23" t="s">
        <v>92</v>
      </c>
      <c r="H164" s="23" t="s">
        <v>557</v>
      </c>
      <c r="I164" s="39" t="s">
        <v>79</v>
      </c>
      <c r="J164" s="127">
        <v>2640</v>
      </c>
      <c r="K164" s="127">
        <v>2640</v>
      </c>
      <c r="L164" s="127">
        <v>2640</v>
      </c>
      <c r="M164" s="127">
        <v>2640</v>
      </c>
      <c r="N164" s="332">
        <v>2640</v>
      </c>
      <c r="O164" s="332">
        <v>2640</v>
      </c>
    </row>
    <row r="165" spans="2:18" outlineLevel="1" x14ac:dyDescent="0.25">
      <c r="C165" s="23" t="s">
        <v>225</v>
      </c>
      <c r="D165" s="23" t="s">
        <v>230</v>
      </c>
      <c r="E165" s="82" t="str">
        <f>Input_Usage[[#This Row],[Profile name]]&amp;" - "&amp;Input_Usage[[#This Row],[Usage type]]</f>
        <v>Small business - small - Peak</v>
      </c>
      <c r="F165" s="23" t="s">
        <v>222</v>
      </c>
      <c r="G165" s="23" t="s">
        <v>93</v>
      </c>
      <c r="H165" s="23" t="s">
        <v>557</v>
      </c>
      <c r="I165" s="39" t="s">
        <v>79</v>
      </c>
      <c r="J165" s="127">
        <v>5880</v>
      </c>
      <c r="K165" s="127">
        <v>5880</v>
      </c>
      <c r="L165" s="127">
        <v>5880</v>
      </c>
      <c r="M165" s="127">
        <v>5880</v>
      </c>
      <c r="N165" s="332">
        <v>5880</v>
      </c>
      <c r="O165" s="332">
        <v>5880</v>
      </c>
    </row>
    <row r="166" spans="2:18" outlineLevel="1" x14ac:dyDescent="0.25">
      <c r="C166" s="23" t="s">
        <v>226</v>
      </c>
      <c r="D166" s="23" t="s">
        <v>230</v>
      </c>
      <c r="E166" s="82" t="str">
        <f>Input_Usage[[#This Row],[Profile name]]&amp;" - "&amp;Input_Usage[[#This Row],[Usage type]]</f>
        <v>Small business - medium - Peak</v>
      </c>
      <c r="F166" s="23" t="s">
        <v>222</v>
      </c>
      <c r="G166" s="23" t="s">
        <v>93</v>
      </c>
      <c r="H166" s="23" t="s">
        <v>557</v>
      </c>
      <c r="I166" s="39" t="s">
        <v>79</v>
      </c>
      <c r="J166" s="127">
        <v>9800</v>
      </c>
      <c r="K166" s="127">
        <v>9800</v>
      </c>
      <c r="L166" s="127">
        <v>9800</v>
      </c>
      <c r="M166" s="127">
        <v>9800</v>
      </c>
      <c r="N166" s="332">
        <v>9800</v>
      </c>
      <c r="O166" s="332">
        <v>9800</v>
      </c>
    </row>
    <row r="167" spans="2:18" outlineLevel="1" x14ac:dyDescent="0.25">
      <c r="C167" s="23" t="s">
        <v>227</v>
      </c>
      <c r="D167" s="23" t="s">
        <v>230</v>
      </c>
      <c r="E167" s="82" t="str">
        <f>Input_Usage[[#This Row],[Profile name]]&amp;" - "&amp;Input_Usage[[#This Row],[Usage type]]</f>
        <v>Small business - large - Peak</v>
      </c>
      <c r="F167" s="23" t="s">
        <v>222</v>
      </c>
      <c r="G167" s="23" t="s">
        <v>93</v>
      </c>
      <c r="H167" s="23" t="s">
        <v>557</v>
      </c>
      <c r="I167" s="39" t="s">
        <v>79</v>
      </c>
      <c r="J167" s="127">
        <v>19600</v>
      </c>
      <c r="K167" s="127">
        <v>19600</v>
      </c>
      <c r="L167" s="127">
        <v>19600</v>
      </c>
      <c r="M167" s="127">
        <v>19600</v>
      </c>
      <c r="N167" s="332">
        <v>19600</v>
      </c>
      <c r="O167" s="332">
        <v>19600</v>
      </c>
    </row>
    <row r="168" spans="2:18" outlineLevel="1" x14ac:dyDescent="0.25">
      <c r="C168" s="23" t="s">
        <v>220</v>
      </c>
      <c r="D168" s="23" t="s">
        <v>609</v>
      </c>
      <c r="E168" s="82" t="str">
        <f>Input_Usage[[#This Row],[Profile name]]&amp;" - "&amp;Input_Usage[[#This Row],[Usage type]]</f>
        <v>Residential - small - Off peak</v>
      </c>
      <c r="F168" s="23" t="s">
        <v>222</v>
      </c>
      <c r="G168" s="23" t="s">
        <v>92</v>
      </c>
      <c r="H168" s="23" t="s">
        <v>557</v>
      </c>
      <c r="I168" s="39" t="s">
        <v>79</v>
      </c>
      <c r="J168" s="127">
        <v>1340</v>
      </c>
      <c r="K168" s="127">
        <v>1340</v>
      </c>
      <c r="L168" s="127">
        <v>1340</v>
      </c>
      <c r="M168" s="127">
        <v>1340</v>
      </c>
      <c r="N168" s="332">
        <v>1340</v>
      </c>
      <c r="O168" s="332">
        <v>1340</v>
      </c>
    </row>
    <row r="169" spans="2:18" outlineLevel="1" x14ac:dyDescent="0.25">
      <c r="C169" s="23" t="s">
        <v>223</v>
      </c>
      <c r="D169" s="23" t="s">
        <v>609</v>
      </c>
      <c r="E169" s="82" t="str">
        <f>Input_Usage[[#This Row],[Profile name]]&amp;" - "&amp;Input_Usage[[#This Row],[Usage type]]</f>
        <v>Residential - medium - Off peak</v>
      </c>
      <c r="F169" s="23" t="s">
        <v>222</v>
      </c>
      <c r="G169" s="23" t="s">
        <v>92</v>
      </c>
      <c r="H169" s="23" t="s">
        <v>557</v>
      </c>
      <c r="I169" s="39" t="s">
        <v>79</v>
      </c>
      <c r="J169" s="127">
        <v>2680</v>
      </c>
      <c r="K169" s="127">
        <v>2680</v>
      </c>
      <c r="L169" s="127">
        <v>2680</v>
      </c>
      <c r="M169" s="127">
        <v>2680</v>
      </c>
      <c r="N169" s="332">
        <v>2680</v>
      </c>
      <c r="O169" s="332">
        <v>2680</v>
      </c>
    </row>
    <row r="170" spans="2:18" outlineLevel="1" x14ac:dyDescent="0.25">
      <c r="C170" s="23" t="s">
        <v>224</v>
      </c>
      <c r="D170" s="23" t="s">
        <v>609</v>
      </c>
      <c r="E170" s="82" t="str">
        <f>Input_Usage[[#This Row],[Profile name]]&amp;" - "&amp;Input_Usage[[#This Row],[Usage type]]</f>
        <v>Residential - large - Off peak</v>
      </c>
      <c r="F170" s="23" t="s">
        <v>222</v>
      </c>
      <c r="G170" s="23" t="s">
        <v>92</v>
      </c>
      <c r="H170" s="23" t="s">
        <v>557</v>
      </c>
      <c r="I170" s="39" t="s">
        <v>79</v>
      </c>
      <c r="J170" s="127">
        <v>5360</v>
      </c>
      <c r="K170" s="127">
        <v>5360</v>
      </c>
      <c r="L170" s="127">
        <v>5360</v>
      </c>
      <c r="M170" s="127">
        <v>5360</v>
      </c>
      <c r="N170" s="332">
        <v>5360</v>
      </c>
      <c r="O170" s="332">
        <v>5360</v>
      </c>
    </row>
    <row r="171" spans="2:18" outlineLevel="1" x14ac:dyDescent="0.25">
      <c r="C171" s="23" t="s">
        <v>225</v>
      </c>
      <c r="D171" s="23" t="s">
        <v>609</v>
      </c>
      <c r="E171" s="82" t="str">
        <f>Input_Usage[[#This Row],[Profile name]]&amp;" - "&amp;Input_Usage[[#This Row],[Usage type]]</f>
        <v>Small business - small - Off peak</v>
      </c>
      <c r="F171" s="23" t="s">
        <v>222</v>
      </c>
      <c r="G171" s="23" t="s">
        <v>93</v>
      </c>
      <c r="H171" s="23" t="s">
        <v>557</v>
      </c>
      <c r="I171" s="39" t="s">
        <v>79</v>
      </c>
      <c r="J171" s="127">
        <v>6120</v>
      </c>
      <c r="K171" s="127">
        <v>6120</v>
      </c>
      <c r="L171" s="127">
        <v>6120</v>
      </c>
      <c r="M171" s="127">
        <v>6120</v>
      </c>
      <c r="N171" s="332">
        <v>6120</v>
      </c>
      <c r="O171" s="332">
        <v>6120</v>
      </c>
    </row>
    <row r="172" spans="2:18" outlineLevel="1" x14ac:dyDescent="0.25">
      <c r="C172" s="23" t="s">
        <v>226</v>
      </c>
      <c r="D172" s="23" t="s">
        <v>609</v>
      </c>
      <c r="E172" s="82" t="str">
        <f>Input_Usage[[#This Row],[Profile name]]&amp;" - "&amp;Input_Usage[[#This Row],[Usage type]]</f>
        <v>Small business - medium - Off peak</v>
      </c>
      <c r="F172" s="23" t="s">
        <v>222</v>
      </c>
      <c r="G172" s="23" t="s">
        <v>93</v>
      </c>
      <c r="H172" s="23" t="s">
        <v>557</v>
      </c>
      <c r="I172" s="39" t="s">
        <v>79</v>
      </c>
      <c r="J172" s="127">
        <v>10200</v>
      </c>
      <c r="K172" s="127">
        <v>10200</v>
      </c>
      <c r="L172" s="127">
        <v>10200</v>
      </c>
      <c r="M172" s="127">
        <v>10200</v>
      </c>
      <c r="N172" s="332">
        <v>10200</v>
      </c>
      <c r="O172" s="332">
        <v>10200</v>
      </c>
    </row>
    <row r="173" spans="2:18" outlineLevel="1" x14ac:dyDescent="0.25">
      <c r="C173" s="23" t="s">
        <v>227</v>
      </c>
      <c r="D173" s="23" t="s">
        <v>609</v>
      </c>
      <c r="E173" s="82" t="str">
        <f>Input_Usage[[#This Row],[Profile name]]&amp;" - "&amp;Input_Usage[[#This Row],[Usage type]]</f>
        <v>Small business - large - Off peak</v>
      </c>
      <c r="F173" s="23" t="s">
        <v>222</v>
      </c>
      <c r="G173" s="23" t="s">
        <v>93</v>
      </c>
      <c r="H173" s="23" t="s">
        <v>557</v>
      </c>
      <c r="I173" s="39" t="s">
        <v>79</v>
      </c>
      <c r="J173" s="127">
        <v>20400</v>
      </c>
      <c r="K173" s="127">
        <v>20400</v>
      </c>
      <c r="L173" s="127">
        <v>20400</v>
      </c>
      <c r="M173" s="127">
        <v>20400</v>
      </c>
      <c r="N173" s="332">
        <v>20400</v>
      </c>
      <c r="O173" s="332">
        <v>20400</v>
      </c>
    </row>
    <row r="175" spans="2:18" ht="16.5" thickBot="1" x14ac:dyDescent="0.3">
      <c r="B175" s="9">
        <f ca="1">MAX(B$3:B174)+0.1</f>
        <v>15.299999999999999</v>
      </c>
      <c r="C175" s="28" t="s">
        <v>547</v>
      </c>
      <c r="D175" s="28"/>
      <c r="E175" s="28"/>
      <c r="F175" s="28"/>
      <c r="G175" s="28"/>
      <c r="H175" s="28"/>
      <c r="I175" s="28"/>
      <c r="J175" s="28"/>
      <c r="K175" s="28"/>
      <c r="L175" s="28"/>
      <c r="M175" s="28"/>
      <c r="N175" s="28"/>
      <c r="O175" s="28"/>
      <c r="P175" s="28"/>
      <c r="Q175" s="28"/>
      <c r="R175" s="28"/>
    </row>
    <row r="177" spans="3:15" ht="15.75" outlineLevel="1" x14ac:dyDescent="0.25">
      <c r="H177" s="40" t="s">
        <v>100</v>
      </c>
      <c r="I177" s="2">
        <v>2021</v>
      </c>
      <c r="J177" s="2">
        <v>2021</v>
      </c>
      <c r="K177" s="2">
        <v>2021</v>
      </c>
      <c r="L177" s="2">
        <v>2022</v>
      </c>
      <c r="M177" s="2">
        <v>2022</v>
      </c>
      <c r="N177" s="2" t="s">
        <v>817</v>
      </c>
      <c r="O177" s="2" t="s">
        <v>817</v>
      </c>
    </row>
    <row r="178" spans="3:15" ht="15.75" outlineLevel="1" x14ac:dyDescent="0.25">
      <c r="H178" s="40" t="s">
        <v>101</v>
      </c>
      <c r="I178" s="41" t="str">
        <f t="shared" ref="I178:O178" si="2">"VDO "&amp;I177&amp;" - "&amp;IF(LEFT(I180,1)="F","Final",IF(LEFT(I180,1)="D","Draft",IF(LEFT(I180,2)="VD","Variation draft",IF(LEFT(I180,2)="VF","Variation final"))))</f>
        <v>VDO 2021 - Final</v>
      </c>
      <c r="J178" s="41" t="str">
        <f t="shared" si="2"/>
        <v>VDO 2021 - Variation draft</v>
      </c>
      <c r="K178" s="41" t="str">
        <f t="shared" si="2"/>
        <v>VDO 2021 - Variation final</v>
      </c>
      <c r="L178" s="41" t="str">
        <f t="shared" si="2"/>
        <v>VDO 2022 - Draft</v>
      </c>
      <c r="M178" s="41" t="str">
        <f t="shared" si="2"/>
        <v>VDO 2022 - Final</v>
      </c>
      <c r="N178" s="41" t="str">
        <f t="shared" si="2"/>
        <v>VDO 2022-23 - Draft</v>
      </c>
      <c r="O178" s="41" t="str">
        <f t="shared" si="2"/>
        <v>VDO 2022-23 - Final</v>
      </c>
    </row>
    <row r="179" spans="3:15" ht="15.75" outlineLevel="1" x14ac:dyDescent="0.25">
      <c r="C179" s="29" t="s">
        <v>644</v>
      </c>
    </row>
    <row r="180" spans="3:15" ht="15.75" outlineLevel="1" x14ac:dyDescent="0.25">
      <c r="C180" s="43" t="s">
        <v>45</v>
      </c>
      <c r="D180" s="43" t="s">
        <v>46</v>
      </c>
      <c r="E180" s="43" t="s">
        <v>102</v>
      </c>
      <c r="F180" s="43" t="s">
        <v>103</v>
      </c>
      <c r="G180" s="43" t="s">
        <v>91</v>
      </c>
      <c r="H180" s="43" t="s">
        <v>594</v>
      </c>
      <c r="I180" s="43" t="s">
        <v>831</v>
      </c>
      <c r="J180" s="43" t="s">
        <v>829</v>
      </c>
      <c r="K180" s="43" t="s">
        <v>827</v>
      </c>
      <c r="L180" s="43" t="s">
        <v>825</v>
      </c>
      <c r="M180" s="115" t="s">
        <v>47</v>
      </c>
      <c r="N180" s="43" t="s">
        <v>48</v>
      </c>
      <c r="O180" s="43" t="s">
        <v>49</v>
      </c>
    </row>
    <row r="181" spans="3:15" outlineLevel="1" x14ac:dyDescent="0.25">
      <c r="C181" s="59" t="s">
        <v>151</v>
      </c>
      <c r="D181" s="59" t="s">
        <v>154</v>
      </c>
      <c r="E181" s="59" t="s">
        <v>79</v>
      </c>
      <c r="F181" s="23" t="s">
        <v>222</v>
      </c>
      <c r="G181" s="23" t="s">
        <v>110</v>
      </c>
      <c r="H181" s="23" t="s">
        <v>594</v>
      </c>
      <c r="I181" s="38"/>
      <c r="J181" s="38"/>
      <c r="K181" s="38"/>
      <c r="L181" s="38">
        <v>35.75</v>
      </c>
      <c r="M181" s="38">
        <v>35.75</v>
      </c>
      <c r="N181" s="370">
        <f>Q68</f>
        <v>34.44</v>
      </c>
      <c r="O181" s="353"/>
    </row>
    <row r="182" spans="3:15" outlineLevel="1" x14ac:dyDescent="0.25">
      <c r="C182" s="59" t="s">
        <v>151</v>
      </c>
      <c r="D182" s="59" t="s">
        <v>158</v>
      </c>
      <c r="E182" s="59" t="s">
        <v>79</v>
      </c>
      <c r="F182" s="23" t="s">
        <v>204</v>
      </c>
      <c r="G182" s="23" t="s">
        <v>110</v>
      </c>
      <c r="H182" s="23" t="s">
        <v>594</v>
      </c>
      <c r="I182" s="55"/>
      <c r="J182" s="55"/>
      <c r="K182" s="55"/>
      <c r="L182" s="55">
        <v>0.18540000000000001</v>
      </c>
      <c r="M182" s="55">
        <v>0.18540000000000001</v>
      </c>
      <c r="N182" s="351">
        <v>0.18640000000000001</v>
      </c>
      <c r="O182" s="352"/>
    </row>
    <row r="183" spans="3:15" outlineLevel="1" x14ac:dyDescent="0.25">
      <c r="C183" s="59" t="s">
        <v>151</v>
      </c>
      <c r="D183" s="59" t="s">
        <v>155</v>
      </c>
      <c r="E183" s="59" t="s">
        <v>79</v>
      </c>
      <c r="F183" s="23" t="s">
        <v>222</v>
      </c>
      <c r="G183" s="23" t="s">
        <v>110</v>
      </c>
      <c r="H183" s="23" t="s">
        <v>594</v>
      </c>
      <c r="I183" s="63"/>
      <c r="J183" s="63"/>
      <c r="K183" s="63"/>
      <c r="L183" s="63">
        <v>40</v>
      </c>
      <c r="M183" s="63">
        <v>40</v>
      </c>
      <c r="N183" s="331">
        <v>40</v>
      </c>
      <c r="O183" s="352"/>
    </row>
    <row r="184" spans="3:15" outlineLevel="1" x14ac:dyDescent="0.25">
      <c r="C184" s="59" t="s">
        <v>151</v>
      </c>
      <c r="D184" s="59" t="s">
        <v>159</v>
      </c>
      <c r="E184" s="59" t="s">
        <v>79</v>
      </c>
      <c r="F184" s="23" t="s">
        <v>204</v>
      </c>
      <c r="G184" s="23" t="s">
        <v>110</v>
      </c>
      <c r="H184" s="23" t="s">
        <v>594</v>
      </c>
      <c r="I184" s="55"/>
      <c r="J184" s="55"/>
      <c r="K184" s="55"/>
      <c r="L184" s="352">
        <v>0.28799999999999998</v>
      </c>
      <c r="M184" s="352">
        <v>0.28799999999999998</v>
      </c>
      <c r="N184" s="351">
        <v>0.27260000000000001</v>
      </c>
      <c r="O184" s="352"/>
    </row>
    <row r="185" spans="3:15" outlineLevel="1" x14ac:dyDescent="0.25">
      <c r="C185" s="59" t="s">
        <v>151</v>
      </c>
      <c r="D185" s="59" t="s">
        <v>152</v>
      </c>
      <c r="E185" s="59" t="s">
        <v>79</v>
      </c>
      <c r="F185" s="23" t="s">
        <v>222</v>
      </c>
      <c r="G185" s="23" t="s">
        <v>110</v>
      </c>
      <c r="H185" s="23" t="s">
        <v>594</v>
      </c>
      <c r="I185" s="63"/>
      <c r="J185" s="63"/>
      <c r="K185" s="63"/>
      <c r="L185" s="352">
        <v>32.379354863483861</v>
      </c>
      <c r="M185" s="352">
        <v>32.379354863483861</v>
      </c>
      <c r="N185" s="331">
        <f>Q67</f>
        <v>56.939318273848677</v>
      </c>
      <c r="O185" s="352"/>
    </row>
    <row r="186" spans="3:15" outlineLevel="1" x14ac:dyDescent="0.25">
      <c r="C186" s="59" t="s">
        <v>151</v>
      </c>
      <c r="D186" s="59" t="s">
        <v>156</v>
      </c>
      <c r="E186" s="59" t="s">
        <v>79</v>
      </c>
      <c r="F186" s="23" t="s">
        <v>204</v>
      </c>
      <c r="G186" s="23" t="s">
        <v>110</v>
      </c>
      <c r="H186" s="23" t="s">
        <v>594</v>
      </c>
      <c r="I186" s="55"/>
      <c r="J186" s="55"/>
      <c r="K186" s="55"/>
      <c r="L186" s="55">
        <v>0.17255000000000001</v>
      </c>
      <c r="M186" s="55">
        <v>0.17255000000000001</v>
      </c>
      <c r="N186" s="354">
        <f>Q70</f>
        <v>0.17255000000000001</v>
      </c>
      <c r="O186" s="355"/>
    </row>
    <row r="187" spans="3:15" outlineLevel="1" x14ac:dyDescent="0.25"/>
    <row r="188" spans="3:15" outlineLevel="1" x14ac:dyDescent="0.25"/>
    <row r="189" spans="3:15" ht="15.75" outlineLevel="1" x14ac:dyDescent="0.25">
      <c r="G189" s="40" t="s">
        <v>100</v>
      </c>
      <c r="H189" s="2">
        <v>2021</v>
      </c>
      <c r="I189" s="2">
        <v>2021</v>
      </c>
      <c r="J189" s="2">
        <v>2021</v>
      </c>
      <c r="K189" s="2">
        <v>2022</v>
      </c>
      <c r="L189" s="2">
        <v>2022</v>
      </c>
      <c r="M189" s="2" t="s">
        <v>817</v>
      </c>
      <c r="N189" s="2" t="s">
        <v>817</v>
      </c>
    </row>
    <row r="190" spans="3:15" ht="15.75" outlineLevel="1" x14ac:dyDescent="0.25">
      <c r="G190" s="40" t="s">
        <v>101</v>
      </c>
      <c r="H190" s="41" t="str">
        <f t="shared" ref="H190:N190" si="3">"VDO "&amp;H189&amp;" - "&amp;IF(LEFT(H192,1)="F","Final",IF(LEFT(H192,1)="D","Draft",IF(LEFT(H192,2)="VD","Variation draft",IF(LEFT(H192,2)="VF","Variation final"))))</f>
        <v>VDO 2021 - Final</v>
      </c>
      <c r="I190" s="41" t="str">
        <f t="shared" si="3"/>
        <v>VDO 2021 - Variation draft</v>
      </c>
      <c r="J190" s="41" t="str">
        <f t="shared" si="3"/>
        <v>VDO 2021 - Variation final</v>
      </c>
      <c r="K190" s="41" t="str">
        <f t="shared" si="3"/>
        <v>VDO 2022 - Draft</v>
      </c>
      <c r="L190" s="41" t="str">
        <f t="shared" si="3"/>
        <v>VDO 2022 - Final</v>
      </c>
      <c r="M190" s="41" t="str">
        <f t="shared" si="3"/>
        <v>VDO 2022-23 - Draft</v>
      </c>
      <c r="N190" s="41" t="str">
        <f t="shared" si="3"/>
        <v>VDO 2022-23 - Final</v>
      </c>
    </row>
    <row r="191" spans="3:15" ht="15.75" outlineLevel="1" x14ac:dyDescent="0.25">
      <c r="C191" s="29" t="s">
        <v>645</v>
      </c>
    </row>
    <row r="192" spans="3:15" ht="15.75" outlineLevel="1" x14ac:dyDescent="0.25">
      <c r="C192" s="217" t="s">
        <v>45</v>
      </c>
      <c r="D192" s="43" t="s">
        <v>632</v>
      </c>
      <c r="E192" s="43" t="s">
        <v>570</v>
      </c>
      <c r="F192" s="168" t="s">
        <v>91</v>
      </c>
      <c r="G192" s="43" t="s">
        <v>103</v>
      </c>
      <c r="H192" s="43" t="s">
        <v>831</v>
      </c>
      <c r="I192" s="43" t="s">
        <v>829</v>
      </c>
      <c r="J192" s="43" t="s">
        <v>827</v>
      </c>
      <c r="K192" s="43" t="s">
        <v>825</v>
      </c>
      <c r="L192" s="115" t="s">
        <v>47</v>
      </c>
      <c r="M192" s="43" t="s">
        <v>48</v>
      </c>
      <c r="N192" s="43" t="s">
        <v>49</v>
      </c>
    </row>
    <row r="193" spans="3:14" outlineLevel="1" x14ac:dyDescent="0.25">
      <c r="C193" s="59" t="s">
        <v>121</v>
      </c>
      <c r="D193" s="23" t="s">
        <v>631</v>
      </c>
      <c r="E193" s="23" t="s">
        <v>628</v>
      </c>
      <c r="F193" s="23" t="s">
        <v>92</v>
      </c>
      <c r="G193" s="104" t="s">
        <v>633</v>
      </c>
      <c r="H193" s="63"/>
      <c r="I193" s="63"/>
      <c r="J193" s="63"/>
      <c r="K193" s="127">
        <v>1384988558.2189994</v>
      </c>
      <c r="L193" s="127">
        <v>1390862726.4569998</v>
      </c>
      <c r="M193" s="63"/>
      <c r="N193" s="63"/>
    </row>
    <row r="194" spans="3:14" outlineLevel="1" x14ac:dyDescent="0.25">
      <c r="C194" s="59" t="s">
        <v>121</v>
      </c>
      <c r="D194" s="23" t="s">
        <v>631</v>
      </c>
      <c r="E194" s="23" t="s">
        <v>628</v>
      </c>
      <c r="F194" s="23" t="s">
        <v>93</v>
      </c>
      <c r="G194" s="104" t="s">
        <v>633</v>
      </c>
      <c r="H194" s="63"/>
      <c r="I194" s="63"/>
      <c r="J194" s="63"/>
      <c r="K194" s="127">
        <v>194313986.50000009</v>
      </c>
      <c r="L194" s="127">
        <v>213022007.22900003</v>
      </c>
      <c r="M194" s="63"/>
      <c r="N194" s="63"/>
    </row>
    <row r="195" spans="3:14" outlineLevel="1" x14ac:dyDescent="0.25">
      <c r="C195" s="59" t="s">
        <v>121</v>
      </c>
      <c r="D195" s="23" t="s">
        <v>631</v>
      </c>
      <c r="E195" s="23" t="s">
        <v>629</v>
      </c>
      <c r="F195" s="23" t="s">
        <v>92</v>
      </c>
      <c r="G195" s="104" t="s">
        <v>633</v>
      </c>
      <c r="H195" s="63"/>
      <c r="I195" s="63"/>
      <c r="J195" s="63"/>
      <c r="K195" s="127">
        <v>1297933782.0659995</v>
      </c>
      <c r="L195" s="127">
        <v>1178856385.7869997</v>
      </c>
      <c r="M195" s="63"/>
      <c r="N195" s="63"/>
    </row>
    <row r="196" spans="3:14" outlineLevel="1" x14ac:dyDescent="0.25">
      <c r="C196" s="59" t="s">
        <v>121</v>
      </c>
      <c r="D196" s="23" t="s">
        <v>631</v>
      </c>
      <c r="E196" s="23" t="s">
        <v>629</v>
      </c>
      <c r="F196" s="23" t="s">
        <v>93</v>
      </c>
      <c r="G196" s="104" t="s">
        <v>633</v>
      </c>
      <c r="H196" s="63"/>
      <c r="I196" s="63"/>
      <c r="J196" s="63"/>
      <c r="K196" s="127">
        <v>158824551.69600001</v>
      </c>
      <c r="L196" s="127">
        <v>181159117.31999996</v>
      </c>
      <c r="M196" s="63"/>
      <c r="N196" s="63"/>
    </row>
    <row r="197" spans="3:14" outlineLevel="1" x14ac:dyDescent="0.25">
      <c r="C197" s="59" t="s">
        <v>121</v>
      </c>
      <c r="D197" s="23" t="s">
        <v>627</v>
      </c>
      <c r="E197" s="23" t="s">
        <v>630</v>
      </c>
      <c r="F197" s="23" t="s">
        <v>92</v>
      </c>
      <c r="G197" s="104" t="s">
        <v>633</v>
      </c>
      <c r="H197" s="63"/>
      <c r="I197" s="63"/>
      <c r="J197" s="63"/>
      <c r="K197" s="127">
        <v>2713463</v>
      </c>
      <c r="L197" s="127">
        <v>2713463</v>
      </c>
      <c r="M197" s="63"/>
      <c r="N197" s="63"/>
    </row>
    <row r="198" spans="3:14" outlineLevel="1" x14ac:dyDescent="0.25">
      <c r="C198" s="59" t="s">
        <v>121</v>
      </c>
      <c r="D198" s="23" t="s">
        <v>627</v>
      </c>
      <c r="E198" s="23" t="s">
        <v>630</v>
      </c>
      <c r="F198" s="23" t="s">
        <v>93</v>
      </c>
      <c r="G198" s="104" t="s">
        <v>633</v>
      </c>
      <c r="H198" s="63"/>
      <c r="I198" s="63"/>
      <c r="J198" s="63"/>
      <c r="K198" s="127">
        <v>293515</v>
      </c>
      <c r="L198" s="127">
        <v>293515</v>
      </c>
      <c r="M198" s="63"/>
      <c r="N198" s="63"/>
    </row>
    <row r="199" spans="3:14" ht="15" customHeight="1" outlineLevel="1" x14ac:dyDescent="0.25">
      <c r="C199" s="59" t="s">
        <v>121</v>
      </c>
      <c r="D199" s="232" t="s">
        <v>656</v>
      </c>
      <c r="E199" s="232" t="s">
        <v>79</v>
      </c>
      <c r="F199" s="23" t="s">
        <v>92</v>
      </c>
      <c r="G199" s="233" t="s">
        <v>633</v>
      </c>
      <c r="H199" s="230"/>
      <c r="I199" s="230"/>
      <c r="J199" s="230"/>
      <c r="K199" s="231">
        <v>1020</v>
      </c>
      <c r="L199" s="231">
        <v>1020</v>
      </c>
      <c r="M199" s="63"/>
      <c r="N199" s="63"/>
    </row>
    <row r="200" spans="3:14" ht="15" customHeight="1" outlineLevel="1" x14ac:dyDescent="0.25">
      <c r="C200" s="59" t="s">
        <v>121</v>
      </c>
      <c r="D200" s="232" t="s">
        <v>656</v>
      </c>
      <c r="E200" s="232" t="s">
        <v>79</v>
      </c>
      <c r="F200" s="23" t="s">
        <v>93</v>
      </c>
      <c r="G200" s="233" t="s">
        <v>633</v>
      </c>
      <c r="H200" s="230"/>
      <c r="I200" s="230"/>
      <c r="J200" s="230"/>
      <c r="K200" s="231">
        <v>1020</v>
      </c>
      <c r="L200" s="231">
        <v>1020</v>
      </c>
      <c r="M200" s="63"/>
      <c r="N200" s="63"/>
    </row>
    <row r="201" spans="3:14" ht="15" customHeight="1" outlineLevel="1" x14ac:dyDescent="0.25">
      <c r="C201" s="330" t="s">
        <v>121</v>
      </c>
      <c r="D201" s="232" t="s">
        <v>787</v>
      </c>
      <c r="E201" s="232" t="s">
        <v>788</v>
      </c>
      <c r="F201" s="232" t="s">
        <v>92</v>
      </c>
      <c r="G201" s="233" t="s">
        <v>633</v>
      </c>
      <c r="H201" s="331"/>
      <c r="I201" s="331"/>
      <c r="J201" s="331"/>
      <c r="K201" s="332">
        <v>2682922340.2849989</v>
      </c>
      <c r="L201" s="329">
        <v>2682922340.2849989</v>
      </c>
      <c r="M201" s="63"/>
      <c r="N201" s="63"/>
    </row>
    <row r="202" spans="3:14" ht="15" customHeight="1" outlineLevel="1" x14ac:dyDescent="0.25">
      <c r="C202" s="330" t="s">
        <v>121</v>
      </c>
      <c r="D202" s="232" t="s">
        <v>787</v>
      </c>
      <c r="E202" s="232" t="s">
        <v>789</v>
      </c>
      <c r="F202" s="232" t="s">
        <v>92</v>
      </c>
      <c r="G202" s="233" t="s">
        <v>633</v>
      </c>
      <c r="H202" s="331"/>
      <c r="I202" s="331"/>
      <c r="J202" s="331"/>
      <c r="K202" s="332">
        <v>5276055251.795001</v>
      </c>
      <c r="L202" s="329">
        <v>5276055251.795001</v>
      </c>
      <c r="M202" s="63"/>
      <c r="N202" s="63"/>
    </row>
    <row r="203" spans="3:14" ht="15" customHeight="1" outlineLevel="1" x14ac:dyDescent="0.25">
      <c r="C203" s="330" t="s">
        <v>121</v>
      </c>
      <c r="D203" s="232" t="s">
        <v>787</v>
      </c>
      <c r="E203" s="232" t="s">
        <v>790</v>
      </c>
      <c r="F203" s="232" t="s">
        <v>92</v>
      </c>
      <c r="G203" s="233" t="s">
        <v>633</v>
      </c>
      <c r="H203" s="331"/>
      <c r="I203" s="331"/>
      <c r="J203" s="331"/>
      <c r="K203" s="332">
        <v>11053207689.419996</v>
      </c>
      <c r="L203" s="329">
        <v>11053207689.419996</v>
      </c>
      <c r="M203" s="63"/>
      <c r="N203" s="63"/>
    </row>
    <row r="204" spans="3:14" ht="15" customHeight="1" outlineLevel="1" x14ac:dyDescent="0.25"/>
    <row r="205" spans="3:14" ht="15" customHeight="1" outlineLevel="1" x14ac:dyDescent="0.25"/>
    <row r="206" spans="3:14" ht="15.75" outlineLevel="1" x14ac:dyDescent="0.25">
      <c r="E206" s="40" t="s">
        <v>100</v>
      </c>
      <c r="F206" s="2">
        <v>2021</v>
      </c>
      <c r="G206" s="2">
        <v>2021</v>
      </c>
      <c r="H206" s="2">
        <v>2021</v>
      </c>
      <c r="I206" s="2">
        <v>2022</v>
      </c>
      <c r="J206" s="2">
        <v>2022</v>
      </c>
      <c r="K206" s="2" t="s">
        <v>817</v>
      </c>
      <c r="L206" s="2" t="s">
        <v>817</v>
      </c>
    </row>
    <row r="207" spans="3:14" ht="15.75" outlineLevel="1" x14ac:dyDescent="0.25">
      <c r="E207" s="40" t="s">
        <v>101</v>
      </c>
      <c r="F207" s="41" t="str">
        <f t="shared" ref="F207:L207" si="4">"VDO "&amp;F206&amp;" - "&amp;IF(LEFT(F209,1)="F","Final",IF(LEFT(F209,1)="D","Draft",IF(LEFT(F209,2)="VD","Variation draft",IF(LEFT(F209,2)="VF","Variation final"))))</f>
        <v>VDO 2021 - Final</v>
      </c>
      <c r="G207" s="41" t="str">
        <f t="shared" si="4"/>
        <v>VDO 2021 - Variation draft</v>
      </c>
      <c r="H207" s="41" t="str">
        <f t="shared" si="4"/>
        <v>VDO 2021 - Variation final</v>
      </c>
      <c r="I207" s="41" t="str">
        <f t="shared" si="4"/>
        <v>VDO 2022 - Draft</v>
      </c>
      <c r="J207" s="41" t="str">
        <f t="shared" si="4"/>
        <v>VDO 2022 - Final</v>
      </c>
      <c r="K207" s="41" t="str">
        <f t="shared" si="4"/>
        <v>VDO 2022-23 - Draft</v>
      </c>
      <c r="L207" s="41" t="str">
        <f t="shared" si="4"/>
        <v>VDO 2022-23 - Final</v>
      </c>
    </row>
    <row r="208" spans="3:14" ht="15.75" outlineLevel="1" x14ac:dyDescent="0.25">
      <c r="C208" s="29" t="s">
        <v>646</v>
      </c>
    </row>
    <row r="209" spans="3:12" ht="15.75" outlineLevel="1" x14ac:dyDescent="0.25">
      <c r="C209" s="43" t="s">
        <v>218</v>
      </c>
      <c r="D209" s="168" t="s">
        <v>91</v>
      </c>
      <c r="E209" s="217" t="s">
        <v>103</v>
      </c>
      <c r="F209" s="43" t="s">
        <v>831</v>
      </c>
      <c r="G209" s="43" t="s">
        <v>829</v>
      </c>
      <c r="H209" s="43" t="s">
        <v>827</v>
      </c>
      <c r="I209" s="43" t="s">
        <v>825</v>
      </c>
      <c r="J209" s="115" t="s">
        <v>47</v>
      </c>
      <c r="K209" s="43" t="s">
        <v>48</v>
      </c>
      <c r="L209" s="43" t="s">
        <v>49</v>
      </c>
    </row>
    <row r="210" spans="3:12" outlineLevel="1" x14ac:dyDescent="0.25">
      <c r="C210" s="23" t="s">
        <v>230</v>
      </c>
      <c r="D210" s="23" t="s">
        <v>92</v>
      </c>
      <c r="E210" s="104" t="s">
        <v>204</v>
      </c>
      <c r="F210" s="218" t="str" cm="1">
        <f t="array" ref="F210">IFERROR(INDEX(Input_Usage[[F-PreviousVDO_Input]:[F-CurrentVDO_Input]],MATCH(1,(Input_Usage[[Usage type]:[Usage type]]=$C210)*(Input_Usage[[Profile name]:[Profile name]]=$D210&amp;" - medium"),0),MATCH(F$209,Input_Usage[[#Headers],[F-PreviousVDO_Input]:[F-CurrentVDO_Input]],0))/
INDEX(Input_Usage[[F-PreviousVDO_Input]:[F-CurrentVDO_Input]],MATCH(1,(Input_Usage[[Usage type]:[Usage type]]="Annual")*(Input_Usage[[Profile name]:[Profile name]]=$D210&amp;" - medium"),0),MATCH(F$209,Input_Usage[[#Headers],[F-PreviousVDO_Input]:[F-CurrentVDO_Input]],0)),"-")</f>
        <v>-</v>
      </c>
      <c r="G210" s="218" cm="1">
        <f t="array" ref="G210">IFERROR(INDEX(Input_Usage[[F-PreviousVDO_Input]:[F-CurrentVDO_Input]],MATCH(1,(Input_Usage[[Usage type]:[Usage type]]=$C210)*(Input_Usage[[Profile name]:[Profile name]]=$D210&amp;" - medium"),0),MATCH(G$209,Input_Usage[[#Headers],[F-PreviousVDO_Input]:[F-CurrentVDO_Input]],0))/
INDEX(Input_Usage[[F-PreviousVDO_Input]:[F-CurrentVDO_Input]],MATCH(1,(Input_Usage[[Usage type]:[Usage type]]="Annual")*(Input_Usage[[Profile name]:[Profile name]]=$D210&amp;" - medium"),0),MATCH(G$209,Input_Usage[[#Headers],[F-PreviousVDO_Input]:[F-CurrentVDO_Input]],0)),"-")</f>
        <v>0.33</v>
      </c>
      <c r="H210" s="218" cm="1">
        <f t="array" ref="H210">IFERROR(INDEX(Input_Usage[[F-PreviousVDO_Input]:[F-CurrentVDO_Input]],MATCH(1,(Input_Usage[[Usage type]:[Usage type]]=$C210)*(Input_Usage[[Profile name]:[Profile name]]=$D210&amp;" - medium"),0),MATCH(H$209,Input_Usage[[#Headers],[F-PreviousVDO_Input]:[F-CurrentVDO_Input]],0))/
INDEX(Input_Usage[[F-PreviousVDO_Input]:[F-CurrentVDO_Input]],MATCH(1,(Input_Usage[[Usage type]:[Usage type]]="Annual")*(Input_Usage[[Profile name]:[Profile name]]=$D210&amp;" - medium"),0),MATCH(H$209,Input_Usage[[#Headers],[F-PreviousVDO_Input]:[F-CurrentVDO_Input]],0)),"-")</f>
        <v>0.33</v>
      </c>
      <c r="I210" s="218" cm="1">
        <f t="array" ref="I210">IFERROR(INDEX(Input_Usage[[F-PreviousVDO_Input]:[F-CurrentVDO_Input]],MATCH(1,(Input_Usage[[Usage type]:[Usage type]]=$C210)*(Input_Usage[[Profile name]:[Profile name]]=$D210&amp;" - medium"),0),MATCH(I$209,Input_Usage[[#Headers],[F-PreviousVDO_Input]:[F-CurrentVDO_Input]],0))/
INDEX(Input_Usage[[F-PreviousVDO_Input]:[F-CurrentVDO_Input]],MATCH(1,(Input_Usage[[Usage type]:[Usage type]]="Annual")*(Input_Usage[[Profile name]:[Profile name]]=$D210&amp;" - medium"),0),MATCH(I$209,Input_Usage[[#Headers],[F-PreviousVDO_Input]:[F-CurrentVDO_Input]],0)),"-")</f>
        <v>0.33</v>
      </c>
      <c r="J210" s="219" cm="1">
        <f t="array" ref="J210">IFERROR(INDEX(Input_Usage[[F-PreviousVDO_Input]:[F-CurrentVDO_Input]],MATCH(1,(Input_Usage[[Usage type]:[Usage type]]=$C210)*(Input_Usage[[Profile name]:[Profile name]]=$D210&amp;" - medium"),0),MATCH(J$209,Input_Usage[[#Headers],[F-PreviousVDO_Input]:[F-CurrentVDO_Input]],0))/
INDEX(Input_Usage[[F-PreviousVDO_Input]:[F-CurrentVDO_Input]],MATCH(1,(Input_Usage[[Usage type]:[Usage type]]="Annual")*(Input_Usage[[Profile name]:[Profile name]]=$D210&amp;" - medium"),0),MATCH(J$209,Input_Usage[[#Headers],[F-PreviousVDO_Input]:[F-CurrentVDO_Input]],0)),"-")</f>
        <v>0.33</v>
      </c>
      <c r="K210" s="218" t="str" cm="1">
        <f t="array" ref="K210">IFERROR(INDEX(Input_Usage[[F-PreviousVDO_Input]:[F-CurrentVDO_Input]],MATCH(1,(Input_Usage[[Usage type]:[Usage type]]=$C210)*(Input_Usage[[Profile name]:[Profile name]]=$D210&amp;" - medium"),0),MATCH(K$209,Input_Usage[[#Headers],[F-PreviousVDO_Input]:[F-CurrentVDO_Input]],0))/
INDEX(Input_Usage[[F-PreviousVDO_Input]:[F-CurrentVDO_Input]],MATCH(1,(Input_Usage[[Usage type]:[Usage type]]="Annual")*(Input_Usage[[Profile name]:[Profile name]]=$D210&amp;" - medium"),0),MATCH(K$209,Input_Usage[[#Headers],[F-PreviousVDO_Input]:[F-CurrentVDO_Input]],0)),"-")</f>
        <v>-</v>
      </c>
      <c r="L210" s="219" t="str" cm="1">
        <f t="array" ref="L210">IFERROR(INDEX(Input_Usage[[F-PreviousVDO_Input]:[F-CurrentVDO_Input]],MATCH(1,(Input_Usage[[Usage type]:[Usage type]]=$C210)*(Input_Usage[[Profile name]:[Profile name]]=$D210&amp;" - medium"),0),MATCH(L$209,Input_Usage[[#Headers],[F-PreviousVDO_Input]:[F-CurrentVDO_Input]],0))/
INDEX(Input_Usage[[F-PreviousVDO_Input]:[F-CurrentVDO_Input]],MATCH(1,(Input_Usage[[Usage type]:[Usage type]]="Annual")*(Input_Usage[[Profile name]:[Profile name]]=$D210&amp;" - medium"),0),MATCH(L$209,Input_Usage[[#Headers],[F-PreviousVDO_Input]:[F-CurrentVDO_Input]],0)),"-")</f>
        <v>-</v>
      </c>
    </row>
    <row r="211" spans="3:12" outlineLevel="1" x14ac:dyDescent="0.25">
      <c r="C211" s="23" t="s">
        <v>609</v>
      </c>
      <c r="D211" s="23" t="s">
        <v>92</v>
      </c>
      <c r="E211" s="104" t="s">
        <v>204</v>
      </c>
      <c r="F211" s="218" t="str" cm="1">
        <f t="array" ref="F211">IFERROR(INDEX(Input_Usage[[F-PreviousVDO_Input]:[F-CurrentVDO_Input]],MATCH(1,(Input_Usage[[Usage type]:[Usage type]]=$C211)*(Input_Usage[[Profile name]:[Profile name]]=$D211&amp;" - medium"),0),MATCH(F$209,Input_Usage[[#Headers],[F-PreviousVDO_Input]:[F-CurrentVDO_Input]],0))/
INDEX(Input_Usage[[F-PreviousVDO_Input]:[F-CurrentVDO_Input]],MATCH(1,(Input_Usage[[Usage type]:[Usage type]]="Annual")*(Input_Usage[[Profile name]:[Profile name]]=$D211&amp;" - medium"),0),MATCH(F$209,Input_Usage[[#Headers],[F-PreviousVDO_Input]:[F-CurrentVDO_Input]],0)),"-")</f>
        <v>-</v>
      </c>
      <c r="G211" s="218" cm="1">
        <f t="array" ref="G211">IFERROR(INDEX(Input_Usage[[F-PreviousVDO_Input]:[F-CurrentVDO_Input]],MATCH(1,(Input_Usage[[Usage type]:[Usage type]]=$C211)*(Input_Usage[[Profile name]:[Profile name]]=$D211&amp;" - medium"),0),MATCH(G$209,Input_Usage[[#Headers],[F-PreviousVDO_Input]:[F-CurrentVDO_Input]],0))/
INDEX(Input_Usage[[F-PreviousVDO_Input]:[F-CurrentVDO_Input]],MATCH(1,(Input_Usage[[Usage type]:[Usage type]]="Annual")*(Input_Usage[[Profile name]:[Profile name]]=$D211&amp;" - medium"),0),MATCH(G$209,Input_Usage[[#Headers],[F-PreviousVDO_Input]:[F-CurrentVDO_Input]],0)),"-")</f>
        <v>0.67</v>
      </c>
      <c r="H211" s="218" cm="1">
        <f t="array" ref="H211">IFERROR(INDEX(Input_Usage[[F-PreviousVDO_Input]:[F-CurrentVDO_Input]],MATCH(1,(Input_Usage[[Usage type]:[Usage type]]=$C211)*(Input_Usage[[Profile name]:[Profile name]]=$D211&amp;" - medium"),0),MATCH(H$209,Input_Usage[[#Headers],[F-PreviousVDO_Input]:[F-CurrentVDO_Input]],0))/
INDEX(Input_Usage[[F-PreviousVDO_Input]:[F-CurrentVDO_Input]],MATCH(1,(Input_Usage[[Usage type]:[Usage type]]="Annual")*(Input_Usage[[Profile name]:[Profile name]]=$D211&amp;" - medium"),0),MATCH(H$209,Input_Usage[[#Headers],[F-PreviousVDO_Input]:[F-CurrentVDO_Input]],0)),"-")</f>
        <v>0.67</v>
      </c>
      <c r="I211" s="218" cm="1">
        <f t="array" ref="I211">IFERROR(INDEX(Input_Usage[[F-PreviousVDO_Input]:[F-CurrentVDO_Input]],MATCH(1,(Input_Usage[[Usage type]:[Usage type]]=$C211)*(Input_Usage[[Profile name]:[Profile name]]=$D211&amp;" - medium"),0),MATCH(I$209,Input_Usage[[#Headers],[F-PreviousVDO_Input]:[F-CurrentVDO_Input]],0))/
INDEX(Input_Usage[[F-PreviousVDO_Input]:[F-CurrentVDO_Input]],MATCH(1,(Input_Usage[[Usage type]:[Usage type]]="Annual")*(Input_Usage[[Profile name]:[Profile name]]=$D211&amp;" - medium"),0),MATCH(I$209,Input_Usage[[#Headers],[F-PreviousVDO_Input]:[F-CurrentVDO_Input]],0)),"-")</f>
        <v>0.67</v>
      </c>
      <c r="J211" s="219" cm="1">
        <f t="array" ref="J211">IFERROR(INDEX(Input_Usage[[F-PreviousVDO_Input]:[F-CurrentVDO_Input]],MATCH(1,(Input_Usage[[Usage type]:[Usage type]]=$C211)*(Input_Usage[[Profile name]:[Profile name]]=$D211&amp;" - medium"),0),MATCH(J$209,Input_Usage[[#Headers],[F-PreviousVDO_Input]:[F-CurrentVDO_Input]],0))/
INDEX(Input_Usage[[F-PreviousVDO_Input]:[F-CurrentVDO_Input]],MATCH(1,(Input_Usage[[Usage type]:[Usage type]]="Annual")*(Input_Usage[[Profile name]:[Profile name]]=$D211&amp;" - medium"),0),MATCH(J$209,Input_Usage[[#Headers],[F-PreviousVDO_Input]:[F-CurrentVDO_Input]],0)),"-")</f>
        <v>0.67</v>
      </c>
      <c r="K211" s="218" t="str" cm="1">
        <f t="array" ref="K211">IFERROR(INDEX(Input_Usage[[F-PreviousVDO_Input]:[F-CurrentVDO_Input]],MATCH(1,(Input_Usage[[Usage type]:[Usage type]]=$C211)*(Input_Usage[[Profile name]:[Profile name]]=$D211&amp;" - medium"),0),MATCH(K$209,Input_Usage[[#Headers],[F-PreviousVDO_Input]:[F-CurrentVDO_Input]],0))/
INDEX(Input_Usage[[F-PreviousVDO_Input]:[F-CurrentVDO_Input]],MATCH(1,(Input_Usage[[Usage type]:[Usage type]]="Annual")*(Input_Usage[[Profile name]:[Profile name]]=$D211&amp;" - medium"),0),MATCH(K$209,Input_Usage[[#Headers],[F-PreviousVDO_Input]:[F-CurrentVDO_Input]],0)),"-")</f>
        <v>-</v>
      </c>
      <c r="L211" s="219" t="str" cm="1">
        <f t="array" ref="L211">IFERROR(INDEX(Input_Usage[[F-PreviousVDO_Input]:[F-CurrentVDO_Input]],MATCH(1,(Input_Usage[[Usage type]:[Usage type]]=$C211)*(Input_Usage[[Profile name]:[Profile name]]=$D211&amp;" - medium"),0),MATCH(L$209,Input_Usage[[#Headers],[F-PreviousVDO_Input]:[F-CurrentVDO_Input]],0))/
INDEX(Input_Usage[[F-PreviousVDO_Input]:[F-CurrentVDO_Input]],MATCH(1,(Input_Usage[[Usage type]:[Usage type]]="Annual")*(Input_Usage[[Profile name]:[Profile name]]=$D211&amp;" - medium"),0),MATCH(L$209,Input_Usage[[#Headers],[F-PreviousVDO_Input]:[F-CurrentVDO_Input]],0)),"-")</f>
        <v>-</v>
      </c>
    </row>
    <row r="212" spans="3:12" outlineLevel="1" x14ac:dyDescent="0.25">
      <c r="C212" s="23" t="s">
        <v>221</v>
      </c>
      <c r="D212" s="23" t="s">
        <v>92</v>
      </c>
      <c r="E212" s="104" t="s">
        <v>204</v>
      </c>
      <c r="F212" s="218" cm="1">
        <f t="array" ref="F212">IFERROR(INDEX(Input_Usage[[F-PreviousVDO_Input]:[F-CurrentVDO_Input]],MATCH(1,(Input_Usage[[Usage type]:[Usage type]]=$C212)*(Input_Usage[[Profile name]:[Profile name]]=$D212&amp;" - medium"),0),MATCH(F$209,Input_Usage[[#Headers],[F-PreviousVDO_Input]:[F-CurrentVDO_Input]],0))/
INDEX(Input_Usage[[F-PreviousVDO_Input]:[F-CurrentVDO_Input]],MATCH(1,(Input_Usage[[Usage type]:[Usage type]]="Annual")*(Input_Usage[[Profile name]:[Profile name]]=$D212&amp;" - medium"),0),MATCH(F$209,Input_Usage[[#Headers],[F-PreviousVDO_Input]:[F-CurrentVDO_Input]],0)),"-")</f>
        <v>1</v>
      </c>
      <c r="G212" s="218" cm="1">
        <f t="array" ref="G212">IFERROR(INDEX(Input_Usage[[F-PreviousVDO_Input]:[F-CurrentVDO_Input]],MATCH(1,(Input_Usage[[Usage type]:[Usage type]]=$C212)*(Input_Usage[[Profile name]:[Profile name]]=$D212&amp;" - medium"),0),MATCH(G$209,Input_Usage[[#Headers],[F-PreviousVDO_Input]:[F-CurrentVDO_Input]],0))/
INDEX(Input_Usage[[F-PreviousVDO_Input]:[F-CurrentVDO_Input]],MATCH(1,(Input_Usage[[Usage type]:[Usage type]]="Annual")*(Input_Usage[[Profile name]:[Profile name]]=$D212&amp;" - medium"),0),MATCH(G$209,Input_Usage[[#Headers],[F-PreviousVDO_Input]:[F-CurrentVDO_Input]],0)),"-")</f>
        <v>1</v>
      </c>
      <c r="H212" s="218" cm="1">
        <f t="array" ref="H212">IFERROR(INDEX(Input_Usage[[F-PreviousVDO_Input]:[F-CurrentVDO_Input]],MATCH(1,(Input_Usage[[Usage type]:[Usage type]]=$C212)*(Input_Usage[[Profile name]:[Profile name]]=$D212&amp;" - medium"),0),MATCH(H$209,Input_Usage[[#Headers],[F-PreviousVDO_Input]:[F-CurrentVDO_Input]],0))/
INDEX(Input_Usage[[F-PreviousVDO_Input]:[F-CurrentVDO_Input]],MATCH(1,(Input_Usage[[Usage type]:[Usage type]]="Annual")*(Input_Usage[[Profile name]:[Profile name]]=$D212&amp;" - medium"),0),MATCH(H$209,Input_Usage[[#Headers],[F-PreviousVDO_Input]:[F-CurrentVDO_Input]],0)),"-")</f>
        <v>1</v>
      </c>
      <c r="I212" s="218" cm="1">
        <f t="array" ref="I212">IFERROR(INDEX(Input_Usage[[F-PreviousVDO_Input]:[F-CurrentVDO_Input]],MATCH(1,(Input_Usage[[Usage type]:[Usage type]]=$C212)*(Input_Usage[[Profile name]:[Profile name]]=$D212&amp;" - medium"),0),MATCH(I$209,Input_Usage[[#Headers],[F-PreviousVDO_Input]:[F-CurrentVDO_Input]],0))/
INDEX(Input_Usage[[F-PreviousVDO_Input]:[F-CurrentVDO_Input]],MATCH(1,(Input_Usage[[Usage type]:[Usage type]]="Annual")*(Input_Usage[[Profile name]:[Profile name]]=$D212&amp;" - medium"),0),MATCH(I$209,Input_Usage[[#Headers],[F-PreviousVDO_Input]:[F-CurrentVDO_Input]],0)),"-")</f>
        <v>1</v>
      </c>
      <c r="J212" s="219" cm="1">
        <f t="array" ref="J212">IFERROR(INDEX(Input_Usage[[F-PreviousVDO_Input]:[F-CurrentVDO_Input]],MATCH(1,(Input_Usage[[Usage type]:[Usage type]]=$C212)*(Input_Usage[[Profile name]:[Profile name]]=$D212&amp;" - medium"),0),MATCH(J$209,Input_Usage[[#Headers],[F-PreviousVDO_Input]:[F-CurrentVDO_Input]],0))/
INDEX(Input_Usage[[F-PreviousVDO_Input]:[F-CurrentVDO_Input]],MATCH(1,(Input_Usage[[Usage type]:[Usage type]]="Annual")*(Input_Usage[[Profile name]:[Profile name]]=$D212&amp;" - medium"),0),MATCH(J$209,Input_Usage[[#Headers],[F-PreviousVDO_Input]:[F-CurrentVDO_Input]],0)),"-")</f>
        <v>1</v>
      </c>
      <c r="K212" s="218" t="str" cm="1">
        <f t="array" ref="K212">IFERROR(INDEX(Input_Usage[[F-PreviousVDO_Input]:[F-CurrentVDO_Input]],MATCH(1,(Input_Usage[[Usage type]:[Usage type]]=$C212)*(Input_Usage[[Profile name]:[Profile name]]=$D212&amp;" - medium"),0),MATCH(K$209,Input_Usage[[#Headers],[F-PreviousVDO_Input]:[F-CurrentVDO_Input]],0))/
INDEX(Input_Usage[[F-PreviousVDO_Input]:[F-CurrentVDO_Input]],MATCH(1,(Input_Usage[[Usage type]:[Usage type]]="Annual")*(Input_Usage[[Profile name]:[Profile name]]=$D212&amp;" - medium"),0),MATCH(K$209,Input_Usage[[#Headers],[F-PreviousVDO_Input]:[F-CurrentVDO_Input]],0)),"-")</f>
        <v>-</v>
      </c>
      <c r="L212" s="219" t="str" cm="1">
        <f t="array" ref="L212">IFERROR(INDEX(Input_Usage[[F-PreviousVDO_Input]:[F-CurrentVDO_Input]],MATCH(1,(Input_Usage[[Usage type]:[Usage type]]=$C212)*(Input_Usage[[Profile name]:[Profile name]]=$D212&amp;" - medium"),0),MATCH(L$209,Input_Usage[[#Headers],[F-PreviousVDO_Input]:[F-CurrentVDO_Input]],0))/
INDEX(Input_Usage[[F-PreviousVDO_Input]:[F-CurrentVDO_Input]],MATCH(1,(Input_Usage[[Usage type]:[Usage type]]="Annual")*(Input_Usage[[Profile name]:[Profile name]]=$D212&amp;" - medium"),0),MATCH(L$209,Input_Usage[[#Headers],[F-PreviousVDO_Input]:[F-CurrentVDO_Input]],0)),"-")</f>
        <v>-</v>
      </c>
    </row>
    <row r="213" spans="3:12" outlineLevel="1" x14ac:dyDescent="0.25">
      <c r="C213" s="23" t="s">
        <v>228</v>
      </c>
      <c r="D213" s="23" t="s">
        <v>92</v>
      </c>
      <c r="E213" s="104" t="s">
        <v>204</v>
      </c>
      <c r="F213" s="218" cm="1">
        <f t="array" ref="F213">IFERROR(INDEX(Input_Usage[[F-PreviousVDO_Input]:[F-CurrentVDO_Input]],MATCH(1,(Input_Usage[[Usage type]:[Usage type]]=$C213)*(Input_Usage[[Profile name]:[Profile name]]=$D213&amp;" - medium"),0),MATCH(F$209,Input_Usage[[#Headers],[F-PreviousVDO_Input]:[F-CurrentVDO_Input]],0))/
INDEX(Input_Usage[[F-PreviousVDO_Input]:[F-CurrentVDO_Input]],MATCH(1,(Input_Usage[[Usage type]:[Usage type]]="Annual")*(Input_Usage[[Profile name]:[Profile name]]=$D213&amp;" - medium"),0),MATCH(F$209,Input_Usage[[#Headers],[F-PreviousVDO_Input]:[F-CurrentVDO_Input]],0)),"-")</f>
        <v>0</v>
      </c>
      <c r="G213" s="218" cm="1">
        <f t="array" ref="G213">IFERROR(INDEX(Input_Usage[[F-PreviousVDO_Input]:[F-CurrentVDO_Input]],MATCH(1,(Input_Usage[[Usage type]:[Usage type]]=$C213)*(Input_Usage[[Profile name]:[Profile name]]=$D213&amp;" - medium"),0),MATCH(G$209,Input_Usage[[#Headers],[F-PreviousVDO_Input]:[F-CurrentVDO_Input]],0))/
INDEX(Input_Usage[[F-PreviousVDO_Input]:[F-CurrentVDO_Input]],MATCH(1,(Input_Usage[[Usage type]:[Usage type]]="Annual")*(Input_Usage[[Profile name]:[Profile name]]=$D213&amp;" - medium"),0),MATCH(G$209,Input_Usage[[#Headers],[F-PreviousVDO_Input]:[F-CurrentVDO_Input]],0)),"-")</f>
        <v>0</v>
      </c>
      <c r="H213" s="218" cm="1">
        <f t="array" ref="H213">IFERROR(INDEX(Input_Usage[[F-PreviousVDO_Input]:[F-CurrentVDO_Input]],MATCH(1,(Input_Usage[[Usage type]:[Usage type]]=$C213)*(Input_Usage[[Profile name]:[Profile name]]=$D213&amp;" - medium"),0),MATCH(H$209,Input_Usage[[#Headers],[F-PreviousVDO_Input]:[F-CurrentVDO_Input]],0))/
INDEX(Input_Usage[[F-PreviousVDO_Input]:[F-CurrentVDO_Input]],MATCH(1,(Input_Usage[[Usage type]:[Usage type]]="Annual")*(Input_Usage[[Profile name]:[Profile name]]=$D213&amp;" - medium"),0),MATCH(H$209,Input_Usage[[#Headers],[F-PreviousVDO_Input]:[F-CurrentVDO_Input]],0)),"-")</f>
        <v>0</v>
      </c>
      <c r="I213" s="218" cm="1">
        <f t="array" ref="I213">IFERROR(INDEX(Input_Usage[[F-PreviousVDO_Input]:[F-CurrentVDO_Input]],MATCH(1,(Input_Usage[[Usage type]:[Usage type]]=$C213)*(Input_Usage[[Profile name]:[Profile name]]=$D213&amp;" - medium"),0),MATCH(I$209,Input_Usage[[#Headers],[F-PreviousVDO_Input]:[F-CurrentVDO_Input]],0))/
INDEX(Input_Usage[[F-PreviousVDO_Input]:[F-CurrentVDO_Input]],MATCH(1,(Input_Usage[[Usage type]:[Usage type]]="Annual")*(Input_Usage[[Profile name]:[Profile name]]=$D213&amp;" - medium"),0),MATCH(I$209,Input_Usage[[#Headers],[F-PreviousVDO_Input]:[F-CurrentVDO_Input]],0)),"-")</f>
        <v>0</v>
      </c>
      <c r="J213" s="219" cm="1">
        <f t="array" ref="J213">IFERROR(INDEX(Input_Usage[[F-PreviousVDO_Input]:[F-CurrentVDO_Input]],MATCH(1,(Input_Usage[[Usage type]:[Usage type]]=$C213)*(Input_Usage[[Profile name]:[Profile name]]=$D213&amp;" - medium"),0),MATCH(J$209,Input_Usage[[#Headers],[F-PreviousVDO_Input]:[F-CurrentVDO_Input]],0))/
INDEX(Input_Usage[[F-PreviousVDO_Input]:[F-CurrentVDO_Input]],MATCH(1,(Input_Usage[[Usage type]:[Usage type]]="Annual")*(Input_Usage[[Profile name]:[Profile name]]=$D213&amp;" - medium"),0),MATCH(J$209,Input_Usage[[#Headers],[F-PreviousVDO_Input]:[F-CurrentVDO_Input]],0)),"-")</f>
        <v>0</v>
      </c>
      <c r="K213" s="218" t="str" cm="1">
        <f t="array" ref="K213">IFERROR(INDEX(Input_Usage[[F-PreviousVDO_Input]:[F-CurrentVDO_Input]],MATCH(1,(Input_Usage[[Usage type]:[Usage type]]=$C213)*(Input_Usage[[Profile name]:[Profile name]]=$D213&amp;" - medium"),0),MATCH(K$209,Input_Usage[[#Headers],[F-PreviousVDO_Input]:[F-CurrentVDO_Input]],0))/
INDEX(Input_Usage[[F-PreviousVDO_Input]:[F-CurrentVDO_Input]],MATCH(1,(Input_Usage[[Usage type]:[Usage type]]="Annual")*(Input_Usage[[Profile name]:[Profile name]]=$D213&amp;" - medium"),0),MATCH(K$209,Input_Usage[[#Headers],[F-PreviousVDO_Input]:[F-CurrentVDO_Input]],0)),"-")</f>
        <v>-</v>
      </c>
      <c r="L213" s="219" t="str" cm="1">
        <f t="array" ref="L213">IFERROR(INDEX(Input_Usage[[F-PreviousVDO_Input]:[F-CurrentVDO_Input]],MATCH(1,(Input_Usage[[Usage type]:[Usage type]]=$C213)*(Input_Usage[[Profile name]:[Profile name]]=$D213&amp;" - medium"),0),MATCH(L$209,Input_Usage[[#Headers],[F-PreviousVDO_Input]:[F-CurrentVDO_Input]],0))/
INDEX(Input_Usage[[F-PreviousVDO_Input]:[F-CurrentVDO_Input]],MATCH(1,(Input_Usage[[Usage type]:[Usage type]]="Annual")*(Input_Usage[[Profile name]:[Profile name]]=$D213&amp;" - medium"),0),MATCH(L$209,Input_Usage[[#Headers],[F-PreviousVDO_Input]:[F-CurrentVDO_Input]],0)),"-")</f>
        <v>-</v>
      </c>
    </row>
    <row r="214" spans="3:12" outlineLevel="1" x14ac:dyDescent="0.25">
      <c r="C214" s="23" t="s">
        <v>549</v>
      </c>
      <c r="D214" s="23" t="s">
        <v>92</v>
      </c>
      <c r="E214" s="104" t="s">
        <v>204</v>
      </c>
      <c r="F214" s="218" cm="1">
        <f t="array" ref="F214">IFERROR(INDEX(Input_Usage[[F-PreviousVDO_Input]:[F-CurrentVDO_Input]],MATCH(1,(Input_Usage[[Usage type]:[Usage type]]=$C214)*(Input_Usage[[Profile name]:[Profile name]]=$D214&amp;" - medium"),0),MATCH(F$209,Input_Usage[[#Headers],[F-PreviousVDO_Input]:[F-CurrentVDO_Input]],0))/
INDEX(Input_Usage[[F-PreviousVDO_Input]:[F-CurrentVDO_Input]],MATCH(1,(Input_Usage[[Usage type]:[Usage type]]="Annual")*(Input_Usage[[Profile name]:[Profile name]]=$D214&amp;" - medium"),0),MATCH(F$209,Input_Usage[[#Headers],[F-PreviousVDO_Input]:[F-CurrentVDO_Input]],0)),"-")</f>
        <v>1</v>
      </c>
      <c r="G214" s="218" cm="1">
        <f t="array" ref="G214">IFERROR(INDEX(Input_Usage[[F-PreviousVDO_Input]:[F-CurrentVDO_Input]],MATCH(1,(Input_Usage[[Usage type]:[Usage type]]=$C214)*(Input_Usage[[Profile name]:[Profile name]]=$D214&amp;" - medium"),0),MATCH(G$209,Input_Usage[[#Headers],[F-PreviousVDO_Input]:[F-CurrentVDO_Input]],0))/
INDEX(Input_Usage[[F-PreviousVDO_Input]:[F-CurrentVDO_Input]],MATCH(1,(Input_Usage[[Usage type]:[Usage type]]="Annual")*(Input_Usage[[Profile name]:[Profile name]]=$D214&amp;" - medium"),0),MATCH(G$209,Input_Usage[[#Headers],[F-PreviousVDO_Input]:[F-CurrentVDO_Input]],0)),"-")</f>
        <v>1</v>
      </c>
      <c r="H214" s="218" cm="1">
        <f t="array" ref="H214">IFERROR(INDEX(Input_Usage[[F-PreviousVDO_Input]:[F-CurrentVDO_Input]],MATCH(1,(Input_Usage[[Usage type]:[Usage type]]=$C214)*(Input_Usage[[Profile name]:[Profile name]]=$D214&amp;" - medium"),0),MATCH(H$209,Input_Usage[[#Headers],[F-PreviousVDO_Input]:[F-CurrentVDO_Input]],0))/
INDEX(Input_Usage[[F-PreviousVDO_Input]:[F-CurrentVDO_Input]],MATCH(1,(Input_Usage[[Usage type]:[Usage type]]="Annual")*(Input_Usage[[Profile name]:[Profile name]]=$D214&amp;" - medium"),0),MATCH(H$209,Input_Usage[[#Headers],[F-PreviousVDO_Input]:[F-CurrentVDO_Input]],0)),"-")</f>
        <v>1</v>
      </c>
      <c r="I214" s="218" cm="1">
        <f t="array" ref="I214">IFERROR(INDEX(Input_Usage[[F-PreviousVDO_Input]:[F-CurrentVDO_Input]],MATCH(1,(Input_Usage[[Usage type]:[Usage type]]=$C214)*(Input_Usage[[Profile name]:[Profile name]]=$D214&amp;" - medium"),0),MATCH(I$209,Input_Usage[[#Headers],[F-PreviousVDO_Input]:[F-CurrentVDO_Input]],0))/
INDEX(Input_Usage[[F-PreviousVDO_Input]:[F-CurrentVDO_Input]],MATCH(1,(Input_Usage[[Usage type]:[Usage type]]="Annual")*(Input_Usage[[Profile name]:[Profile name]]=$D214&amp;" - medium"),0),MATCH(I$209,Input_Usage[[#Headers],[F-PreviousVDO_Input]:[F-CurrentVDO_Input]],0)),"-")</f>
        <v>1</v>
      </c>
      <c r="J214" s="219" cm="1">
        <f t="array" ref="J214">IFERROR(INDEX(Input_Usage[[F-PreviousVDO_Input]:[F-CurrentVDO_Input]],MATCH(1,(Input_Usage[[Usage type]:[Usage type]]=$C214)*(Input_Usage[[Profile name]:[Profile name]]=$D214&amp;" - medium"),0),MATCH(J$209,Input_Usage[[#Headers],[F-PreviousVDO_Input]:[F-CurrentVDO_Input]],0))/
INDEX(Input_Usage[[F-PreviousVDO_Input]:[F-CurrentVDO_Input]],MATCH(1,(Input_Usage[[Usage type]:[Usage type]]="Annual")*(Input_Usage[[Profile name]:[Profile name]]=$D214&amp;" - medium"),0),MATCH(J$209,Input_Usage[[#Headers],[F-PreviousVDO_Input]:[F-CurrentVDO_Input]],0)),"-")</f>
        <v>1</v>
      </c>
      <c r="K214" s="218" t="str" cm="1">
        <f t="array" ref="K214">IFERROR(INDEX(Input_Usage[[F-PreviousVDO_Input]:[F-CurrentVDO_Input]],MATCH(1,(Input_Usage[[Usage type]:[Usage type]]=$C214)*(Input_Usage[[Profile name]:[Profile name]]=$D214&amp;" - medium"),0),MATCH(K$209,Input_Usage[[#Headers],[F-PreviousVDO_Input]:[F-CurrentVDO_Input]],0))/
INDEX(Input_Usage[[F-PreviousVDO_Input]:[F-CurrentVDO_Input]],MATCH(1,(Input_Usage[[Usage type]:[Usage type]]="Annual")*(Input_Usage[[Profile name]:[Profile name]]=$D214&amp;" - medium"),0),MATCH(K$209,Input_Usage[[#Headers],[F-PreviousVDO_Input]:[F-CurrentVDO_Input]],0)),"-")</f>
        <v>-</v>
      </c>
      <c r="L214" s="219" t="str" cm="1">
        <f t="array" ref="L214">IFERROR(INDEX(Input_Usage[[F-PreviousVDO_Input]:[F-CurrentVDO_Input]],MATCH(1,(Input_Usage[[Usage type]:[Usage type]]=$C214)*(Input_Usage[[Profile name]:[Profile name]]=$D214&amp;" - medium"),0),MATCH(L$209,Input_Usage[[#Headers],[F-PreviousVDO_Input]:[F-CurrentVDO_Input]],0))/
INDEX(Input_Usage[[F-PreviousVDO_Input]:[F-CurrentVDO_Input]],MATCH(1,(Input_Usage[[Usage type]:[Usage type]]="Annual")*(Input_Usage[[Profile name]:[Profile name]]=$D214&amp;" - medium"),0),MATCH(L$209,Input_Usage[[#Headers],[F-PreviousVDO_Input]:[F-CurrentVDO_Input]],0)),"-")</f>
        <v>-</v>
      </c>
    </row>
    <row r="215" spans="3:12" outlineLevel="1" x14ac:dyDescent="0.25">
      <c r="C215" s="23" t="s">
        <v>230</v>
      </c>
      <c r="D215" s="23" t="s">
        <v>93</v>
      </c>
      <c r="E215" s="104" t="s">
        <v>204</v>
      </c>
      <c r="F215" s="218" t="str" cm="1">
        <f t="array" ref="F215">IFERROR(INDEX(Input_Usage[[F-PreviousVDO_Input]:[F-CurrentVDO_Input]],MATCH(1,(Input_Usage[[Usage type]:[Usage type]]=$C215)*(Input_Usage[[Profile name]:[Profile name]]=$D215&amp;" - medium"),0),MATCH(F$209,Input_Usage[[#Headers],[F-PreviousVDO_Input]:[F-CurrentVDO_Input]],0))/
INDEX(Input_Usage[[F-PreviousVDO_Input]:[F-CurrentVDO_Input]],MATCH(1,(Input_Usage[[Usage type]:[Usage type]]="Annual")*(Input_Usage[[Profile name]:[Profile name]]=$D215&amp;" - medium"),0),MATCH(F$209,Input_Usage[[#Headers],[F-PreviousVDO_Input]:[F-CurrentVDO_Input]],0)),"-")</f>
        <v>-</v>
      </c>
      <c r="G215" s="218" cm="1">
        <f t="array" ref="G215">IFERROR(INDEX(Input_Usage[[F-PreviousVDO_Input]:[F-CurrentVDO_Input]],MATCH(1,(Input_Usage[[Usage type]:[Usage type]]=$C215)*(Input_Usage[[Profile name]:[Profile name]]=$D215&amp;" - medium"),0),MATCH(G$209,Input_Usage[[#Headers],[F-PreviousVDO_Input]:[F-CurrentVDO_Input]],0))/
INDEX(Input_Usage[[F-PreviousVDO_Input]:[F-CurrentVDO_Input]],MATCH(1,(Input_Usage[[Usage type]:[Usage type]]="Annual")*(Input_Usage[[Profile name]:[Profile name]]=$D215&amp;" - medium"),0),MATCH(G$209,Input_Usage[[#Headers],[F-PreviousVDO_Input]:[F-CurrentVDO_Input]],0)),"-")</f>
        <v>0.49</v>
      </c>
      <c r="H215" s="218" cm="1">
        <f t="array" ref="H215">IFERROR(INDEX(Input_Usage[[F-PreviousVDO_Input]:[F-CurrentVDO_Input]],MATCH(1,(Input_Usage[[Usage type]:[Usage type]]=$C215)*(Input_Usage[[Profile name]:[Profile name]]=$D215&amp;" - medium"),0),MATCH(H$209,Input_Usage[[#Headers],[F-PreviousVDO_Input]:[F-CurrentVDO_Input]],0))/
INDEX(Input_Usage[[F-PreviousVDO_Input]:[F-CurrentVDO_Input]],MATCH(1,(Input_Usage[[Usage type]:[Usage type]]="Annual")*(Input_Usage[[Profile name]:[Profile name]]=$D215&amp;" - medium"),0),MATCH(H$209,Input_Usage[[#Headers],[F-PreviousVDO_Input]:[F-CurrentVDO_Input]],0)),"-")</f>
        <v>0.49</v>
      </c>
      <c r="I215" s="218" cm="1">
        <f t="array" ref="I215">IFERROR(INDEX(Input_Usage[[F-PreviousVDO_Input]:[F-CurrentVDO_Input]],MATCH(1,(Input_Usage[[Usage type]:[Usage type]]=$C215)*(Input_Usage[[Profile name]:[Profile name]]=$D215&amp;" - medium"),0),MATCH(I$209,Input_Usage[[#Headers],[F-PreviousVDO_Input]:[F-CurrentVDO_Input]],0))/
INDEX(Input_Usage[[F-PreviousVDO_Input]:[F-CurrentVDO_Input]],MATCH(1,(Input_Usage[[Usage type]:[Usage type]]="Annual")*(Input_Usage[[Profile name]:[Profile name]]=$D215&amp;" - medium"),0),MATCH(I$209,Input_Usage[[#Headers],[F-PreviousVDO_Input]:[F-CurrentVDO_Input]],0)),"-")</f>
        <v>0.49</v>
      </c>
      <c r="J215" s="219" cm="1">
        <f t="array" ref="J215">IFERROR(INDEX(Input_Usage[[F-PreviousVDO_Input]:[F-CurrentVDO_Input]],MATCH(1,(Input_Usage[[Usage type]:[Usage type]]=$C215)*(Input_Usage[[Profile name]:[Profile name]]=$D215&amp;" - medium"),0),MATCH(J$209,Input_Usage[[#Headers],[F-PreviousVDO_Input]:[F-CurrentVDO_Input]],0))/
INDEX(Input_Usage[[F-PreviousVDO_Input]:[F-CurrentVDO_Input]],MATCH(1,(Input_Usage[[Usage type]:[Usage type]]="Annual")*(Input_Usage[[Profile name]:[Profile name]]=$D215&amp;" - medium"),0),MATCH(J$209,Input_Usage[[#Headers],[F-PreviousVDO_Input]:[F-CurrentVDO_Input]],0)),"-")</f>
        <v>0.49</v>
      </c>
      <c r="K215" s="218" t="str" cm="1">
        <f t="array" ref="K215">IFERROR(INDEX(Input_Usage[[F-PreviousVDO_Input]:[F-CurrentVDO_Input]],MATCH(1,(Input_Usage[[Usage type]:[Usage type]]=$C215)*(Input_Usage[[Profile name]:[Profile name]]=$D215&amp;" - medium"),0),MATCH(K$209,Input_Usage[[#Headers],[F-PreviousVDO_Input]:[F-CurrentVDO_Input]],0))/
INDEX(Input_Usage[[F-PreviousVDO_Input]:[F-CurrentVDO_Input]],MATCH(1,(Input_Usage[[Usage type]:[Usage type]]="Annual")*(Input_Usage[[Profile name]:[Profile name]]=$D215&amp;" - medium"),0),MATCH(K$209,Input_Usage[[#Headers],[F-PreviousVDO_Input]:[F-CurrentVDO_Input]],0)),"-")</f>
        <v>-</v>
      </c>
      <c r="L215" s="219" t="str" cm="1">
        <f t="array" ref="L215">IFERROR(INDEX(Input_Usage[[F-PreviousVDO_Input]:[F-CurrentVDO_Input]],MATCH(1,(Input_Usage[[Usage type]:[Usage type]]=$C215)*(Input_Usage[[Profile name]:[Profile name]]=$D215&amp;" - medium"),0),MATCH(L$209,Input_Usage[[#Headers],[F-PreviousVDO_Input]:[F-CurrentVDO_Input]],0))/
INDEX(Input_Usage[[F-PreviousVDO_Input]:[F-CurrentVDO_Input]],MATCH(1,(Input_Usage[[Usage type]:[Usage type]]="Annual")*(Input_Usage[[Profile name]:[Profile name]]=$D215&amp;" - medium"),0),MATCH(L$209,Input_Usage[[#Headers],[F-PreviousVDO_Input]:[F-CurrentVDO_Input]],0)),"-")</f>
        <v>-</v>
      </c>
    </row>
    <row r="216" spans="3:12" outlineLevel="1" x14ac:dyDescent="0.25">
      <c r="C216" s="23" t="s">
        <v>609</v>
      </c>
      <c r="D216" s="23" t="s">
        <v>93</v>
      </c>
      <c r="E216" s="104" t="s">
        <v>204</v>
      </c>
      <c r="F216" s="218" t="str" cm="1">
        <f t="array" ref="F216">IFERROR(INDEX(Input_Usage[[F-PreviousVDO_Input]:[F-CurrentVDO_Input]],MATCH(1,(Input_Usage[[Usage type]:[Usage type]]=$C216)*(Input_Usage[[Profile name]:[Profile name]]=$D216&amp;" - medium"),0),MATCH(F$209,Input_Usage[[#Headers],[F-PreviousVDO_Input]:[F-CurrentVDO_Input]],0))/
INDEX(Input_Usage[[F-PreviousVDO_Input]:[F-CurrentVDO_Input]],MATCH(1,(Input_Usage[[Usage type]:[Usage type]]="Annual")*(Input_Usage[[Profile name]:[Profile name]]=$D216&amp;" - medium"),0),MATCH(F$209,Input_Usage[[#Headers],[F-PreviousVDO_Input]:[F-CurrentVDO_Input]],0)),"-")</f>
        <v>-</v>
      </c>
      <c r="G216" s="218" cm="1">
        <f t="array" ref="G216">IFERROR(INDEX(Input_Usage[[F-PreviousVDO_Input]:[F-CurrentVDO_Input]],MATCH(1,(Input_Usage[[Usage type]:[Usage type]]=$C216)*(Input_Usage[[Profile name]:[Profile name]]=$D216&amp;" - medium"),0),MATCH(G$209,Input_Usage[[#Headers],[F-PreviousVDO_Input]:[F-CurrentVDO_Input]],0))/
INDEX(Input_Usage[[F-PreviousVDO_Input]:[F-CurrentVDO_Input]],MATCH(1,(Input_Usage[[Usage type]:[Usage type]]="Annual")*(Input_Usage[[Profile name]:[Profile name]]=$D216&amp;" - medium"),0),MATCH(G$209,Input_Usage[[#Headers],[F-PreviousVDO_Input]:[F-CurrentVDO_Input]],0)),"-")</f>
        <v>0.51</v>
      </c>
      <c r="H216" s="218" cm="1">
        <f t="array" ref="H216">IFERROR(INDEX(Input_Usage[[F-PreviousVDO_Input]:[F-CurrentVDO_Input]],MATCH(1,(Input_Usage[[Usage type]:[Usage type]]=$C216)*(Input_Usage[[Profile name]:[Profile name]]=$D216&amp;" - medium"),0),MATCH(H$209,Input_Usage[[#Headers],[F-PreviousVDO_Input]:[F-CurrentVDO_Input]],0))/
INDEX(Input_Usage[[F-PreviousVDO_Input]:[F-CurrentVDO_Input]],MATCH(1,(Input_Usage[[Usage type]:[Usage type]]="Annual")*(Input_Usage[[Profile name]:[Profile name]]=$D216&amp;" - medium"),0),MATCH(H$209,Input_Usage[[#Headers],[F-PreviousVDO_Input]:[F-CurrentVDO_Input]],0)),"-")</f>
        <v>0.51</v>
      </c>
      <c r="I216" s="218" cm="1">
        <f t="array" ref="I216">IFERROR(INDEX(Input_Usage[[F-PreviousVDO_Input]:[F-CurrentVDO_Input]],MATCH(1,(Input_Usage[[Usage type]:[Usage type]]=$C216)*(Input_Usage[[Profile name]:[Profile name]]=$D216&amp;" - medium"),0),MATCH(I$209,Input_Usage[[#Headers],[F-PreviousVDO_Input]:[F-CurrentVDO_Input]],0))/
INDEX(Input_Usage[[F-PreviousVDO_Input]:[F-CurrentVDO_Input]],MATCH(1,(Input_Usage[[Usage type]:[Usage type]]="Annual")*(Input_Usage[[Profile name]:[Profile name]]=$D216&amp;" - medium"),0),MATCH(I$209,Input_Usage[[#Headers],[F-PreviousVDO_Input]:[F-CurrentVDO_Input]],0)),"-")</f>
        <v>0.51</v>
      </c>
      <c r="J216" s="219" cm="1">
        <f t="array" ref="J216">IFERROR(INDEX(Input_Usage[[F-PreviousVDO_Input]:[F-CurrentVDO_Input]],MATCH(1,(Input_Usage[[Usage type]:[Usage type]]=$C216)*(Input_Usage[[Profile name]:[Profile name]]=$D216&amp;" - medium"),0),MATCH(J$209,Input_Usage[[#Headers],[F-PreviousVDO_Input]:[F-CurrentVDO_Input]],0))/
INDEX(Input_Usage[[F-PreviousVDO_Input]:[F-CurrentVDO_Input]],MATCH(1,(Input_Usage[[Usage type]:[Usage type]]="Annual")*(Input_Usage[[Profile name]:[Profile name]]=$D216&amp;" - medium"),0),MATCH(J$209,Input_Usage[[#Headers],[F-PreviousVDO_Input]:[F-CurrentVDO_Input]],0)),"-")</f>
        <v>0.51</v>
      </c>
      <c r="K216" s="218" t="str" cm="1">
        <f t="array" ref="K216">IFERROR(INDEX(Input_Usage[[F-PreviousVDO_Input]:[F-CurrentVDO_Input]],MATCH(1,(Input_Usage[[Usage type]:[Usage type]]=$C216)*(Input_Usage[[Profile name]:[Profile name]]=$D216&amp;" - medium"),0),MATCH(K$209,Input_Usage[[#Headers],[F-PreviousVDO_Input]:[F-CurrentVDO_Input]],0))/
INDEX(Input_Usage[[F-PreviousVDO_Input]:[F-CurrentVDO_Input]],MATCH(1,(Input_Usage[[Usage type]:[Usage type]]="Annual")*(Input_Usage[[Profile name]:[Profile name]]=$D216&amp;" - medium"),0),MATCH(K$209,Input_Usage[[#Headers],[F-PreviousVDO_Input]:[F-CurrentVDO_Input]],0)),"-")</f>
        <v>-</v>
      </c>
      <c r="L216" s="219" t="str" cm="1">
        <f t="array" ref="L216">IFERROR(INDEX(Input_Usage[[F-PreviousVDO_Input]:[F-CurrentVDO_Input]],MATCH(1,(Input_Usage[[Usage type]:[Usage type]]=$C216)*(Input_Usage[[Profile name]:[Profile name]]=$D216&amp;" - medium"),0),MATCH(L$209,Input_Usage[[#Headers],[F-PreviousVDO_Input]:[F-CurrentVDO_Input]],0))/
INDEX(Input_Usage[[F-PreviousVDO_Input]:[F-CurrentVDO_Input]],MATCH(1,(Input_Usage[[Usage type]:[Usage type]]="Annual")*(Input_Usage[[Profile name]:[Profile name]]=$D216&amp;" - medium"),0),MATCH(L$209,Input_Usage[[#Headers],[F-PreviousVDO_Input]:[F-CurrentVDO_Input]],0)),"-")</f>
        <v>-</v>
      </c>
    </row>
    <row r="217" spans="3:12" outlineLevel="1" x14ac:dyDescent="0.25">
      <c r="C217" s="23" t="s">
        <v>221</v>
      </c>
      <c r="D217" s="23" t="s">
        <v>93</v>
      </c>
      <c r="E217" s="104" t="s">
        <v>204</v>
      </c>
      <c r="F217" s="218" cm="1">
        <f t="array" ref="F217">IFERROR(INDEX(Input_Usage[[F-PreviousVDO_Input]:[F-CurrentVDO_Input]],MATCH(1,(Input_Usage[[Usage type]:[Usage type]]=$C217)*(Input_Usage[[Profile name]:[Profile name]]=$D217&amp;" - medium"),0),MATCH(F$209,Input_Usage[[#Headers],[F-PreviousVDO_Input]:[F-CurrentVDO_Input]],0))/
INDEX(Input_Usage[[F-PreviousVDO_Input]:[F-CurrentVDO_Input]],MATCH(1,(Input_Usage[[Usage type]:[Usage type]]="Annual")*(Input_Usage[[Profile name]:[Profile name]]=$D217&amp;" - medium"),0),MATCH(F$209,Input_Usage[[#Headers],[F-PreviousVDO_Input]:[F-CurrentVDO_Input]],0)),"-")</f>
        <v>0.20399999999999999</v>
      </c>
      <c r="G217" s="218" cm="1">
        <f t="array" ref="G217">IFERROR(INDEX(Input_Usage[[F-PreviousVDO_Input]:[F-CurrentVDO_Input]],MATCH(1,(Input_Usage[[Usage type]:[Usage type]]=$C217)*(Input_Usage[[Profile name]:[Profile name]]=$D217&amp;" - medium"),0),MATCH(G$209,Input_Usage[[#Headers],[F-PreviousVDO_Input]:[F-CurrentVDO_Input]],0))/
INDEX(Input_Usage[[F-PreviousVDO_Input]:[F-CurrentVDO_Input]],MATCH(1,(Input_Usage[[Usage type]:[Usage type]]="Annual")*(Input_Usage[[Profile name]:[Profile name]]=$D217&amp;" - medium"),0),MATCH(G$209,Input_Usage[[#Headers],[F-PreviousVDO_Input]:[F-CurrentVDO_Input]],0)),"-")</f>
        <v>0.20399999999999999</v>
      </c>
      <c r="H217" s="218" cm="1">
        <f t="array" ref="H217">IFERROR(INDEX(Input_Usage[[F-PreviousVDO_Input]:[F-CurrentVDO_Input]],MATCH(1,(Input_Usage[[Usage type]:[Usage type]]=$C217)*(Input_Usage[[Profile name]:[Profile name]]=$D217&amp;" - medium"),0),MATCH(H$209,Input_Usage[[#Headers],[F-PreviousVDO_Input]:[F-CurrentVDO_Input]],0))/
INDEX(Input_Usage[[F-PreviousVDO_Input]:[F-CurrentVDO_Input]],MATCH(1,(Input_Usage[[Usage type]:[Usage type]]="Annual")*(Input_Usage[[Profile name]:[Profile name]]=$D217&amp;" - medium"),0),MATCH(H$209,Input_Usage[[#Headers],[F-PreviousVDO_Input]:[F-CurrentVDO_Input]],0)),"-")</f>
        <v>0.20399999999999999</v>
      </c>
      <c r="I217" s="218" cm="1">
        <f t="array" ref="I217">IFERROR(INDEX(Input_Usage[[F-PreviousVDO_Input]:[F-CurrentVDO_Input]],MATCH(1,(Input_Usage[[Usage type]:[Usage type]]=$C217)*(Input_Usage[[Profile name]:[Profile name]]=$D217&amp;" - medium"),0),MATCH(I$209,Input_Usage[[#Headers],[F-PreviousVDO_Input]:[F-CurrentVDO_Input]],0))/
INDEX(Input_Usage[[F-PreviousVDO_Input]:[F-CurrentVDO_Input]],MATCH(1,(Input_Usage[[Usage type]:[Usage type]]="Annual")*(Input_Usage[[Profile name]:[Profile name]]=$D217&amp;" - medium"),0),MATCH(I$209,Input_Usage[[#Headers],[F-PreviousVDO_Input]:[F-CurrentVDO_Input]],0)),"-")</f>
        <v>0.20399999999999999</v>
      </c>
      <c r="J217" s="219" cm="1">
        <f t="array" ref="J217">IFERROR(INDEX(Input_Usage[[F-PreviousVDO_Input]:[F-CurrentVDO_Input]],MATCH(1,(Input_Usage[[Usage type]:[Usage type]]=$C217)*(Input_Usage[[Profile name]:[Profile name]]=$D217&amp;" - medium"),0),MATCH(J$209,Input_Usage[[#Headers],[F-PreviousVDO_Input]:[F-CurrentVDO_Input]],0))/
INDEX(Input_Usage[[F-PreviousVDO_Input]:[F-CurrentVDO_Input]],MATCH(1,(Input_Usage[[Usage type]:[Usage type]]="Annual")*(Input_Usage[[Profile name]:[Profile name]]=$D217&amp;" - medium"),0),MATCH(J$209,Input_Usage[[#Headers],[F-PreviousVDO_Input]:[F-CurrentVDO_Input]],0)),"-")</f>
        <v>0.20399999999999999</v>
      </c>
      <c r="K217" s="218" t="str" cm="1">
        <f t="array" ref="K217">IFERROR(INDEX(Input_Usage[[F-PreviousVDO_Input]:[F-CurrentVDO_Input]],MATCH(1,(Input_Usage[[Usage type]:[Usage type]]=$C217)*(Input_Usage[[Profile name]:[Profile name]]=$D217&amp;" - medium"),0),MATCH(K$209,Input_Usage[[#Headers],[F-PreviousVDO_Input]:[F-CurrentVDO_Input]],0))/
INDEX(Input_Usage[[F-PreviousVDO_Input]:[F-CurrentVDO_Input]],MATCH(1,(Input_Usage[[Usage type]:[Usage type]]="Annual")*(Input_Usage[[Profile name]:[Profile name]]=$D217&amp;" - medium"),0),MATCH(K$209,Input_Usage[[#Headers],[F-PreviousVDO_Input]:[F-CurrentVDO_Input]],0)),"-")</f>
        <v>-</v>
      </c>
      <c r="L217" s="219" t="str" cm="1">
        <f t="array" ref="L217">IFERROR(INDEX(Input_Usage[[F-PreviousVDO_Input]:[F-CurrentVDO_Input]],MATCH(1,(Input_Usage[[Usage type]:[Usage type]]=$C217)*(Input_Usage[[Profile name]:[Profile name]]=$D217&amp;" - medium"),0),MATCH(L$209,Input_Usage[[#Headers],[F-PreviousVDO_Input]:[F-CurrentVDO_Input]],0))/
INDEX(Input_Usage[[F-PreviousVDO_Input]:[F-CurrentVDO_Input]],MATCH(1,(Input_Usage[[Usage type]:[Usage type]]="Annual")*(Input_Usage[[Profile name]:[Profile name]]=$D217&amp;" - medium"),0),MATCH(L$209,Input_Usage[[#Headers],[F-PreviousVDO_Input]:[F-CurrentVDO_Input]],0)),"-")</f>
        <v>-</v>
      </c>
    </row>
    <row r="218" spans="3:12" outlineLevel="1" x14ac:dyDescent="0.25">
      <c r="C218" s="23" t="s">
        <v>228</v>
      </c>
      <c r="D218" s="23" t="s">
        <v>93</v>
      </c>
      <c r="E218" s="104" t="s">
        <v>204</v>
      </c>
      <c r="F218" s="218" cm="1">
        <f t="array" ref="F218">IFERROR(INDEX(Input_Usage[[F-PreviousVDO_Input]:[F-CurrentVDO_Input]],MATCH(1,(Input_Usage[[Usage type]:[Usage type]]=$C218)*(Input_Usage[[Profile name]:[Profile name]]=$D218&amp;" - medium"),0),MATCH(F$209,Input_Usage[[#Headers],[F-PreviousVDO_Input]:[F-CurrentVDO_Input]],0))/
INDEX(Input_Usage[[F-PreviousVDO_Input]:[F-CurrentVDO_Input]],MATCH(1,(Input_Usage[[Usage type]:[Usage type]]="Annual")*(Input_Usage[[Profile name]:[Profile name]]=$D218&amp;" - medium"),0),MATCH(F$209,Input_Usage[[#Headers],[F-PreviousVDO_Input]:[F-CurrentVDO_Input]],0)),"-")</f>
        <v>0.79600000000000004</v>
      </c>
      <c r="G218" s="218" cm="1">
        <f t="array" ref="G218">IFERROR(INDEX(Input_Usage[[F-PreviousVDO_Input]:[F-CurrentVDO_Input]],MATCH(1,(Input_Usage[[Usage type]:[Usage type]]=$C218)*(Input_Usage[[Profile name]:[Profile name]]=$D218&amp;" - medium"),0),MATCH(G$209,Input_Usage[[#Headers],[F-PreviousVDO_Input]:[F-CurrentVDO_Input]],0))/
INDEX(Input_Usage[[F-PreviousVDO_Input]:[F-CurrentVDO_Input]],MATCH(1,(Input_Usage[[Usage type]:[Usage type]]="Annual")*(Input_Usage[[Profile name]:[Profile name]]=$D218&amp;" - medium"),0),MATCH(G$209,Input_Usage[[#Headers],[F-PreviousVDO_Input]:[F-CurrentVDO_Input]],0)),"-")</f>
        <v>0.79600000000000004</v>
      </c>
      <c r="H218" s="218" cm="1">
        <f t="array" ref="H218">IFERROR(INDEX(Input_Usage[[F-PreviousVDO_Input]:[F-CurrentVDO_Input]],MATCH(1,(Input_Usage[[Usage type]:[Usage type]]=$C218)*(Input_Usage[[Profile name]:[Profile name]]=$D218&amp;" - medium"),0),MATCH(H$209,Input_Usage[[#Headers],[F-PreviousVDO_Input]:[F-CurrentVDO_Input]],0))/
INDEX(Input_Usage[[F-PreviousVDO_Input]:[F-CurrentVDO_Input]],MATCH(1,(Input_Usage[[Usage type]:[Usage type]]="Annual")*(Input_Usage[[Profile name]:[Profile name]]=$D218&amp;" - medium"),0),MATCH(H$209,Input_Usage[[#Headers],[F-PreviousVDO_Input]:[F-CurrentVDO_Input]],0)),"-")</f>
        <v>0.79600000000000004</v>
      </c>
      <c r="I218" s="218" cm="1">
        <f t="array" ref="I218">IFERROR(INDEX(Input_Usage[[F-PreviousVDO_Input]:[F-CurrentVDO_Input]],MATCH(1,(Input_Usage[[Usage type]:[Usage type]]=$C218)*(Input_Usage[[Profile name]:[Profile name]]=$D218&amp;" - medium"),0),MATCH(I$209,Input_Usage[[#Headers],[F-PreviousVDO_Input]:[F-CurrentVDO_Input]],0))/
INDEX(Input_Usage[[F-PreviousVDO_Input]:[F-CurrentVDO_Input]],MATCH(1,(Input_Usage[[Usage type]:[Usage type]]="Annual")*(Input_Usage[[Profile name]:[Profile name]]=$D218&amp;" - medium"),0),MATCH(I$209,Input_Usage[[#Headers],[F-PreviousVDO_Input]:[F-CurrentVDO_Input]],0)),"-")</f>
        <v>0.79600000000000004</v>
      </c>
      <c r="J218" s="219" cm="1">
        <f t="array" ref="J218">IFERROR(INDEX(Input_Usage[[F-PreviousVDO_Input]:[F-CurrentVDO_Input]],MATCH(1,(Input_Usage[[Usage type]:[Usage type]]=$C218)*(Input_Usage[[Profile name]:[Profile name]]=$D218&amp;" - medium"),0),MATCH(J$209,Input_Usage[[#Headers],[F-PreviousVDO_Input]:[F-CurrentVDO_Input]],0))/
INDEX(Input_Usage[[F-PreviousVDO_Input]:[F-CurrentVDO_Input]],MATCH(1,(Input_Usage[[Usage type]:[Usage type]]="Annual")*(Input_Usage[[Profile name]:[Profile name]]=$D218&amp;" - medium"),0),MATCH(J$209,Input_Usage[[#Headers],[F-PreviousVDO_Input]:[F-CurrentVDO_Input]],0)),"-")</f>
        <v>0.79600000000000004</v>
      </c>
      <c r="K218" s="218" t="str" cm="1">
        <f t="array" ref="K218">IFERROR(INDEX(Input_Usage[[F-PreviousVDO_Input]:[F-CurrentVDO_Input]],MATCH(1,(Input_Usage[[Usage type]:[Usage type]]=$C218)*(Input_Usage[[Profile name]:[Profile name]]=$D218&amp;" - medium"),0),MATCH(K$209,Input_Usage[[#Headers],[F-PreviousVDO_Input]:[F-CurrentVDO_Input]],0))/
INDEX(Input_Usage[[F-PreviousVDO_Input]:[F-CurrentVDO_Input]],MATCH(1,(Input_Usage[[Usage type]:[Usage type]]="Annual")*(Input_Usage[[Profile name]:[Profile name]]=$D218&amp;" - medium"),0),MATCH(K$209,Input_Usage[[#Headers],[F-PreviousVDO_Input]:[F-CurrentVDO_Input]],0)),"-")</f>
        <v>-</v>
      </c>
      <c r="L218" s="219" t="str" cm="1">
        <f t="array" ref="L218">IFERROR(INDEX(Input_Usage[[F-PreviousVDO_Input]:[F-CurrentVDO_Input]],MATCH(1,(Input_Usage[[Usage type]:[Usage type]]=$C218)*(Input_Usage[[Profile name]:[Profile name]]=$D218&amp;" - medium"),0),MATCH(L$209,Input_Usage[[#Headers],[F-PreviousVDO_Input]:[F-CurrentVDO_Input]],0))/
INDEX(Input_Usage[[F-PreviousVDO_Input]:[F-CurrentVDO_Input]],MATCH(1,(Input_Usage[[Usage type]:[Usage type]]="Annual")*(Input_Usage[[Profile name]:[Profile name]]=$D218&amp;" - medium"),0),MATCH(L$209,Input_Usage[[#Headers],[F-PreviousVDO_Input]:[F-CurrentVDO_Input]],0)),"-")</f>
        <v>-</v>
      </c>
    </row>
    <row r="219" spans="3:12" outlineLevel="1" x14ac:dyDescent="0.25">
      <c r="C219" s="23" t="s">
        <v>549</v>
      </c>
      <c r="D219" s="23" t="s">
        <v>93</v>
      </c>
      <c r="E219" s="104" t="s">
        <v>204</v>
      </c>
      <c r="F219" s="218" cm="1">
        <f t="array" ref="F219">IFERROR(INDEX(Input_Usage[[F-PreviousVDO_Input]:[F-CurrentVDO_Input]],MATCH(1,(Input_Usage[[Usage type]:[Usage type]]=$C219)*(Input_Usage[[Profile name]:[Profile name]]=$D219&amp;" - medium"),0),MATCH(F$209,Input_Usage[[#Headers],[F-PreviousVDO_Input]:[F-CurrentVDO_Input]],0))/
INDEX(Input_Usage[[F-PreviousVDO_Input]:[F-CurrentVDO_Input]],MATCH(1,(Input_Usage[[Usage type]:[Usage type]]="Annual")*(Input_Usage[[Profile name]:[Profile name]]=$D219&amp;" - medium"),0),MATCH(F$209,Input_Usage[[#Headers],[F-PreviousVDO_Input]:[F-CurrentVDO_Input]],0)),"-")</f>
        <v>1</v>
      </c>
      <c r="G219" s="218" cm="1">
        <f t="array" ref="G219">IFERROR(INDEX(Input_Usage[[F-PreviousVDO_Input]:[F-CurrentVDO_Input]],MATCH(1,(Input_Usage[[Usage type]:[Usage type]]=$C219)*(Input_Usage[[Profile name]:[Profile name]]=$D219&amp;" - medium"),0),MATCH(G$209,Input_Usage[[#Headers],[F-PreviousVDO_Input]:[F-CurrentVDO_Input]],0))/
INDEX(Input_Usage[[F-PreviousVDO_Input]:[F-CurrentVDO_Input]],MATCH(1,(Input_Usage[[Usage type]:[Usage type]]="Annual")*(Input_Usage[[Profile name]:[Profile name]]=$D219&amp;" - medium"),0),MATCH(G$209,Input_Usage[[#Headers],[F-PreviousVDO_Input]:[F-CurrentVDO_Input]],0)),"-")</f>
        <v>1</v>
      </c>
      <c r="H219" s="218" cm="1">
        <f t="array" ref="H219">IFERROR(INDEX(Input_Usage[[F-PreviousVDO_Input]:[F-CurrentVDO_Input]],MATCH(1,(Input_Usage[[Usage type]:[Usage type]]=$C219)*(Input_Usage[[Profile name]:[Profile name]]=$D219&amp;" - medium"),0),MATCH(H$209,Input_Usage[[#Headers],[F-PreviousVDO_Input]:[F-CurrentVDO_Input]],0))/
INDEX(Input_Usage[[F-PreviousVDO_Input]:[F-CurrentVDO_Input]],MATCH(1,(Input_Usage[[Usage type]:[Usage type]]="Annual")*(Input_Usage[[Profile name]:[Profile name]]=$D219&amp;" - medium"),0),MATCH(H$209,Input_Usage[[#Headers],[F-PreviousVDO_Input]:[F-CurrentVDO_Input]],0)),"-")</f>
        <v>1</v>
      </c>
      <c r="I219" s="218" cm="1">
        <f t="array" ref="I219">IFERROR(INDEX(Input_Usage[[F-PreviousVDO_Input]:[F-CurrentVDO_Input]],MATCH(1,(Input_Usage[[Usage type]:[Usage type]]=$C219)*(Input_Usage[[Profile name]:[Profile name]]=$D219&amp;" - medium"),0),MATCH(I$209,Input_Usage[[#Headers],[F-PreviousVDO_Input]:[F-CurrentVDO_Input]],0))/
INDEX(Input_Usage[[F-PreviousVDO_Input]:[F-CurrentVDO_Input]],MATCH(1,(Input_Usage[[Usage type]:[Usage type]]="Annual")*(Input_Usage[[Profile name]:[Profile name]]=$D219&amp;" - medium"),0),MATCH(I$209,Input_Usage[[#Headers],[F-PreviousVDO_Input]:[F-CurrentVDO_Input]],0)),"-")</f>
        <v>1</v>
      </c>
      <c r="J219" s="219" cm="1">
        <f t="array" ref="J219">IFERROR(INDEX(Input_Usage[[F-PreviousVDO_Input]:[F-CurrentVDO_Input]],MATCH(1,(Input_Usage[[Usage type]:[Usage type]]=$C219)*(Input_Usage[[Profile name]:[Profile name]]=$D219&amp;" - medium"),0),MATCH(J$209,Input_Usage[[#Headers],[F-PreviousVDO_Input]:[F-CurrentVDO_Input]],0))/
INDEX(Input_Usage[[F-PreviousVDO_Input]:[F-CurrentVDO_Input]],MATCH(1,(Input_Usage[[Usage type]:[Usage type]]="Annual")*(Input_Usage[[Profile name]:[Profile name]]=$D219&amp;" - medium"),0),MATCH(J$209,Input_Usage[[#Headers],[F-PreviousVDO_Input]:[F-CurrentVDO_Input]],0)),"-")</f>
        <v>1</v>
      </c>
      <c r="K219" s="218" t="str" cm="1">
        <f t="array" ref="K219">IFERROR(INDEX(Input_Usage[[F-PreviousVDO_Input]:[F-CurrentVDO_Input]],MATCH(1,(Input_Usage[[Usage type]:[Usage type]]=$C219)*(Input_Usage[[Profile name]:[Profile name]]=$D219&amp;" - medium"),0),MATCH(K$209,Input_Usage[[#Headers],[F-PreviousVDO_Input]:[F-CurrentVDO_Input]],0))/
INDEX(Input_Usage[[F-PreviousVDO_Input]:[F-CurrentVDO_Input]],MATCH(1,(Input_Usage[[Usage type]:[Usage type]]="Annual")*(Input_Usage[[Profile name]:[Profile name]]=$D219&amp;" - medium"),0),MATCH(K$209,Input_Usage[[#Headers],[F-PreviousVDO_Input]:[F-CurrentVDO_Input]],0)),"-")</f>
        <v>-</v>
      </c>
      <c r="L219" s="219" t="str" cm="1">
        <f t="array" ref="L219">IFERROR(INDEX(Input_Usage[[F-PreviousVDO_Input]:[F-CurrentVDO_Input]],MATCH(1,(Input_Usage[[Usage type]:[Usage type]]=$C219)*(Input_Usage[[Profile name]:[Profile name]]=$D219&amp;" - medium"),0),MATCH(L$209,Input_Usage[[#Headers],[F-PreviousVDO_Input]:[F-CurrentVDO_Input]],0))/
INDEX(Input_Usage[[F-PreviousVDO_Input]:[F-CurrentVDO_Input]],MATCH(1,(Input_Usage[[Usage type]:[Usage type]]="Annual")*(Input_Usage[[Profile name]:[Profile name]]=$D219&amp;" - medium"),0),MATCH(L$209,Input_Usage[[#Headers],[F-PreviousVDO_Input]:[F-CurrentVDO_Input]],0)),"-")</f>
        <v>-</v>
      </c>
    </row>
    <row r="220" spans="3:12" outlineLevel="1" x14ac:dyDescent="0.25"/>
    <row r="221" spans="3:12" ht="15.75" outlineLevel="1" x14ac:dyDescent="0.25">
      <c r="E221" s="29" t="s">
        <v>634</v>
      </c>
      <c r="F221" s="220" t="str">
        <f>IF(INDEX(Input_TUNet_Props[F-PreviousVDO_Input],MATCH("Peak",Input_TUNet_Props[[Usage type]:[Usage type]],0),1)="-","-",
IF(AND(
SUMIFS(Input_TUNet_Props[F-PreviousVDO_Input],Input_TUNet_Props[[Customer type]:[Customer type]],"Residential",Input_TUNet_Props[[Usage type]:[Usage type]],"Peak")+
SUMIFS(Input_TUNet_Props[F-PreviousVDO_Input],Input_TUNet_Props[[Customer type]:[Customer type]],"Residential",Input_TUNet_Props[[Usage type]:[Usage type]],"Off peak")=1,
SUMIFS(Input_TUNet_Props[F-PreviousVDO_Input],Input_TUNet_Props[[Customer type]:[Customer type]],"Small business",Input_TUNet_Props[[Usage type]:[Usage type]],"Peak")+
SUMIFS(Input_TUNet_Props[F-PreviousVDO_Input],Input_TUNet_Props[[Customer type]:[Customer type]],"Small business",Input_TUNet_Props[[Usage type]:[Usage type]],"Off peak")=1),0,1))</f>
        <v>-</v>
      </c>
      <c r="G221" s="220">
        <f>IF(INDEX(Input_TUNet_Props[VD-PreviousVDO_Input],MATCH("Peak",Input_TUNet_Props[[Usage type]:[Usage type]],0),1)="-","-",
IF(AND(
SUMIFS(Input_TUNet_Props[VD-PreviousVDO_Input],Input_TUNet_Props[[Customer type]:[Customer type]],"Residential",Input_TUNet_Props[[Usage type]:[Usage type]],"Peak")+
SUMIFS(Input_TUNet_Props[VD-PreviousVDO_Input],Input_TUNet_Props[[Customer type]:[Customer type]],"Residential",Input_TUNet_Props[[Usage type]:[Usage type]],"Off peak")=1,
SUMIFS(Input_TUNet_Props[VD-PreviousVDO_Input],Input_TUNet_Props[[Customer type]:[Customer type]],"Small business",Input_TUNet_Props[[Usage type]:[Usage type]],"Peak")+
SUMIFS(Input_TUNet_Props[VD-PreviousVDO_Input],Input_TUNet_Props[[Customer type]:[Customer type]],"Small business",Input_TUNet_Props[[Usage type]:[Usage type]],"Off peak")=1),0,1))</f>
        <v>0</v>
      </c>
      <c r="H221" s="220">
        <f>IF(INDEX(Input_TUNet_Props[VF-PreviousVDO_Input],MATCH("Peak",Input_TUNet_Props[[Usage type]:[Usage type]],0),1)="-","-",
IF(AND(
SUMIFS(Input_TUNet_Props[VF-PreviousVDO_Input],Input_TUNet_Props[[Customer type]:[Customer type]],"Residential",Input_TUNet_Props[[Usage type]:[Usage type]],"Peak")+
SUMIFS(Input_TUNet_Props[VF-PreviousVDO_Input],Input_TUNet_Props[[Customer type]:[Customer type]],"Residential",Input_TUNet_Props[[Usage type]:[Usage type]],"Off peak")=1,
SUMIFS(Input_TUNet_Props[VF-PreviousVDO_Input],Input_TUNet_Props[[Customer type]:[Customer type]],"Small business",Input_TUNet_Props[[Usage type]:[Usage type]],"Peak")+
SUMIFS(Input_TUNet_Props[VF-PreviousVDO_Input],Input_TUNet_Props[[Customer type]:[Customer type]],"Small business",Input_TUNet_Props[[Usage type]:[Usage type]],"Off peak")=1),0,1))</f>
        <v>0</v>
      </c>
      <c r="I221" s="220">
        <f>IF(INDEX(Input_TUNet_Props[D-CurrentVDO_Input],MATCH("Peak",Input_TUNet_Props[[Usage type]:[Usage type]],0),1)="-","-",
IF(AND(
SUMIFS(Input_TUNet_Props[D-CurrentVDO_Input],Input_TUNet_Props[[Customer type]:[Customer type]],"Residential",Input_TUNet_Props[[Usage type]:[Usage type]],"Peak")+
SUMIFS(Input_TUNet_Props[D-CurrentVDO_Input],Input_TUNet_Props[[Customer type]:[Customer type]],"Residential",Input_TUNet_Props[[Usage type]:[Usage type]],"Off peak")=1,
SUMIFS(Input_TUNet_Props[D-CurrentVDO_Input],Input_TUNet_Props[[Customer type]:[Customer type]],"Small business",Input_TUNet_Props[[Usage type]:[Usage type]],"Peak")+
SUMIFS(Input_TUNet_Props[D-CurrentVDO_Input],Input_TUNet_Props[[Customer type]:[Customer type]],"Small business",Input_TUNet_Props[[Usage type]:[Usage type]],"Off peak")=1),0,1))</f>
        <v>0</v>
      </c>
      <c r="J221" s="220">
        <f>IF(INDEX(Input_TUNet_Props[F-CurrentVDO_Input],MATCH("Peak",Input_TUNet_Props[[Usage type]:[Usage type]],0),1)="-","-",
IF(AND(
SUMIFS(Input_TUNet_Props[F-CurrentVDO_Input],Input_TUNet_Props[[Customer type]:[Customer type]],"Residential",Input_TUNet_Props[[Usage type]:[Usage type]],"Peak")+
SUMIFS(Input_TUNet_Props[F-CurrentVDO_Input],Input_TUNet_Props[[Customer type]:[Customer type]],"Residential",Input_TUNet_Props[[Usage type]:[Usage type]],"Off peak")=1,
SUMIFS(Input_TUNet_Props[F-CurrentVDO_Input],Input_TUNet_Props[[Customer type]:[Customer type]],"Small business",Input_TUNet_Props[[Usage type]:[Usage type]],"Peak")+
SUMIFS(Input_TUNet_Props[F-CurrentVDO_Input],Input_TUNet_Props[[Customer type]:[Customer type]],"Small business",Input_TUNet_Props[[Usage type]:[Usage type]],"Off peak")=1),0,1))</f>
        <v>0</v>
      </c>
      <c r="K221" s="220">
        <f>IF(INDEX(Input_TUNet_Props[D-CurrentVDO_Input],MATCH("Peak",Input_TUNet_Props[[Usage type]:[Usage type]],0),1)="-","-",
IF(AND(
SUMIFS(Input_TUNet_Props[D-CurrentVDO_Input],Input_TUNet_Props[[Customer type]:[Customer type]],"Residential",Input_TUNet_Props[[Usage type]:[Usage type]],"Peak")+
SUMIFS(Input_TUNet_Props[D-CurrentVDO_Input],Input_TUNet_Props[[Customer type]:[Customer type]],"Residential",Input_TUNet_Props[[Usage type]:[Usage type]],"Off peak")=1,
SUMIFS(Input_TUNet_Props[D-CurrentVDO_Input],Input_TUNet_Props[[Customer type]:[Customer type]],"Small business",Input_TUNet_Props[[Usage type]:[Usage type]],"Peak")+
SUMIFS(Input_TUNet_Props[D-CurrentVDO_Input],Input_TUNet_Props[[Customer type]:[Customer type]],"Small business",Input_TUNet_Props[[Usage type]:[Usage type]],"Off peak")=1),0,1))</f>
        <v>0</v>
      </c>
      <c r="L221" s="220">
        <f>IF(INDEX(Input_TUNet_Props[F-CurrentVDO_Input],MATCH("Peak",Input_TUNet_Props[[Usage type]:[Usage type]],0),1)="-","-",
IF(AND(
SUMIFS(Input_TUNet_Props[F-CurrentVDO_Input],Input_TUNet_Props[[Customer type]:[Customer type]],"Residential",Input_TUNet_Props[[Usage type]:[Usage type]],"Peak")+
SUMIFS(Input_TUNet_Props[F-CurrentVDO_Input],Input_TUNet_Props[[Customer type]:[Customer type]],"Residential",Input_TUNet_Props[[Usage type]:[Usage type]],"Off peak")=1,
SUMIFS(Input_TUNet_Props[F-CurrentVDO_Input],Input_TUNet_Props[[Customer type]:[Customer type]],"Small business",Input_TUNet_Props[[Usage type]:[Usage type]],"Peak")+
SUMIFS(Input_TUNet_Props[F-CurrentVDO_Input],Input_TUNet_Props[[Customer type]:[Customer type]],"Small business",Input_TUNet_Props[[Usage type]:[Usage type]],"Off peak")=1),0,1))</f>
        <v>0</v>
      </c>
    </row>
    <row r="222" spans="3:12" ht="15.75" outlineLevel="1" x14ac:dyDescent="0.25">
      <c r="E222" s="29" t="s">
        <v>635</v>
      </c>
      <c r="F222" s="220">
        <f>IF(INDEX(Input_TUNet_Props[F-PreviousVDO_Input],MATCH("Block 1",Input_TUNet_Props[[Usage type]:[Usage type]],0),1)="-","-",
IF(AND(
SUMIFS(Input_TUNet_Props[F-PreviousVDO_Input],Input_TUNet_Props[[Customer type]:[Customer type]],"Residential",Input_TUNet_Props[[Usage type]:[Usage type]],"Block 1")+
SUMIFS(Input_TUNet_Props[F-PreviousVDO_Input],Input_TUNet_Props[[Customer type]:[Customer type]],"Residential",Input_TUNet_Props[[Usage type]:[Usage type]],"Balance")=1,
SUMIFS(Input_TUNet_Props[F-PreviousVDO_Input],Input_TUNet_Props[[Customer type]:[Customer type]],"Small business",Input_TUNet_Props[[Usage type]:[Usage type]],"Block 1")+
SUMIFS(Input_TUNet_Props[F-PreviousVDO_Input],Input_TUNet_Props[[Customer type]:[Customer type]],"Small business",Input_TUNet_Props[[Usage type]:[Usage type]],"Balance")=1),0,1))</f>
        <v>0</v>
      </c>
      <c r="G222" s="220">
        <f>IF(INDEX(Input_TUNet_Props[VD-PreviousVDO_Input],MATCH("Block 1",Input_TUNet_Props[[Usage type]:[Usage type]],0),1)="-","-",
IF(AND(
SUMIFS(Input_TUNet_Props[VD-PreviousVDO_Input],Input_TUNet_Props[[Customer type]:[Customer type]],"Residential",Input_TUNet_Props[[Usage type]:[Usage type]],"Block 1")+
SUMIFS(Input_TUNet_Props[VD-PreviousVDO_Input],Input_TUNet_Props[[Customer type]:[Customer type]],"Residential",Input_TUNet_Props[[Usage type]:[Usage type]],"Balance")=1,
SUMIFS(Input_TUNet_Props[VD-PreviousVDO_Input],Input_TUNet_Props[[Customer type]:[Customer type]],"Small business",Input_TUNet_Props[[Usage type]:[Usage type]],"Block 1")+
SUMIFS(Input_TUNet_Props[VD-PreviousVDO_Input],Input_TUNet_Props[[Customer type]:[Customer type]],"Small business",Input_TUNet_Props[[Usage type]:[Usage type]],"Balance")=1),0,1))</f>
        <v>0</v>
      </c>
      <c r="H222" s="220">
        <f>IF(INDEX(Input_TUNet_Props[VF-PreviousVDO_Input],MATCH("Block 1",Input_TUNet_Props[[Usage type]:[Usage type]],0),1)="-","-",
IF(AND(
SUMIFS(Input_TUNet_Props[VF-PreviousVDO_Input],Input_TUNet_Props[[Customer type]:[Customer type]],"Residential",Input_TUNet_Props[[Usage type]:[Usage type]],"Block 1")+
SUMIFS(Input_TUNet_Props[VF-PreviousVDO_Input],Input_TUNet_Props[[Customer type]:[Customer type]],"Residential",Input_TUNet_Props[[Usage type]:[Usage type]],"Balance")=1,
SUMIFS(Input_TUNet_Props[VF-PreviousVDO_Input],Input_TUNet_Props[[Customer type]:[Customer type]],"Small business",Input_TUNet_Props[[Usage type]:[Usage type]],"Block 1")+
SUMIFS(Input_TUNet_Props[VF-PreviousVDO_Input],Input_TUNet_Props[[Customer type]:[Customer type]],"Small business",Input_TUNet_Props[[Usage type]:[Usage type]],"Balance")=1),0,1))</f>
        <v>0</v>
      </c>
      <c r="I222" s="220">
        <f>IF(INDEX(Input_TUNet_Props[D-CurrentVDO_Input],MATCH("Block 1",Input_TUNet_Props[[Usage type]:[Usage type]],0),1)="-","-",
IF(AND(
SUMIFS(Input_TUNet_Props[D-CurrentVDO_Input],Input_TUNet_Props[[Customer type]:[Customer type]],"Residential",Input_TUNet_Props[[Usage type]:[Usage type]],"Block 1")+
SUMIFS(Input_TUNet_Props[D-CurrentVDO_Input],Input_TUNet_Props[[Customer type]:[Customer type]],"Residential",Input_TUNet_Props[[Usage type]:[Usage type]],"Balance")=1,
SUMIFS(Input_TUNet_Props[D-CurrentVDO_Input],Input_TUNet_Props[[Customer type]:[Customer type]],"Small business",Input_TUNet_Props[[Usage type]:[Usage type]],"Block 1")+
SUMIFS(Input_TUNet_Props[D-CurrentVDO_Input],Input_TUNet_Props[[Customer type]:[Customer type]],"Small business",Input_TUNet_Props[[Usage type]:[Usage type]],"Balance")=1),0,1))</f>
        <v>0</v>
      </c>
      <c r="J222" s="220">
        <f>IF(INDEX(Input_TUNet_Props[F-CurrentVDO_Input],MATCH("Block 1",Input_TUNet_Props[[Usage type]:[Usage type]],0),1)="-","-",
IF(AND(
SUMIFS(Input_TUNet_Props[F-CurrentVDO_Input],Input_TUNet_Props[[Customer type]:[Customer type]],"Residential",Input_TUNet_Props[[Usage type]:[Usage type]],"Block 1")+
SUMIFS(Input_TUNet_Props[F-CurrentVDO_Input],Input_TUNet_Props[[Customer type]:[Customer type]],"Residential",Input_TUNet_Props[[Usage type]:[Usage type]],"Balance")=1,
SUMIFS(Input_TUNet_Props[F-CurrentVDO_Input],Input_TUNet_Props[[Customer type]:[Customer type]],"Small business",Input_TUNet_Props[[Usage type]:[Usage type]],"Block 1")+
SUMIFS(Input_TUNet_Props[F-CurrentVDO_Input],Input_TUNet_Props[[Customer type]:[Customer type]],"Small business",Input_TUNet_Props[[Usage type]:[Usage type]],"Balance")=1),0,1))</f>
        <v>0</v>
      </c>
      <c r="K222" s="220">
        <f>IF(INDEX(Input_TUNet_Props[D-CurrentVDO_Input],MATCH("Block 1",Input_TUNet_Props[[Usage type]:[Usage type]],0),1)="-","-",
IF(AND(
SUMIFS(Input_TUNet_Props[D-CurrentVDO_Input],Input_TUNet_Props[[Customer type]:[Customer type]],"Residential",Input_TUNet_Props[[Usage type]:[Usage type]],"Block 1")+
SUMIFS(Input_TUNet_Props[D-CurrentVDO_Input],Input_TUNet_Props[[Customer type]:[Customer type]],"Residential",Input_TUNet_Props[[Usage type]:[Usage type]],"Balance")=1,
SUMIFS(Input_TUNet_Props[D-CurrentVDO_Input],Input_TUNet_Props[[Customer type]:[Customer type]],"Small business",Input_TUNet_Props[[Usage type]:[Usage type]],"Block 1")+
SUMIFS(Input_TUNet_Props[D-CurrentVDO_Input],Input_TUNet_Props[[Customer type]:[Customer type]],"Small business",Input_TUNet_Props[[Usage type]:[Usage type]],"Balance")=1),0,1))</f>
        <v>0</v>
      </c>
      <c r="L222" s="220">
        <f>IF(INDEX(Input_TUNet_Props[F-CurrentVDO_Input],MATCH("Block 1",Input_TUNet_Props[[Usage type]:[Usage type]],0),1)="-","-",
IF(AND(
SUMIFS(Input_TUNet_Props[F-CurrentVDO_Input],Input_TUNet_Props[[Customer type]:[Customer type]],"Residential",Input_TUNet_Props[[Usage type]:[Usage type]],"Block 1")+
SUMIFS(Input_TUNet_Props[F-CurrentVDO_Input],Input_TUNet_Props[[Customer type]:[Customer type]],"Residential",Input_TUNet_Props[[Usage type]:[Usage type]],"Balance")=1,
SUMIFS(Input_TUNet_Props[F-CurrentVDO_Input],Input_TUNet_Props[[Customer type]:[Customer type]],"Small business",Input_TUNet_Props[[Usage type]:[Usage type]],"Block 1")+
SUMIFS(Input_TUNet_Props[F-CurrentVDO_Input],Input_TUNet_Props[[Customer type]:[Customer type]],"Small business",Input_TUNet_Props[[Usage type]:[Usage type]],"Balance")=1),0,1))</f>
        <v>0</v>
      </c>
    </row>
    <row r="223" spans="3:12" ht="15.75" outlineLevel="1" x14ac:dyDescent="0.25">
      <c r="E223" s="29" t="s">
        <v>636</v>
      </c>
      <c r="F223" s="220">
        <f>IF(INDEX(Input_TUNet_Props[F-PreviousVDO_Input],MATCH("Block 1",Input_TUNet_Props[[Usage type]:[Usage type]],0),1)="-","-",
IF(AND(
SUMIFS(Input_TUNet_Props[F-PreviousVDO_Input],Input_TUNet_Props[[Customer type]:[Customer type]],"Residential",Input_TUNet_Props[[Usage type]:[Usage type]],"Single rate")=1,
SUMIFS(Input_TUNet_Props[F-PreviousVDO_Input],Input_TUNet_Props[[Customer type]:[Customer type]],"Small business",Input_TUNet_Props[[Usage type]:[Usage type]],"Single rate")=1),0,1))</f>
        <v>0</v>
      </c>
      <c r="G223" s="220">
        <f>IF(INDEX(Input_TUNet_Props[VD-PreviousVDO_Input],MATCH("Block 1",Input_TUNet_Props[[Usage type]:[Usage type]],0),1)="-","-",
IF(AND(
SUMIFS(Input_TUNet_Props[VD-PreviousVDO_Input],Input_TUNet_Props[[Customer type]:[Customer type]],"Residential",Input_TUNet_Props[[Usage type]:[Usage type]],"Single rate")=1,
SUMIFS(Input_TUNet_Props[VD-PreviousVDO_Input],Input_TUNet_Props[[Customer type]:[Customer type]],"Small business",Input_TUNet_Props[[Usage type]:[Usage type]],"Single rate")=1),0,1))</f>
        <v>0</v>
      </c>
      <c r="H223" s="220">
        <f>IF(INDEX(Input_TUNet_Props[VF-PreviousVDO_Input],MATCH("Block 1",Input_TUNet_Props[[Usage type]:[Usage type]],0),1)="-","-",
IF(AND(
SUMIFS(Input_TUNet_Props[VF-PreviousVDO_Input],Input_TUNet_Props[[Customer type]:[Customer type]],"Residential",Input_TUNet_Props[[Usage type]:[Usage type]],"Single rate")=1,
SUMIFS(Input_TUNet_Props[VF-PreviousVDO_Input],Input_TUNet_Props[[Customer type]:[Customer type]],"Small business",Input_TUNet_Props[[Usage type]:[Usage type]],"Single rate")=1),0,1))</f>
        <v>0</v>
      </c>
      <c r="I223" s="220">
        <f>IF(INDEX(Input_TUNet_Props[D-CurrentVDO_Input],MATCH("Block 1",Input_TUNet_Props[[Usage type]:[Usage type]],0),1)="-","-",
IF(AND(
SUMIFS(Input_TUNet_Props[D-CurrentVDO_Input],Input_TUNet_Props[[Customer type]:[Customer type]],"Residential",Input_TUNet_Props[[Usage type]:[Usage type]],"Single rate")=1,
SUMIFS(Input_TUNet_Props[D-CurrentVDO_Input],Input_TUNet_Props[[Customer type]:[Customer type]],"Small business",Input_TUNet_Props[[Usage type]:[Usage type]],"Single rate")=1),0,1))</f>
        <v>0</v>
      </c>
      <c r="J223" s="220">
        <f>IF(INDEX(Input_TUNet_Props[F-CurrentVDO_Input],MATCH("Block 1",Input_TUNet_Props[[Usage type]:[Usage type]],0),1)="-","-",
IF(AND(
SUMIFS(Input_TUNet_Props[F-CurrentVDO_Input],Input_TUNet_Props[[Customer type]:[Customer type]],"Residential",Input_TUNet_Props[[Usage type]:[Usage type]],"Single rate")=1,
SUMIFS(Input_TUNet_Props[F-CurrentVDO_Input],Input_TUNet_Props[[Customer type]:[Customer type]],"Small business",Input_TUNet_Props[[Usage type]:[Usage type]],"Single rate")=1),0,1))</f>
        <v>0</v>
      </c>
      <c r="K223" s="220">
        <f>IF(INDEX(Input_TUNet_Props[D-CurrentVDO_Input],MATCH("Block 1",Input_TUNet_Props[[Usage type]:[Usage type]],0),1)="-","-",
IF(AND(
SUMIFS(Input_TUNet_Props[D-CurrentVDO_Input],Input_TUNet_Props[[Customer type]:[Customer type]],"Residential",Input_TUNet_Props[[Usage type]:[Usage type]],"Single rate")=1,
SUMIFS(Input_TUNet_Props[D-CurrentVDO_Input],Input_TUNet_Props[[Customer type]:[Customer type]],"Small business",Input_TUNet_Props[[Usage type]:[Usage type]],"Single rate")=1),0,1))</f>
        <v>0</v>
      </c>
      <c r="L223" s="220">
        <f>IF(INDEX(Input_TUNet_Props[F-CurrentVDO_Input],MATCH("Block 1",Input_TUNet_Props[[Usage type]:[Usage type]],0),1)="-","-",
IF(AND(
SUMIFS(Input_TUNet_Props[F-CurrentVDO_Input],Input_TUNet_Props[[Customer type]:[Customer type]],"Residential",Input_TUNet_Props[[Usage type]:[Usage type]],"Single rate")=1,
SUMIFS(Input_TUNet_Props[F-CurrentVDO_Input],Input_TUNet_Props[[Customer type]:[Customer type]],"Small business",Input_TUNet_Props[[Usage type]:[Usage type]],"Single rate")=1),0,1))</f>
        <v>0</v>
      </c>
    </row>
    <row r="224" spans="3:12" outlineLevel="1" x14ac:dyDescent="0.25"/>
    <row r="225" spans="3:12" outlineLevel="1" x14ac:dyDescent="0.25"/>
    <row r="226" spans="3:12" ht="15.75" outlineLevel="1" x14ac:dyDescent="0.25">
      <c r="E226" s="40" t="s">
        <v>100</v>
      </c>
      <c r="F226" s="2">
        <v>2021</v>
      </c>
      <c r="G226" s="2">
        <v>2021</v>
      </c>
      <c r="H226" s="2">
        <v>2021</v>
      </c>
      <c r="I226" s="2">
        <v>2022</v>
      </c>
      <c r="J226" s="2">
        <v>2022</v>
      </c>
      <c r="K226" s="2" t="s">
        <v>817</v>
      </c>
      <c r="L226" s="2" t="s">
        <v>817</v>
      </c>
    </row>
    <row r="227" spans="3:12" ht="15.75" outlineLevel="1" x14ac:dyDescent="0.25">
      <c r="E227" s="40" t="s">
        <v>101</v>
      </c>
      <c r="F227" s="41" t="str">
        <f t="shared" ref="F227:L227" si="5">"VDO "&amp;F226&amp;" - "&amp;IF(LEFT(F229,1)="F","Final",IF(LEFT(F229,1)="D","Draft",IF(LEFT(F229,2)="VD","Variation draft",IF(LEFT(F229,2)="VF","Variation final"))))</f>
        <v>VDO 2021 - Final</v>
      </c>
      <c r="G227" s="41" t="str">
        <f t="shared" si="5"/>
        <v>VDO 2021 - Variation draft</v>
      </c>
      <c r="H227" s="41" t="str">
        <f t="shared" si="5"/>
        <v>VDO 2021 - Variation final</v>
      </c>
      <c r="I227" s="41" t="str">
        <f t="shared" si="5"/>
        <v>VDO 2022 - Draft</v>
      </c>
      <c r="J227" s="41" t="str">
        <f t="shared" si="5"/>
        <v>VDO 2022 - Final</v>
      </c>
      <c r="K227" s="41" t="str">
        <f t="shared" si="5"/>
        <v>VDO 2022-23 - Draft</v>
      </c>
      <c r="L227" s="41" t="str">
        <f t="shared" si="5"/>
        <v>VDO 2022-23 - Final</v>
      </c>
    </row>
    <row r="228" spans="3:12" ht="15.75" outlineLevel="1" x14ac:dyDescent="0.25">
      <c r="C228" s="29" t="s">
        <v>655</v>
      </c>
    </row>
    <row r="229" spans="3:12" ht="15.75" outlineLevel="1" x14ac:dyDescent="0.25">
      <c r="C229" s="217" t="s">
        <v>45</v>
      </c>
      <c r="D229" s="217" t="s">
        <v>632</v>
      </c>
      <c r="E229" s="217" t="s">
        <v>103</v>
      </c>
      <c r="F229" s="43" t="s">
        <v>831</v>
      </c>
      <c r="G229" s="43" t="s">
        <v>829</v>
      </c>
      <c r="H229" s="43" t="s">
        <v>827</v>
      </c>
      <c r="I229" s="43" t="s">
        <v>825</v>
      </c>
      <c r="J229" s="115" t="s">
        <v>47</v>
      </c>
      <c r="K229" s="217" t="s">
        <v>48</v>
      </c>
      <c r="L229" s="217" t="s">
        <v>49</v>
      </c>
    </row>
    <row r="230" spans="3:12" outlineLevel="1" x14ac:dyDescent="0.25">
      <c r="C230" s="23" t="s">
        <v>121</v>
      </c>
      <c r="D230" s="23" t="s">
        <v>552</v>
      </c>
      <c r="E230" s="104" t="s">
        <v>252</v>
      </c>
      <c r="F230" s="14" t="s">
        <v>9</v>
      </c>
      <c r="G230" s="14" t="s">
        <v>9</v>
      </c>
      <c r="H230" s="14" t="s">
        <v>9</v>
      </c>
      <c r="I230" s="14">
        <v>44378</v>
      </c>
      <c r="J230" s="14">
        <v>44378</v>
      </c>
      <c r="K230" s="14" t="s">
        <v>9</v>
      </c>
      <c r="L230" s="14" t="s">
        <v>9</v>
      </c>
    </row>
    <row r="231" spans="3:12" outlineLevel="1" x14ac:dyDescent="0.25">
      <c r="C231" s="23" t="s">
        <v>121</v>
      </c>
      <c r="D231" s="23" t="s">
        <v>553</v>
      </c>
      <c r="E231" s="104" t="s">
        <v>252</v>
      </c>
      <c r="F231" s="14" t="s">
        <v>9</v>
      </c>
      <c r="G231" s="14" t="s">
        <v>9</v>
      </c>
      <c r="H231" s="14" t="s">
        <v>9</v>
      </c>
      <c r="I231" s="14">
        <v>44439</v>
      </c>
      <c r="J231" s="14">
        <v>44439</v>
      </c>
      <c r="K231" s="14" t="s">
        <v>9</v>
      </c>
      <c r="L231" s="14" t="s">
        <v>9</v>
      </c>
    </row>
    <row r="232" spans="3:12" outlineLevel="1" x14ac:dyDescent="0.25">
      <c r="C232" s="23" t="s">
        <v>121</v>
      </c>
      <c r="D232" s="23" t="s">
        <v>554</v>
      </c>
      <c r="E232" s="104" t="s">
        <v>252</v>
      </c>
      <c r="F232" s="14" t="s">
        <v>9</v>
      </c>
      <c r="G232" s="14" t="s">
        <v>9</v>
      </c>
      <c r="H232" s="14" t="s">
        <v>9</v>
      </c>
      <c r="I232" s="14">
        <v>44562</v>
      </c>
      <c r="J232" s="14">
        <v>44562</v>
      </c>
      <c r="K232" s="14" t="s">
        <v>9</v>
      </c>
      <c r="L232" s="14" t="s">
        <v>9</v>
      </c>
    </row>
    <row r="233" spans="3:12" outlineLevel="1" x14ac:dyDescent="0.25">
      <c r="C233" s="23" t="s">
        <v>121</v>
      </c>
      <c r="D233" s="23" t="s">
        <v>555</v>
      </c>
      <c r="E233" s="104" t="s">
        <v>252</v>
      </c>
      <c r="F233" s="14" t="s">
        <v>9</v>
      </c>
      <c r="G233" s="14" t="s">
        <v>9</v>
      </c>
      <c r="H233" s="14" t="s">
        <v>9</v>
      </c>
      <c r="I233" s="14">
        <v>44742</v>
      </c>
      <c r="J233" s="14">
        <v>44742</v>
      </c>
      <c r="K233" s="14" t="s">
        <v>9</v>
      </c>
      <c r="L233" s="14" t="s">
        <v>9</v>
      </c>
    </row>
    <row r="234" spans="3:12" outlineLevel="1" x14ac:dyDescent="0.25"/>
    <row r="235" spans="3:12" outlineLevel="1" x14ac:dyDescent="0.25"/>
    <row r="236" spans="3:12" outlineLevel="1" x14ac:dyDescent="0.25"/>
    <row r="237" spans="3:12" ht="15.75" outlineLevel="1" x14ac:dyDescent="0.25">
      <c r="E237" s="40" t="s">
        <v>100</v>
      </c>
      <c r="F237" s="2">
        <v>2021</v>
      </c>
      <c r="G237" s="2">
        <v>2021</v>
      </c>
      <c r="H237" s="2">
        <v>2021</v>
      </c>
      <c r="I237" s="2">
        <v>2022</v>
      </c>
      <c r="J237" s="2">
        <v>2022</v>
      </c>
      <c r="K237" s="2" t="s">
        <v>817</v>
      </c>
      <c r="L237" s="2" t="s">
        <v>817</v>
      </c>
    </row>
    <row r="238" spans="3:12" ht="15.75" outlineLevel="1" x14ac:dyDescent="0.25">
      <c r="E238" s="40" t="s">
        <v>101</v>
      </c>
      <c r="F238" s="41" t="str">
        <f t="shared" ref="F238:L238" si="6">"VDO "&amp;F237&amp;" - "&amp;IF(LEFT(F240,1)="F","Final",IF(LEFT(F240,1)="D","Draft",IF(LEFT(F240,2)="VD","Variation draft",IF(LEFT(F240,2)="VF","Variation final"))))</f>
        <v>VDO 2021 - Final</v>
      </c>
      <c r="G238" s="41" t="str">
        <f t="shared" si="6"/>
        <v>VDO 2021 - Variation draft</v>
      </c>
      <c r="H238" s="41" t="str">
        <f t="shared" si="6"/>
        <v>VDO 2021 - Variation final</v>
      </c>
      <c r="I238" s="41" t="str">
        <f t="shared" si="6"/>
        <v>VDO 2022 - Draft</v>
      </c>
      <c r="J238" s="41" t="str">
        <f t="shared" si="6"/>
        <v>VDO 2022 - Final</v>
      </c>
      <c r="K238" s="41" t="str">
        <f t="shared" si="6"/>
        <v>VDO 2022-23 - Draft</v>
      </c>
      <c r="L238" s="41" t="str">
        <f t="shared" si="6"/>
        <v>VDO 2022-23 - Final</v>
      </c>
    </row>
    <row r="239" spans="3:12" outlineLevel="1" x14ac:dyDescent="0.25"/>
    <row r="240" spans="3:12" ht="15.75" outlineLevel="1" x14ac:dyDescent="0.25">
      <c r="D240" s="168" t="s">
        <v>632</v>
      </c>
      <c r="E240" s="217" t="s">
        <v>103</v>
      </c>
      <c r="F240" s="43" t="s">
        <v>831</v>
      </c>
      <c r="G240" s="43" t="s">
        <v>829</v>
      </c>
      <c r="H240" s="43" t="s">
        <v>827</v>
      </c>
      <c r="I240" s="43" t="s">
        <v>825</v>
      </c>
      <c r="J240" s="115" t="s">
        <v>47</v>
      </c>
      <c r="K240" s="217" t="s">
        <v>48</v>
      </c>
      <c r="L240" s="217" t="s">
        <v>49</v>
      </c>
    </row>
    <row r="241" spans="3:12" outlineLevel="1" x14ac:dyDescent="0.25">
      <c r="D241" s="97" t="s">
        <v>754</v>
      </c>
      <c r="E241" s="104" t="s">
        <v>427</v>
      </c>
      <c r="F241" s="2">
        <v>365</v>
      </c>
      <c r="G241" s="2">
        <v>62</v>
      </c>
      <c r="H241" s="2">
        <v>62</v>
      </c>
      <c r="I241" s="2">
        <v>181</v>
      </c>
      <c r="J241" s="224">
        <v>181</v>
      </c>
      <c r="K241" s="2">
        <v>365</v>
      </c>
      <c r="L241" s="2">
        <v>365</v>
      </c>
    </row>
    <row r="242" spans="3:12" outlineLevel="1" x14ac:dyDescent="0.25"/>
    <row r="243" spans="3:12" outlineLevel="1" x14ac:dyDescent="0.25"/>
    <row r="244" spans="3:12" outlineLevel="1" x14ac:dyDescent="0.25"/>
    <row r="245" spans="3:12" ht="15.75" hidden="1" outlineLevel="1" x14ac:dyDescent="0.25">
      <c r="C245" s="42" t="s">
        <v>548</v>
      </c>
      <c r="D245" s="55">
        <v>6.5500000000000003E-2</v>
      </c>
    </row>
    <row r="246" spans="3:12" outlineLevel="1" x14ac:dyDescent="0.25"/>
    <row r="247" spans="3:12" outlineLevel="1" x14ac:dyDescent="0.25"/>
    <row r="248" spans="3:12" ht="15.75" outlineLevel="1" x14ac:dyDescent="0.25">
      <c r="C248" s="29" t="s">
        <v>642</v>
      </c>
    </row>
    <row r="249" spans="3:12" ht="15.75" outlineLevel="1" x14ac:dyDescent="0.25">
      <c r="C249" s="212" t="s">
        <v>626</v>
      </c>
      <c r="D249" s="43" t="s">
        <v>586</v>
      </c>
      <c r="E249" s="213" t="s">
        <v>587</v>
      </c>
    </row>
    <row r="250" spans="3:12" outlineLevel="1" x14ac:dyDescent="0.25">
      <c r="C250" s="210" t="s">
        <v>257</v>
      </c>
      <c r="D250" s="136" t="s">
        <v>257</v>
      </c>
      <c r="E250" s="211" t="s">
        <v>9</v>
      </c>
    </row>
    <row r="251" spans="3:12" outlineLevel="1" x14ac:dyDescent="0.25">
      <c r="C251" s="210" t="s">
        <v>387</v>
      </c>
      <c r="D251" s="136" t="s">
        <v>387</v>
      </c>
      <c r="E251" s="211" t="s">
        <v>257</v>
      </c>
    </row>
    <row r="252" spans="3:12" outlineLevel="1" x14ac:dyDescent="0.25">
      <c r="C252" s="210" t="s">
        <v>410</v>
      </c>
      <c r="D252" s="136" t="s">
        <v>410</v>
      </c>
      <c r="E252" s="211" t="s">
        <v>257</v>
      </c>
    </row>
    <row r="253" spans="3:12" outlineLevel="1" x14ac:dyDescent="0.25">
      <c r="C253" s="210" t="s">
        <v>258</v>
      </c>
      <c r="D253" s="136" t="s">
        <v>258</v>
      </c>
      <c r="E253" s="211" t="s">
        <v>257</v>
      </c>
    </row>
    <row r="254" spans="3:12" outlineLevel="1" x14ac:dyDescent="0.25">
      <c r="C254" s="214" t="s">
        <v>259</v>
      </c>
      <c r="D254" s="215" t="s">
        <v>259</v>
      </c>
      <c r="E254" s="211" t="s">
        <v>257</v>
      </c>
    </row>
    <row r="255" spans="3:12" outlineLevel="1" x14ac:dyDescent="0.25">
      <c r="C255" s="210" t="s">
        <v>822</v>
      </c>
      <c r="D255" s="136" t="s">
        <v>822</v>
      </c>
      <c r="E255" s="211" t="s">
        <v>259</v>
      </c>
    </row>
    <row r="256" spans="3:12" outlineLevel="1" x14ac:dyDescent="0.25">
      <c r="C256" s="210" t="s">
        <v>823</v>
      </c>
      <c r="D256" s="215" t="s">
        <v>823</v>
      </c>
      <c r="E256" s="356" t="s">
        <v>259</v>
      </c>
    </row>
    <row r="257" outlineLevel="1" x14ac:dyDescent="0.25"/>
    <row r="258" outlineLevel="1" x14ac:dyDescent="0.25"/>
    <row r="259" outlineLevel="1" x14ac:dyDescent="0.25"/>
    <row r="260" outlineLevel="1" x14ac:dyDescent="0.25"/>
    <row r="261" outlineLevel="1" x14ac:dyDescent="0.25"/>
  </sheetData>
  <sheetProtection algorithmName="SHA-512" hashValue="e2viGwTOecdDBl3s54+jEL/v+choBgo8VUKfYkEf1W3F1LHiTGAt/A3PqVWu94KmhilZfExI5SbP+9x5EY6eMg==" saltValue="2+37tXSwpO4kYuZ+I8XVTQ==" spinCount="100000" sheet="1" objects="1" scenarios="1"/>
  <mergeCells count="1">
    <mergeCell ref="A2:A3"/>
  </mergeCells>
  <phoneticPr fontId="30" type="noConversion"/>
  <pageMargins left="0.7" right="0.7" top="0.75" bottom="0.75" header="0.3" footer="0.3"/>
  <pageSetup paperSize="9" orientation="portrait" r:id="rId1"/>
  <tableParts count="8">
    <tablePart r:id="rId2"/>
    <tablePart r:id="rId3"/>
    <tablePart r:id="rId4"/>
    <tablePart r:id="rId5"/>
    <tablePart r:id="rId6"/>
    <tablePart r:id="rId7"/>
    <tablePart r:id="rId8"/>
    <tablePart r:id="rId9"/>
  </tableParts>
  <extLst>
    <ext xmlns:x14="http://schemas.microsoft.com/office/spreadsheetml/2009/9/main" uri="{CCE6A557-97BC-4b89-ADB6-D9C93CAAB3DF}">
      <x14:dataValidations xmlns:xm="http://schemas.microsoft.com/office/excel/2006/main" count="3">
        <x14:dataValidation type="list" allowBlank="1" showInputMessage="1" showErrorMessage="1" xr:uid="{91387222-6A44-4153-A021-02393A24BC27}">
          <x14:formula1>
            <xm:f>'Lookup refs'!$C$8:$C$10</xm:f>
          </x14:formula1>
          <xm:sqref>E11:E128</xm:sqref>
        </x14:dataValidation>
        <x14:dataValidation type="list" allowBlank="1" showInputMessage="1" showErrorMessage="1" xr:uid="{6E9DAD93-16AF-4726-A2A9-3D3AE290FDD5}">
          <x14:formula1>
            <xm:f>'Lookup refs'!$E$8:$E$20</xm:f>
          </x14:formula1>
          <xm:sqref>F11:F128 E210:E219 E230:E233 F181:F186 F137:F173 G193:G203</xm:sqref>
        </x14:dataValidation>
        <x14:dataValidation type="list" allowBlank="1" showInputMessage="1" showErrorMessage="1" xr:uid="{DB7F5277-E0C5-4ABC-A2EC-0899E5776FE1}">
          <x14:formula1>
            <xm:f>'Lookup refs'!$G$8:$G$10</xm:f>
          </x14:formula1>
          <xm:sqref>G11:G128 G181:G186 G137:G173 D210:D219 F193:F203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3DB55-A1B8-4BF5-ACF4-AC560D0EC1E6}">
  <sheetPr codeName="Sheet12">
    <tabColor rgb="FFD3DFE9"/>
  </sheetPr>
  <dimension ref="A1:Z27"/>
  <sheetViews>
    <sheetView showGridLines="0" topLeftCell="B1" zoomScale="85" zoomScaleNormal="85" workbookViewId="0">
      <pane ySplit="3" topLeftCell="A4" activePane="bottomLeft" state="frozen"/>
      <selection pane="bottomLeft" activeCell="C4" sqref="C4"/>
    </sheetView>
  </sheetViews>
  <sheetFormatPr defaultColWidth="9.42578125" defaultRowHeight="15" outlineLevelCol="1" x14ac:dyDescent="0.25"/>
  <cols>
    <col min="1" max="1" width="100.5703125" hidden="1" customWidth="1" outlineLevel="1"/>
    <col min="2" max="2" width="10.5703125" style="6" customWidth="1" collapsed="1"/>
    <col min="3" max="3" width="50.5703125" customWidth="1"/>
    <col min="4" max="26" width="25.5703125" customWidth="1"/>
  </cols>
  <sheetData>
    <row r="1" spans="1:26" ht="15" customHeight="1" x14ac:dyDescent="0.25">
      <c r="A1" s="1" t="s">
        <v>20</v>
      </c>
      <c r="B1" s="21"/>
      <c r="C1" s="22"/>
      <c r="D1" s="22"/>
      <c r="E1" s="22"/>
      <c r="F1" s="22"/>
      <c r="G1" s="22"/>
      <c r="H1" s="22"/>
      <c r="I1" s="22"/>
      <c r="J1" s="22"/>
      <c r="K1" s="22"/>
      <c r="L1" s="22"/>
      <c r="M1" s="22"/>
      <c r="N1" s="22"/>
      <c r="O1" s="22"/>
      <c r="P1" s="22"/>
      <c r="Q1" s="22"/>
      <c r="R1" s="22"/>
      <c r="S1" s="22"/>
      <c r="T1" s="22"/>
      <c r="U1" s="22"/>
      <c r="V1" s="22"/>
      <c r="W1" s="22"/>
      <c r="X1" s="22"/>
      <c r="Y1" s="22"/>
      <c r="Z1" s="22"/>
    </row>
    <row r="2" spans="1:26" s="4" customFormat="1" ht="50.1" customHeight="1" x14ac:dyDescent="0.25">
      <c r="A2" s="382" t="s">
        <v>21</v>
      </c>
      <c r="B2" s="25"/>
      <c r="C2" s="25" t="str">
        <f>Disclaimer!$B$1</f>
        <v>VDO calculation model</v>
      </c>
      <c r="D2" s="25"/>
      <c r="E2" s="25"/>
      <c r="F2" s="25"/>
      <c r="G2" s="25"/>
      <c r="H2" s="25"/>
      <c r="I2" s="25"/>
      <c r="J2" s="25"/>
      <c r="K2" s="25"/>
      <c r="L2" s="25"/>
      <c r="M2" s="25"/>
      <c r="N2" s="25"/>
      <c r="O2" s="25"/>
      <c r="P2" s="25"/>
      <c r="Q2" s="25"/>
      <c r="R2" s="25"/>
      <c r="S2" s="25"/>
      <c r="T2" s="25"/>
      <c r="U2" s="25"/>
      <c r="V2" s="25"/>
      <c r="W2" s="25"/>
      <c r="X2" s="25"/>
      <c r="Y2" s="25"/>
      <c r="Z2" s="25"/>
    </row>
    <row r="3" spans="1:26" s="4" customFormat="1" ht="30" customHeight="1" x14ac:dyDescent="0.25">
      <c r="A3" s="383"/>
      <c r="B3" s="27">
        <f ca="1">_xlfn.SHEET()</f>
        <v>16</v>
      </c>
      <c r="C3" s="26" t="s">
        <v>231</v>
      </c>
      <c r="D3" s="26"/>
      <c r="E3" s="26"/>
      <c r="F3" s="26"/>
      <c r="G3" s="26"/>
      <c r="H3" s="26"/>
      <c r="I3" s="26"/>
      <c r="J3" s="26"/>
      <c r="K3" s="26"/>
      <c r="L3" s="26"/>
      <c r="M3" s="26"/>
      <c r="N3" s="26"/>
      <c r="O3" s="26"/>
      <c r="P3" s="26"/>
      <c r="Q3" s="26"/>
      <c r="R3" s="26"/>
      <c r="S3" s="26"/>
      <c r="T3" s="26"/>
      <c r="U3" s="26"/>
      <c r="V3" s="26"/>
      <c r="W3" s="26"/>
      <c r="X3" s="26"/>
      <c r="Y3" s="26"/>
      <c r="Z3" s="26"/>
    </row>
    <row r="4" spans="1:26" x14ac:dyDescent="0.25">
      <c r="B4"/>
    </row>
    <row r="5" spans="1:26" ht="16.5" thickBot="1" x14ac:dyDescent="0.3">
      <c r="A5" s="1" t="s">
        <v>23</v>
      </c>
      <c r="B5" s="9">
        <f ca="1">MAX(B$3:B4)+0.1</f>
        <v>16.100000000000001</v>
      </c>
      <c r="C5" s="28" t="s">
        <v>232</v>
      </c>
      <c r="D5" s="28"/>
      <c r="E5" s="28"/>
    </row>
    <row r="7" spans="1:26" x14ac:dyDescent="0.25">
      <c r="C7" t="s">
        <v>233</v>
      </c>
      <c r="D7" s="2">
        <v>365</v>
      </c>
      <c r="E7" s="16" t="s">
        <v>234</v>
      </c>
    </row>
    <row r="8" spans="1:26" x14ac:dyDescent="0.25">
      <c r="C8" t="s">
        <v>235</v>
      </c>
      <c r="D8" s="2">
        <v>12</v>
      </c>
      <c r="E8" s="16" t="s">
        <v>236</v>
      </c>
    </row>
    <row r="9" spans="1:26" x14ac:dyDescent="0.25">
      <c r="C9" t="s">
        <v>237</v>
      </c>
      <c r="D9" s="2">
        <v>3</v>
      </c>
      <c r="E9" s="16" t="s">
        <v>238</v>
      </c>
    </row>
    <row r="10" spans="1:26" x14ac:dyDescent="0.25">
      <c r="C10" t="s">
        <v>239</v>
      </c>
      <c r="D10" s="2">
        <v>52</v>
      </c>
      <c r="E10" s="16" t="s">
        <v>240</v>
      </c>
    </row>
    <row r="12" spans="1:26" x14ac:dyDescent="0.25">
      <c r="C12" s="10" t="s">
        <v>241</v>
      </c>
      <c r="D12" s="15" t="s">
        <v>242</v>
      </c>
      <c r="E12" s="16" t="s">
        <v>243</v>
      </c>
    </row>
    <row r="13" spans="1:26" x14ac:dyDescent="0.25">
      <c r="C13" s="10" t="s">
        <v>244</v>
      </c>
      <c r="D13" s="2">
        <v>6</v>
      </c>
      <c r="E13" s="34" t="s">
        <v>245</v>
      </c>
    </row>
    <row r="15" spans="1:26" x14ac:dyDescent="0.25">
      <c r="C15" t="s">
        <v>246</v>
      </c>
      <c r="D15" s="69">
        <v>0.1</v>
      </c>
      <c r="E15" s="16" t="s">
        <v>247</v>
      </c>
    </row>
    <row r="19" spans="1:5" ht="16.5" thickBot="1" x14ac:dyDescent="0.3">
      <c r="A19" s="1" t="s">
        <v>23</v>
      </c>
      <c r="B19" s="9">
        <f ca="1">MAX(B$3:B18)+0.1</f>
        <v>16.200000000000003</v>
      </c>
      <c r="C19" s="28" t="s">
        <v>563</v>
      </c>
      <c r="D19" s="28"/>
      <c r="E19" s="28"/>
    </row>
    <row r="22" spans="1:5" x14ac:dyDescent="0.25">
      <c r="C22" t="s">
        <v>101</v>
      </c>
      <c r="D22" t="s">
        <v>575</v>
      </c>
    </row>
    <row r="23" spans="1:5" x14ac:dyDescent="0.25">
      <c r="C23" s="82" t="s">
        <v>47</v>
      </c>
      <c r="D23" s="82">
        <v>1</v>
      </c>
    </row>
    <row r="24" spans="1:5" x14ac:dyDescent="0.25">
      <c r="C24" s="82" t="s">
        <v>385</v>
      </c>
      <c r="D24" s="82">
        <v>2</v>
      </c>
    </row>
    <row r="25" spans="1:5" x14ac:dyDescent="0.25">
      <c r="C25" s="82" t="s">
        <v>386</v>
      </c>
      <c r="D25" s="82">
        <v>3</v>
      </c>
    </row>
    <row r="26" spans="1:5" x14ac:dyDescent="0.25">
      <c r="C26" s="82" t="s">
        <v>48</v>
      </c>
      <c r="D26" s="82">
        <v>4</v>
      </c>
    </row>
    <row r="27" spans="1:5" x14ac:dyDescent="0.25">
      <c r="C27" s="82" t="s">
        <v>49</v>
      </c>
      <c r="D27" s="82">
        <v>5</v>
      </c>
    </row>
  </sheetData>
  <sheetProtection algorithmName="SHA-512" hashValue="JshutCcKsc/6oovQSggPKm8b7RBTjaxsU/8nzLKQSsl94eeyfqv+RCT9X2A+xq2T4WjhtPBuQY8AyGOFmWAwMQ==" saltValue="C1a6BxNq4iJ9vxAsl9vjyw==" spinCount="100000" sheet="1" objects="1" scenarios="1"/>
  <mergeCells count="1">
    <mergeCell ref="A2:A3"/>
  </mergeCell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0A701-190F-4971-BB2B-9D28766803C5}">
  <sheetPr>
    <tabColor theme="4" tint="0.79998168889431442"/>
  </sheetPr>
  <dimension ref="A1:Z83"/>
  <sheetViews>
    <sheetView showGridLines="0" topLeftCell="B1" zoomScale="85" zoomScaleNormal="85" workbookViewId="0">
      <pane ySplit="3" topLeftCell="A4" activePane="bottomLeft" state="frozen"/>
      <selection pane="bottomLeft" activeCell="C4" sqref="C4"/>
    </sheetView>
  </sheetViews>
  <sheetFormatPr defaultColWidth="9.42578125" defaultRowHeight="15" outlineLevelCol="1" x14ac:dyDescent="0.25"/>
  <cols>
    <col min="1" max="1" width="100.5703125" hidden="1" customWidth="1" outlineLevel="1"/>
    <col min="2" max="2" width="10.5703125" style="6" customWidth="1" collapsed="1"/>
    <col min="3" max="3" width="52.140625" bestFit="1" customWidth="1"/>
    <col min="4" max="26" width="25.5703125" customWidth="1"/>
  </cols>
  <sheetData>
    <row r="1" spans="1:26" ht="15" customHeight="1" x14ac:dyDescent="0.25">
      <c r="A1" s="1" t="s">
        <v>20</v>
      </c>
      <c r="B1" s="21"/>
      <c r="C1" s="22"/>
      <c r="D1" s="22"/>
      <c r="E1" s="22"/>
      <c r="F1" s="22"/>
      <c r="G1" s="22"/>
      <c r="H1" s="22"/>
      <c r="I1" s="22"/>
      <c r="J1" s="22"/>
      <c r="K1" s="22"/>
      <c r="L1" s="22"/>
      <c r="M1" s="22"/>
      <c r="N1" s="22"/>
      <c r="O1" s="22"/>
      <c r="P1" s="22"/>
      <c r="Q1" s="22"/>
      <c r="R1" s="22"/>
      <c r="S1" s="22"/>
      <c r="T1" s="22"/>
      <c r="U1" s="22"/>
      <c r="V1" s="22"/>
      <c r="W1" s="22"/>
      <c r="X1" s="22"/>
      <c r="Y1" s="22"/>
      <c r="Z1" s="22"/>
    </row>
    <row r="2" spans="1:26" s="4" customFormat="1" ht="50.1" customHeight="1" x14ac:dyDescent="0.25">
      <c r="A2" s="382" t="s">
        <v>248</v>
      </c>
      <c r="B2" s="25"/>
      <c r="C2" s="25" t="str">
        <f>Disclaimer!$B$1</f>
        <v>VDO calculation model</v>
      </c>
      <c r="D2" s="25"/>
      <c r="E2" s="25"/>
      <c r="F2" s="25"/>
      <c r="G2" s="25"/>
      <c r="H2" s="25"/>
      <c r="I2" s="25"/>
      <c r="J2" s="25"/>
      <c r="K2" s="25"/>
      <c r="L2" s="25"/>
      <c r="M2" s="25"/>
      <c r="N2" s="25"/>
      <c r="O2" s="25"/>
      <c r="P2" s="25"/>
      <c r="Q2" s="25"/>
      <c r="R2" s="25"/>
      <c r="S2" s="25"/>
      <c r="T2" s="25"/>
      <c r="U2" s="25"/>
      <c r="V2" s="25"/>
      <c r="W2" s="25"/>
      <c r="X2" s="25"/>
      <c r="Y2" s="25"/>
      <c r="Z2" s="25"/>
    </row>
    <row r="3" spans="1:26" s="4" customFormat="1" ht="30" customHeight="1" x14ac:dyDescent="0.25">
      <c r="A3" s="383"/>
      <c r="B3" s="27">
        <f ca="1">_xlfn.SHEET()</f>
        <v>17</v>
      </c>
      <c r="C3" s="26" t="s">
        <v>249</v>
      </c>
      <c r="D3" s="26"/>
      <c r="E3" s="26"/>
      <c r="F3" s="26"/>
      <c r="G3" s="26"/>
      <c r="H3" s="26"/>
      <c r="I3" s="26"/>
      <c r="J3" s="26"/>
      <c r="K3" s="26"/>
      <c r="L3" s="26"/>
      <c r="M3" s="26"/>
      <c r="N3" s="26"/>
      <c r="O3" s="26"/>
      <c r="P3" s="26"/>
      <c r="Q3" s="26"/>
      <c r="R3" s="26"/>
      <c r="S3" s="26"/>
      <c r="T3" s="26"/>
      <c r="U3" s="26"/>
      <c r="V3" s="26"/>
      <c r="W3" s="26"/>
      <c r="X3" s="26"/>
      <c r="Y3" s="26"/>
      <c r="Z3" s="26"/>
    </row>
    <row r="4" spans="1:26" x14ac:dyDescent="0.25">
      <c r="B4"/>
    </row>
    <row r="5" spans="1:26" ht="16.5" thickBot="1" x14ac:dyDescent="0.3">
      <c r="A5" s="1" t="s">
        <v>23</v>
      </c>
      <c r="B5" s="9">
        <f ca="1">MAX(B$3:B4)+0.1</f>
        <v>17.100000000000001</v>
      </c>
      <c r="C5" s="28" t="s">
        <v>250</v>
      </c>
      <c r="D5" s="28"/>
      <c r="E5" s="28"/>
      <c r="F5" s="28"/>
      <c r="G5" s="28"/>
      <c r="H5" s="28"/>
      <c r="I5" s="28"/>
    </row>
    <row r="7" spans="1:26" ht="15.75" x14ac:dyDescent="0.25">
      <c r="C7" s="43" t="s">
        <v>251</v>
      </c>
      <c r="D7" s="47" t="s">
        <v>252</v>
      </c>
      <c r="E7" s="48" t="s">
        <v>253</v>
      </c>
    </row>
    <row r="8" spans="1:26" x14ac:dyDescent="0.25">
      <c r="C8" s="23" t="s">
        <v>254</v>
      </c>
      <c r="D8" s="49">
        <v>43465</v>
      </c>
      <c r="E8" s="75">
        <f>IFERROR(INDEX(CPI[Indice],MATCH(D8,CPI[Period],0),1),"-")</f>
        <v>114.1</v>
      </c>
    </row>
    <row r="9" spans="1:26" x14ac:dyDescent="0.25">
      <c r="C9" s="23" t="s">
        <v>255</v>
      </c>
      <c r="D9" s="49">
        <v>43738</v>
      </c>
      <c r="E9" s="75">
        <f>IFERROR(INDEX(CPI[Indice],MATCH(D9,CPI[Period],0),1),"-")</f>
        <v>115.4</v>
      </c>
    </row>
    <row r="10" spans="1:26" x14ac:dyDescent="0.25">
      <c r="C10" s="23" t="s">
        <v>256</v>
      </c>
      <c r="D10" s="49">
        <v>44012</v>
      </c>
      <c r="E10" s="75">
        <f>IFERROR(INDEX(CPI[Indice],MATCH(D10,CPI[Period],0),1),"-")</f>
        <v>114.4</v>
      </c>
    </row>
    <row r="11" spans="1:26" x14ac:dyDescent="0.25">
      <c r="C11" s="23" t="s">
        <v>257</v>
      </c>
      <c r="D11" s="49">
        <v>44104</v>
      </c>
      <c r="E11" s="75">
        <f>IFERROR(INDEX(CPI[Indice],MATCH(D11,CPI[Period],0),1),"-")</f>
        <v>116.2</v>
      </c>
    </row>
    <row r="12" spans="1:26" x14ac:dyDescent="0.25">
      <c r="C12" s="23" t="s">
        <v>387</v>
      </c>
      <c r="D12" s="49">
        <v>44104</v>
      </c>
      <c r="E12" s="75">
        <f>IFERROR(INDEX(CPI[Indice],MATCH(D12,CPI[Period],0),1),"-")</f>
        <v>116.2</v>
      </c>
    </row>
    <row r="13" spans="1:26" x14ac:dyDescent="0.25">
      <c r="C13" s="23" t="s">
        <v>410</v>
      </c>
      <c r="D13" s="49">
        <v>44104</v>
      </c>
      <c r="E13" s="75">
        <f>IFERROR(INDEX(CPI[Indice],MATCH(D13,CPI[Period],0),1),"-")</f>
        <v>116.2</v>
      </c>
    </row>
    <row r="14" spans="1:26" x14ac:dyDescent="0.25">
      <c r="C14" s="23" t="s">
        <v>258</v>
      </c>
      <c r="D14" s="49">
        <v>44377</v>
      </c>
      <c r="E14" s="75">
        <f>IFERROR(INDEX(CPI[Indice],MATCH(D14,CPI[Period],0),1),"-")</f>
        <v>118.8</v>
      </c>
    </row>
    <row r="15" spans="1:26" x14ac:dyDescent="0.25">
      <c r="C15" s="23" t="s">
        <v>259</v>
      </c>
      <c r="D15" s="49">
        <v>44469</v>
      </c>
      <c r="E15" s="75">
        <f>IFERROR(INDEX(CPI[Indice],MATCH(D15,CPI[Period],0),1),"-")</f>
        <v>119.7</v>
      </c>
    </row>
    <row r="16" spans="1:26" x14ac:dyDescent="0.25">
      <c r="C16" s="23" t="s">
        <v>822</v>
      </c>
      <c r="D16" s="349">
        <v>44561</v>
      </c>
      <c r="E16" s="75">
        <f>IFERROR(INDEX(CPI[Indice],MATCH(D16,CPI[Period],0),1),"-")</f>
        <v>121.3</v>
      </c>
    </row>
    <row r="17" spans="1:9" x14ac:dyDescent="0.25">
      <c r="C17" s="23" t="s">
        <v>823</v>
      </c>
      <c r="D17" s="347">
        <v>44651</v>
      </c>
      <c r="E17" s="348">
        <f>IFERROR(INDEX(CPI[Indice],MATCH(D17,CPI[Period],0),1),"-")</f>
        <v>0</v>
      </c>
    </row>
    <row r="19" spans="1:9" ht="16.5" thickBot="1" x14ac:dyDescent="0.3">
      <c r="A19" s="1" t="s">
        <v>23</v>
      </c>
      <c r="B19" s="9">
        <f ca="1">MAX(B$3:B18)+0.1</f>
        <v>17.200000000000003</v>
      </c>
      <c r="C19" s="28" t="s">
        <v>260</v>
      </c>
      <c r="D19" s="28"/>
      <c r="E19" s="28"/>
      <c r="F19" s="28"/>
      <c r="G19" s="28"/>
      <c r="H19" s="28"/>
      <c r="I19" s="28"/>
    </row>
    <row r="21" spans="1:9" ht="15.75" x14ac:dyDescent="0.25">
      <c r="C21" s="29" t="s">
        <v>261</v>
      </c>
    </row>
    <row r="22" spans="1:9" ht="15.75" x14ac:dyDescent="0.25">
      <c r="C22" s="29" t="s">
        <v>262</v>
      </c>
    </row>
    <row r="24" spans="1:9" ht="15.75" x14ac:dyDescent="0.25">
      <c r="C24" s="54" t="s">
        <v>664</v>
      </c>
      <c r="D24" s="234" t="str">
        <f>"January 2022"</f>
        <v>January 2022</v>
      </c>
    </row>
    <row r="26" spans="1:9" ht="15.75" x14ac:dyDescent="0.25">
      <c r="C26" s="43" t="s">
        <v>263</v>
      </c>
      <c r="D26" s="48" t="s">
        <v>253</v>
      </c>
    </row>
    <row r="27" spans="1:9" x14ac:dyDescent="0.25">
      <c r="C27" s="45">
        <v>41090</v>
      </c>
      <c r="D27" s="46">
        <v>100.4</v>
      </c>
    </row>
    <row r="28" spans="1:9" x14ac:dyDescent="0.25">
      <c r="C28" s="45">
        <v>41182</v>
      </c>
      <c r="D28" s="46">
        <v>101.8</v>
      </c>
    </row>
    <row r="29" spans="1:9" x14ac:dyDescent="0.25">
      <c r="C29" s="45">
        <v>41274</v>
      </c>
      <c r="D29" s="46">
        <v>102</v>
      </c>
    </row>
    <row r="30" spans="1:9" x14ac:dyDescent="0.25">
      <c r="C30" s="45">
        <v>41364</v>
      </c>
      <c r="D30" s="46">
        <v>102.4</v>
      </c>
    </row>
    <row r="31" spans="1:9" x14ac:dyDescent="0.25">
      <c r="C31" s="45">
        <v>41455</v>
      </c>
      <c r="D31" s="46">
        <v>102.8</v>
      </c>
    </row>
    <row r="32" spans="1:9" x14ac:dyDescent="0.25">
      <c r="C32" s="45">
        <v>41547</v>
      </c>
      <c r="D32" s="46">
        <v>104</v>
      </c>
    </row>
    <row r="33" spans="3:4" x14ac:dyDescent="0.25">
      <c r="C33" s="45">
        <v>41639</v>
      </c>
      <c r="D33" s="46">
        <v>104.8</v>
      </c>
    </row>
    <row r="34" spans="3:4" x14ac:dyDescent="0.25">
      <c r="C34" s="45">
        <v>41729</v>
      </c>
      <c r="D34" s="46">
        <v>105.4</v>
      </c>
    </row>
    <row r="35" spans="3:4" x14ac:dyDescent="0.25">
      <c r="C35" s="45">
        <v>41820</v>
      </c>
      <c r="D35" s="46">
        <v>105.9</v>
      </c>
    </row>
    <row r="36" spans="3:4" x14ac:dyDescent="0.25">
      <c r="C36" s="45">
        <v>41912</v>
      </c>
      <c r="D36" s="46">
        <v>106.4</v>
      </c>
    </row>
    <row r="37" spans="3:4" x14ac:dyDescent="0.25">
      <c r="C37" s="45">
        <v>42004</v>
      </c>
      <c r="D37" s="46">
        <v>106.6</v>
      </c>
    </row>
    <row r="38" spans="3:4" x14ac:dyDescent="0.25">
      <c r="C38" s="45">
        <v>42094</v>
      </c>
      <c r="D38" s="46">
        <v>106.8</v>
      </c>
    </row>
    <row r="39" spans="3:4" x14ac:dyDescent="0.25">
      <c r="C39" s="45">
        <v>42185</v>
      </c>
      <c r="D39" s="46">
        <v>107.5</v>
      </c>
    </row>
    <row r="40" spans="3:4" x14ac:dyDescent="0.25">
      <c r="C40" s="45">
        <v>42277</v>
      </c>
      <c r="D40" s="46">
        <v>108</v>
      </c>
    </row>
    <row r="41" spans="3:4" x14ac:dyDescent="0.25">
      <c r="C41" s="45">
        <v>42369</v>
      </c>
      <c r="D41" s="46">
        <v>108.4</v>
      </c>
    </row>
    <row r="42" spans="3:4" x14ac:dyDescent="0.25">
      <c r="C42" s="45">
        <v>42460</v>
      </c>
      <c r="D42" s="46">
        <v>108.2</v>
      </c>
    </row>
    <row r="43" spans="3:4" x14ac:dyDescent="0.25">
      <c r="C43" s="45">
        <v>42551</v>
      </c>
      <c r="D43" s="46">
        <v>108.6</v>
      </c>
    </row>
    <row r="44" spans="3:4" x14ac:dyDescent="0.25">
      <c r="C44" s="45">
        <v>42643</v>
      </c>
      <c r="D44" s="46">
        <v>109.4</v>
      </c>
    </row>
    <row r="45" spans="3:4" x14ac:dyDescent="0.25">
      <c r="C45" s="45">
        <v>42735</v>
      </c>
      <c r="D45" s="46">
        <v>110</v>
      </c>
    </row>
    <row r="46" spans="3:4" x14ac:dyDescent="0.25">
      <c r="C46" s="45">
        <v>42825</v>
      </c>
      <c r="D46" s="46">
        <v>110.5</v>
      </c>
    </row>
    <row r="47" spans="3:4" x14ac:dyDescent="0.25">
      <c r="C47" s="45">
        <v>42916</v>
      </c>
      <c r="D47" s="46">
        <v>110.7</v>
      </c>
    </row>
    <row r="48" spans="3:4" x14ac:dyDescent="0.25">
      <c r="C48" s="45">
        <v>43008</v>
      </c>
      <c r="D48" s="46">
        <v>111.4</v>
      </c>
    </row>
    <row r="49" spans="3:4" x14ac:dyDescent="0.25">
      <c r="C49" s="45">
        <v>43100</v>
      </c>
      <c r="D49" s="46">
        <v>112.1</v>
      </c>
    </row>
    <row r="50" spans="3:4" x14ac:dyDescent="0.25">
      <c r="C50" s="45">
        <v>43190</v>
      </c>
      <c r="D50" s="46">
        <v>112.6</v>
      </c>
    </row>
    <row r="51" spans="3:4" x14ac:dyDescent="0.25">
      <c r="C51" s="45">
        <v>43281</v>
      </c>
      <c r="D51" s="46">
        <v>113</v>
      </c>
    </row>
    <row r="52" spans="3:4" x14ac:dyDescent="0.25">
      <c r="C52" s="45">
        <v>43373</v>
      </c>
      <c r="D52" s="46">
        <v>113.5</v>
      </c>
    </row>
    <row r="53" spans="3:4" x14ac:dyDescent="0.25">
      <c r="C53" s="45">
        <v>43465</v>
      </c>
      <c r="D53" s="46">
        <v>114.1</v>
      </c>
    </row>
    <row r="54" spans="3:4" x14ac:dyDescent="0.25">
      <c r="C54" s="45">
        <v>43555</v>
      </c>
      <c r="D54" s="46">
        <v>114.1</v>
      </c>
    </row>
    <row r="55" spans="3:4" x14ac:dyDescent="0.25">
      <c r="C55" s="45">
        <v>43646</v>
      </c>
      <c r="D55" s="46">
        <v>114.8</v>
      </c>
    </row>
    <row r="56" spans="3:4" x14ac:dyDescent="0.25">
      <c r="C56" s="45">
        <v>43738</v>
      </c>
      <c r="D56" s="46">
        <v>115.4</v>
      </c>
    </row>
    <row r="57" spans="3:4" x14ac:dyDescent="0.25">
      <c r="C57" s="45">
        <v>43830</v>
      </c>
      <c r="D57" s="46">
        <v>116.2</v>
      </c>
    </row>
    <row r="58" spans="3:4" x14ac:dyDescent="0.25">
      <c r="C58" s="45">
        <v>43921</v>
      </c>
      <c r="D58" s="46">
        <v>116.6</v>
      </c>
    </row>
    <row r="59" spans="3:4" x14ac:dyDescent="0.25">
      <c r="C59" s="45">
        <v>44012</v>
      </c>
      <c r="D59" s="46">
        <v>114.4</v>
      </c>
    </row>
    <row r="60" spans="3:4" x14ac:dyDescent="0.25">
      <c r="C60" s="45">
        <v>44104</v>
      </c>
      <c r="D60" s="46">
        <v>116.2</v>
      </c>
    </row>
    <row r="61" spans="3:4" x14ac:dyDescent="0.25">
      <c r="C61" s="45">
        <v>44196</v>
      </c>
      <c r="D61" s="46">
        <v>117.2</v>
      </c>
    </row>
    <row r="62" spans="3:4" x14ac:dyDescent="0.25">
      <c r="C62" s="106">
        <v>44286</v>
      </c>
      <c r="D62" s="46">
        <v>117.9</v>
      </c>
    </row>
    <row r="63" spans="3:4" x14ac:dyDescent="0.25">
      <c r="C63" s="106">
        <v>44377</v>
      </c>
      <c r="D63" s="46">
        <v>118.8</v>
      </c>
    </row>
    <row r="64" spans="3:4" x14ac:dyDescent="0.25">
      <c r="C64" s="106">
        <v>44469</v>
      </c>
      <c r="D64" s="46">
        <v>119.7</v>
      </c>
    </row>
    <row r="65" spans="1:10" x14ac:dyDescent="0.25">
      <c r="C65" s="106">
        <v>44561</v>
      </c>
      <c r="D65" s="46">
        <v>121.3</v>
      </c>
      <c r="E65" s="303"/>
    </row>
    <row r="66" spans="1:10" x14ac:dyDescent="0.25">
      <c r="C66" s="106">
        <v>44651</v>
      </c>
      <c r="D66" s="350"/>
    </row>
    <row r="69" spans="1:10" ht="16.5" thickBot="1" x14ac:dyDescent="0.3">
      <c r="A69" s="1" t="s">
        <v>23</v>
      </c>
      <c r="B69" s="9">
        <f ca="1">MAX(B$3:B68)+0.1</f>
        <v>17.300000000000004</v>
      </c>
      <c r="C69" s="28" t="s">
        <v>803</v>
      </c>
      <c r="D69" s="28"/>
      <c r="E69" s="28"/>
      <c r="F69" s="28"/>
      <c r="G69" s="28"/>
      <c r="H69" s="28"/>
      <c r="I69" s="28"/>
    </row>
    <row r="71" spans="1:10" x14ac:dyDescent="0.25">
      <c r="C71" t="s">
        <v>46</v>
      </c>
      <c r="D71" t="s">
        <v>257</v>
      </c>
      <c r="E71" t="s">
        <v>387</v>
      </c>
      <c r="F71" t="s">
        <v>410</v>
      </c>
      <c r="G71" t="s">
        <v>258</v>
      </c>
      <c r="H71" t="s">
        <v>259</v>
      </c>
      <c r="I71" t="s">
        <v>822</v>
      </c>
      <c r="J71" t="s">
        <v>823</v>
      </c>
    </row>
    <row r="72" spans="1:10" x14ac:dyDescent="0.25">
      <c r="B72" s="372"/>
      <c r="C72" t="s">
        <v>107</v>
      </c>
      <c r="D72" s="2" t="s">
        <v>639</v>
      </c>
      <c r="E72" s="2" t="s">
        <v>639</v>
      </c>
      <c r="F72" s="2" t="s">
        <v>639</v>
      </c>
      <c r="G72" s="2" t="s">
        <v>639</v>
      </c>
      <c r="H72" s="2" t="s">
        <v>639</v>
      </c>
      <c r="I72" s="2" t="s">
        <v>639</v>
      </c>
      <c r="J72" s="2" t="s">
        <v>639</v>
      </c>
    </row>
    <row r="73" spans="1:10" x14ac:dyDescent="0.25">
      <c r="B73" s="372"/>
      <c r="C73" t="s">
        <v>851</v>
      </c>
      <c r="D73" s="2" t="s">
        <v>317</v>
      </c>
      <c r="E73" s="2" t="s">
        <v>317</v>
      </c>
      <c r="F73" s="2" t="s">
        <v>317</v>
      </c>
      <c r="G73" s="2" t="s">
        <v>317</v>
      </c>
      <c r="H73" s="2" t="s">
        <v>317</v>
      </c>
      <c r="I73" s="2" t="s">
        <v>317</v>
      </c>
      <c r="J73" s="2" t="s">
        <v>317</v>
      </c>
    </row>
    <row r="74" spans="1:10" x14ac:dyDescent="0.25">
      <c r="B74" s="372"/>
      <c r="C74" t="s">
        <v>114</v>
      </c>
      <c r="D74" s="2" t="s">
        <v>639</v>
      </c>
      <c r="E74" s="2" t="s">
        <v>639</v>
      </c>
      <c r="F74" s="2" t="s">
        <v>639</v>
      </c>
      <c r="G74" s="2" t="s">
        <v>639</v>
      </c>
      <c r="H74" s="2" t="s">
        <v>639</v>
      </c>
      <c r="I74" s="2" t="s">
        <v>639</v>
      </c>
      <c r="J74" s="2" t="s">
        <v>639</v>
      </c>
    </row>
    <row r="75" spans="1:10" x14ac:dyDescent="0.25">
      <c r="B75" s="372"/>
      <c r="C75" t="s">
        <v>116</v>
      </c>
      <c r="D75" s="2" t="s">
        <v>639</v>
      </c>
      <c r="E75" s="2" t="s">
        <v>639</v>
      </c>
      <c r="F75" s="2" t="s">
        <v>639</v>
      </c>
      <c r="G75" s="2" t="s">
        <v>639</v>
      </c>
      <c r="H75" s="2" t="s">
        <v>317</v>
      </c>
      <c r="I75" s="2" t="s">
        <v>317</v>
      </c>
      <c r="J75" s="2" t="s">
        <v>317</v>
      </c>
    </row>
    <row r="76" spans="1:10" x14ac:dyDescent="0.25">
      <c r="B76" s="372"/>
      <c r="C76" t="s">
        <v>117</v>
      </c>
      <c r="D76" s="2" t="s">
        <v>639</v>
      </c>
      <c r="E76" s="2" t="s">
        <v>639</v>
      </c>
      <c r="F76" s="2" t="s">
        <v>639</v>
      </c>
      <c r="G76" s="2" t="s">
        <v>639</v>
      </c>
      <c r="H76" s="2" t="s">
        <v>639</v>
      </c>
      <c r="I76" s="2" t="s">
        <v>639</v>
      </c>
      <c r="J76" s="2" t="s">
        <v>639</v>
      </c>
    </row>
    <row r="77" spans="1:10" x14ac:dyDescent="0.25">
      <c r="B77" s="372"/>
      <c r="C77" t="s">
        <v>724</v>
      </c>
      <c r="D77" s="2" t="s">
        <v>639</v>
      </c>
      <c r="E77" s="2" t="s">
        <v>639</v>
      </c>
      <c r="F77" s="2" t="s">
        <v>639</v>
      </c>
      <c r="G77" s="2" t="s">
        <v>317</v>
      </c>
      <c r="H77" s="2" t="s">
        <v>317</v>
      </c>
      <c r="I77" s="2" t="s">
        <v>639</v>
      </c>
      <c r="J77" s="2" t="s">
        <v>639</v>
      </c>
    </row>
    <row r="78" spans="1:10" x14ac:dyDescent="0.25">
      <c r="B78" s="372"/>
      <c r="C78" t="s">
        <v>120</v>
      </c>
      <c r="D78" s="2" t="s">
        <v>639</v>
      </c>
      <c r="E78" s="2" t="s">
        <v>639</v>
      </c>
      <c r="F78" s="2" t="s">
        <v>639</v>
      </c>
      <c r="G78" s="2" t="s">
        <v>317</v>
      </c>
      <c r="H78" s="2" t="s">
        <v>317</v>
      </c>
      <c r="I78" s="2" t="s">
        <v>639</v>
      </c>
      <c r="J78" s="2" t="s">
        <v>639</v>
      </c>
    </row>
    <row r="79" spans="1:10" x14ac:dyDescent="0.25">
      <c r="B79" s="372"/>
      <c r="C79" t="s">
        <v>160</v>
      </c>
      <c r="D79" s="2" t="s">
        <v>639</v>
      </c>
      <c r="E79" s="2" t="s">
        <v>639</v>
      </c>
      <c r="F79" s="2" t="s">
        <v>639</v>
      </c>
      <c r="G79" s="2" t="s">
        <v>317</v>
      </c>
      <c r="H79" s="2" t="s">
        <v>317</v>
      </c>
      <c r="I79" s="2" t="s">
        <v>639</v>
      </c>
      <c r="J79" s="2" t="s">
        <v>639</v>
      </c>
    </row>
    <row r="80" spans="1:10" x14ac:dyDescent="0.25">
      <c r="B80" s="372"/>
      <c r="C80" t="s">
        <v>758</v>
      </c>
      <c r="D80" s="2" t="s">
        <v>317</v>
      </c>
      <c r="E80" s="2" t="s">
        <v>317</v>
      </c>
      <c r="F80" s="2" t="s">
        <v>317</v>
      </c>
      <c r="G80" s="2" t="s">
        <v>317</v>
      </c>
      <c r="H80" s="2" t="s">
        <v>317</v>
      </c>
      <c r="I80" s="2" t="s">
        <v>639</v>
      </c>
      <c r="J80" s="2" t="s">
        <v>639</v>
      </c>
    </row>
    <row r="81" spans="2:10" x14ac:dyDescent="0.25">
      <c r="B81" s="372"/>
      <c r="C81" s="368" t="s">
        <v>757</v>
      </c>
      <c r="D81" s="369" t="s">
        <v>317</v>
      </c>
      <c r="E81" s="369" t="s">
        <v>317</v>
      </c>
      <c r="F81" s="369" t="s">
        <v>317</v>
      </c>
      <c r="G81" s="369" t="s">
        <v>317</v>
      </c>
      <c r="H81" s="369" t="s">
        <v>317</v>
      </c>
      <c r="I81" s="369" t="s">
        <v>639</v>
      </c>
      <c r="J81" s="369" t="s">
        <v>639</v>
      </c>
    </row>
    <row r="82" spans="2:10" x14ac:dyDescent="0.25">
      <c r="B82" s="372"/>
    </row>
    <row r="83" spans="2:10" x14ac:dyDescent="0.25">
      <c r="B83" s="372"/>
    </row>
  </sheetData>
  <sheetProtection algorithmName="SHA-512" hashValue="4hqNtYiUFYK5RaBmJ7CE99IzsLe4e6Baq48yHFG1pR99pJu6Fo22QeRL58mktD61DdKwcY2BMn9vslBkqrISCw==" saltValue="x4MkfYn+NGRngsh3Xx9KVQ==" spinCount="100000" sheet="1" objects="1" scenarios="1"/>
  <mergeCells count="1">
    <mergeCell ref="A2:A3"/>
  </mergeCells>
  <phoneticPr fontId="30" type="noConversion"/>
  <pageMargins left="0.7" right="0.7" top="0.75" bottom="0.75" header="0.3" footer="0.3"/>
  <tableParts count="3">
    <tablePart r:id="rId1"/>
    <tablePart r:id="rId2"/>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60750735-AC25-4CD6-90CF-6D1FD29F38AF}">
          <x14:formula1>
            <xm:f>'Lookup refs'!$M$8:$M$9</xm:f>
          </x14:formula1>
          <xm:sqref>D72:J81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463A0-A632-4C6A-AD23-D09871669E5A}">
  <sheetPr>
    <tabColor rgb="FFFFB13F"/>
  </sheetPr>
  <dimension ref="A1:X108"/>
  <sheetViews>
    <sheetView showGridLines="0" topLeftCell="B1" zoomScale="70" zoomScaleNormal="70" workbookViewId="0">
      <pane ySplit="3" topLeftCell="A13" activePane="bottomLeft" state="frozen"/>
      <selection pane="bottomLeft" activeCell="K42" sqref="K42"/>
    </sheetView>
  </sheetViews>
  <sheetFormatPr defaultColWidth="9.42578125" defaultRowHeight="15" outlineLevelRow="1" outlineLevelCol="1" x14ac:dyDescent="0.25"/>
  <cols>
    <col min="1" max="1" width="100.5703125" hidden="1" customWidth="1" outlineLevel="1"/>
    <col min="2" max="2" width="10.5703125" style="6" customWidth="1" collapsed="1"/>
    <col min="3" max="17" width="25.5703125" customWidth="1"/>
    <col min="18" max="18" width="5.5703125" customWidth="1"/>
    <col min="19" max="19" width="11.42578125" bestFit="1" customWidth="1"/>
    <col min="22" max="22" width="13.42578125" bestFit="1" customWidth="1"/>
  </cols>
  <sheetData>
    <row r="1" spans="1:18" ht="15" customHeight="1" x14ac:dyDescent="0.25">
      <c r="A1" s="1" t="s">
        <v>20</v>
      </c>
      <c r="B1" s="21"/>
      <c r="C1" s="22"/>
      <c r="D1" s="22"/>
      <c r="E1" s="22"/>
      <c r="F1" s="123" t="s">
        <v>411</v>
      </c>
      <c r="G1" s="96"/>
      <c r="H1" s="22"/>
      <c r="I1" s="22"/>
      <c r="J1" s="22"/>
      <c r="K1" s="22"/>
      <c r="L1" s="22"/>
      <c r="M1" s="22"/>
      <c r="N1" s="22"/>
      <c r="O1" s="22"/>
      <c r="P1" s="22"/>
      <c r="Q1" s="22"/>
      <c r="R1" s="22"/>
    </row>
    <row r="2" spans="1:18" s="4" customFormat="1" ht="50.1" customHeight="1" x14ac:dyDescent="0.25">
      <c r="A2" s="382" t="s">
        <v>21</v>
      </c>
      <c r="B2" s="25"/>
      <c r="C2" s="25" t="str">
        <f>Disclaimer!$B$1</f>
        <v>VDO calculation model</v>
      </c>
      <c r="D2" s="25"/>
      <c r="E2" s="25"/>
      <c r="F2" s="240" t="str">
        <f>Calc_Rates!$D$5</f>
        <v>VDO 2022-23 - Draft</v>
      </c>
      <c r="G2" s="240" t="str">
        <f>Calc_Rates!$D$254</f>
        <v>VDO 2022 - Final</v>
      </c>
      <c r="H2" s="25"/>
      <c r="I2" s="25"/>
      <c r="J2" s="25"/>
      <c r="K2" s="25"/>
      <c r="L2" s="25"/>
      <c r="M2" s="25"/>
      <c r="N2" s="25"/>
      <c r="O2" s="25"/>
      <c r="P2" s="25"/>
      <c r="Q2" s="25"/>
      <c r="R2" s="25"/>
    </row>
    <row r="3" spans="1:18" s="4" customFormat="1" ht="30" customHeight="1" x14ac:dyDescent="0.25">
      <c r="A3" s="383"/>
      <c r="B3" s="27">
        <f ca="1">_xlfn.SHEET()</f>
        <v>18</v>
      </c>
      <c r="C3" s="26" t="s">
        <v>333</v>
      </c>
      <c r="D3" s="26"/>
      <c r="E3" s="26"/>
      <c r="F3" s="95">
        <f>SUM(D69:H69,M34)</f>
        <v>0</v>
      </c>
      <c r="G3" s="95">
        <f>SUM(L69:P69,M35)</f>
        <v>0</v>
      </c>
      <c r="H3" s="26"/>
      <c r="I3" s="26"/>
      <c r="J3" s="26"/>
      <c r="K3" s="26"/>
      <c r="L3" s="26"/>
      <c r="M3" s="26"/>
      <c r="N3" s="26"/>
      <c r="O3" s="26"/>
      <c r="P3" s="26"/>
      <c r="Q3" s="26"/>
      <c r="R3" s="26"/>
    </row>
    <row r="4" spans="1:18" x14ac:dyDescent="0.25">
      <c r="B4"/>
    </row>
    <row r="5" spans="1:18" ht="16.5" thickBot="1" x14ac:dyDescent="0.3">
      <c r="A5" s="1" t="s">
        <v>23</v>
      </c>
      <c r="B5" s="9">
        <f ca="1">MAX(B$3:B4)+0.1</f>
        <v>18.100000000000001</v>
      </c>
      <c r="C5" s="28" t="str">
        <f>"VDO cost stack chart - Flat VDO - "&amp;IF(ISNUMBER(SEARCH("Residential",$C$47)),"Residential","Small business")</f>
        <v>VDO cost stack chart - Flat VDO - Residential</v>
      </c>
      <c r="D5" s="28"/>
      <c r="E5" s="28"/>
      <c r="F5" s="28"/>
      <c r="G5" s="28"/>
      <c r="H5" s="28"/>
      <c r="I5" s="28"/>
      <c r="J5" s="28"/>
      <c r="K5" s="28"/>
      <c r="L5" s="28"/>
      <c r="M5" s="28"/>
      <c r="N5" s="28"/>
      <c r="O5" s="28"/>
      <c r="P5" s="28"/>
      <c r="Q5" s="28"/>
      <c r="R5" s="28"/>
    </row>
    <row r="6" spans="1:18" outlineLevel="1" x14ac:dyDescent="0.25">
      <c r="B6"/>
    </row>
    <row r="7" spans="1:18" outlineLevel="1" x14ac:dyDescent="0.25">
      <c r="B7"/>
    </row>
    <row r="8" spans="1:18" outlineLevel="1" x14ac:dyDescent="0.25">
      <c r="B8"/>
    </row>
    <row r="9" spans="1:18" outlineLevel="1" x14ac:dyDescent="0.25">
      <c r="B9"/>
    </row>
    <row r="10" spans="1:18" outlineLevel="1" x14ac:dyDescent="0.25">
      <c r="B10"/>
    </row>
    <row r="11" spans="1:18" outlineLevel="1" x14ac:dyDescent="0.25">
      <c r="B11"/>
    </row>
    <row r="12" spans="1:18" outlineLevel="1" x14ac:dyDescent="0.25">
      <c r="B12"/>
    </row>
    <row r="13" spans="1:18" outlineLevel="1" x14ac:dyDescent="0.25">
      <c r="B13"/>
    </row>
    <row r="14" spans="1:18" outlineLevel="1" x14ac:dyDescent="0.25">
      <c r="B14"/>
    </row>
    <row r="15" spans="1:18" outlineLevel="1" x14ac:dyDescent="0.25">
      <c r="B15"/>
    </row>
    <row r="16" spans="1:18" outlineLevel="1" x14ac:dyDescent="0.25">
      <c r="B16"/>
    </row>
    <row r="17" spans="2:4" outlineLevel="1" x14ac:dyDescent="0.25">
      <c r="B17"/>
    </row>
    <row r="18" spans="2:4" outlineLevel="1" x14ac:dyDescent="0.25">
      <c r="B18"/>
    </row>
    <row r="19" spans="2:4" outlineLevel="1" x14ac:dyDescent="0.25">
      <c r="B19"/>
    </row>
    <row r="20" spans="2:4" outlineLevel="1" x14ac:dyDescent="0.25">
      <c r="B20"/>
    </row>
    <row r="21" spans="2:4" outlineLevel="1" x14ac:dyDescent="0.25">
      <c r="B21"/>
    </row>
    <row r="22" spans="2:4" outlineLevel="1" x14ac:dyDescent="0.25">
      <c r="B22"/>
    </row>
    <row r="23" spans="2:4" outlineLevel="1" x14ac:dyDescent="0.25">
      <c r="B23"/>
    </row>
    <row r="24" spans="2:4" outlineLevel="1" x14ac:dyDescent="0.25">
      <c r="B24"/>
    </row>
    <row r="25" spans="2:4" outlineLevel="1" x14ac:dyDescent="0.25">
      <c r="B25"/>
    </row>
    <row r="26" spans="2:4" outlineLevel="1" x14ac:dyDescent="0.25">
      <c r="B26"/>
    </row>
    <row r="27" spans="2:4" outlineLevel="1" x14ac:dyDescent="0.25">
      <c r="B27"/>
    </row>
    <row r="28" spans="2:4" outlineLevel="1" x14ac:dyDescent="0.25">
      <c r="B28"/>
    </row>
    <row r="29" spans="2:4" outlineLevel="1" x14ac:dyDescent="0.25">
      <c r="B29"/>
    </row>
    <row r="30" spans="2:4" outlineLevel="1" x14ac:dyDescent="0.25">
      <c r="B30"/>
    </row>
    <row r="31" spans="2:4" ht="15.75" outlineLevel="1" x14ac:dyDescent="0.25">
      <c r="B31"/>
      <c r="C31" s="42" t="s">
        <v>378</v>
      </c>
      <c r="D31" s="104" t="s">
        <v>374</v>
      </c>
    </row>
    <row r="32" spans="2:4" outlineLevel="1" x14ac:dyDescent="0.25">
      <c r="B32"/>
    </row>
    <row r="33" spans="1:22" ht="15.75" outlineLevel="1" x14ac:dyDescent="0.25">
      <c r="B33"/>
      <c r="C33" s="42" t="s">
        <v>377</v>
      </c>
      <c r="D33" s="42" t="s">
        <v>128</v>
      </c>
      <c r="E33" s="42" t="s">
        <v>121</v>
      </c>
      <c r="F33" s="42" t="s">
        <v>106</v>
      </c>
      <c r="G33" s="42" t="s">
        <v>151</v>
      </c>
      <c r="H33" s="42" t="s">
        <v>273</v>
      </c>
      <c r="I33" s="42" t="s">
        <v>202</v>
      </c>
      <c r="J33" s="42" t="s">
        <v>277</v>
      </c>
      <c r="K33" s="42" t="s">
        <v>375</v>
      </c>
    </row>
    <row r="34" spans="1:22" ht="15.75" outlineLevel="1" x14ac:dyDescent="0.25">
      <c r="B34"/>
      <c r="C34" s="82" t="str">
        <f>$L$44</f>
        <v>VDO 2022 - Final</v>
      </c>
      <c r="D34" s="105">
        <f>INDEX(CostStackCalcs_RES_2[[Ausnet]:[Average]],MATCH(D$33,CostStackCalcs_RES_2[Labels],0),MATCH($D$31,CostStackCalcs_RES_2[[#Headers],[Ausnet]:[Average]],0))</f>
        <v>303.14242733766685</v>
      </c>
      <c r="E34" s="105">
        <f>INDEX(CostStackCalcs_RES_2[[Ausnet]:[Average]],MATCH(E$33,CostStackCalcs_RES_2[[Labels]:[Labels]],0),MATCH($D$31,CostStackCalcs_RES_2[[#Headers],[Ausnet]:[Average]],0))+
IF(INDEX(CostStackCalcs_RES_2[[Ausnet]:[Average]],MATCH("Network true up",CostStackCalcs_RES_2[[Labels]:[Labels]],0),MATCH($D$31,CostStackCalcs_RES_2[[#Headers],[Ausnet]:[Average]],0))="-",0,
INDEX(CostStackCalcs_RES_2[[Ausnet]:[Average]],MATCH("Network true up",CostStackCalcs_RES_2[[Labels]:[Labels]],0),MATCH($D$31,CostStackCalcs_RES_2[[#Headers],[Ausnet]:[Average]],0)))</f>
        <v>523.31517955598554</v>
      </c>
      <c r="F34" s="105">
        <f>INDEX(CostStackCalcs_RES_2[[Ausnet]:[Average]],MATCH(F$33,CostStackCalcs_RES_2[[Labels]:[Labels]],0),MATCH($D$31,CostStackCalcs_RES_2[[#Headers],[Ausnet]:[Average]],0))</f>
        <v>181.37562065040649</v>
      </c>
      <c r="G34" s="105">
        <f>INDEX(CostStackCalcs_RES_2[[Ausnet]:[Average]],MATCH("Environmental schemes",CostStackCalcs_RES_2[[Labels]:[Labels]],0),MATCH($D$31,CostStackCalcs_RES_2[[#Headers],[Ausnet]:[Average]],0))+
INDEX(CostStackCalcs_RES_2[[Ausnet]:[Average]],MATCH("FiT",CostStackCalcs_RES_2[[Labels]:[Labels]],0),MATCH($D$31,CostStackCalcs_RES_2[[#Headers],[Ausnet]:[Average]],0))+
IF(INDEX(CostStackCalcs_RES_2[[Ausnet]:[Average]],MATCH("Environmental true up",CostStackCalcs_RES_2[[Labels]:[Labels]],0),MATCH($D$31,CostStackCalcs_RES_2[[#Headers],[Ausnet]:[Average]],0))="-",0,
INDEX(CostStackCalcs_RES_2[[Ausnet]:[Average]],MATCH("Environmental true up",CostStackCalcs_RES_2[[Labels]:[Labels]],0),MATCH($D$31,CostStackCalcs_RES_2[[#Headers],[Ausnet]:[Average]],0)))</f>
        <v>138.33283035239262</v>
      </c>
      <c r="H34" s="105">
        <f>INDEX(CostStackCalcs_RES_2[[Ausnet]:[Average]],MATCH(H$33,CostStackCalcs_RES_2[[Labels]:[Labels]],0),MATCH($D$31,CostStackCalcs_RES_2[[#Headers],[Ausnet]:[Average]],0))</f>
        <v>7.8241710885950742</v>
      </c>
      <c r="I34" s="105">
        <f>INDEX(CostStackCalcs_RES_2[[Ausnet]:[Average]],MATCH(I$33,CostStackCalcs_RES_2[[Labels]:[Labels]],0),MATCH($D$31,CostStackCalcs_RES_2[[#Headers],[Ausnet]:[Average]],0))</f>
        <v>68.154132580602891</v>
      </c>
      <c r="J34" s="105">
        <f>INDEX(CostStackCalcs_RES_2[[Ausnet]:[Average]],MATCH(J$33,CostStackCalcs_RES_2[[Labels]:[Labels]],0),MATCH($D$31,CostStackCalcs_RES_2[[#Headers],[Ausnet]:[Average]],0))</f>
        <v>119.65338110674058</v>
      </c>
      <c r="K34" s="105">
        <f>INDEX(CostStackCalcs_RES_2[[Ausnet]:[Average]],MATCH(K$33,CostStackCalcs_RES_2[[Labels]:[Labels]],0),MATCH($D$31,CostStackCalcs_RES_2[[#Headers],[Ausnet]:[Average]],0))</f>
        <v>1342</v>
      </c>
      <c r="M34" s="24">
        <f>IF(OR(ROUNDUP(SUM(D34:J34),0)-K34&lt;1,ROUNDUP(SUM(D34:J34),0)-K34&gt;-1),0,1)</f>
        <v>0</v>
      </c>
      <c r="O34" s="302"/>
    </row>
    <row r="35" spans="1:22" ht="15.75" outlineLevel="1" x14ac:dyDescent="0.25">
      <c r="B35"/>
      <c r="C35" s="82" t="str">
        <f>$D$44</f>
        <v>VDO 2022-23 - Draft</v>
      </c>
      <c r="D35" s="105">
        <f>INDEX(CostStackCalcs_RES_1[[Ausnet]:[Average]],MATCH(D$33,CostStackCalcs_RES_1[[Labels]:[Labels]],0),MATCH($D$31,CostStackCalcs_RES_1[[#Headers],[Ausnet]:[Average]],0))</f>
        <v>320.29563936154312</v>
      </c>
      <c r="E35" s="105">
        <f>INDEX(CostStackCalcs_RES_1[[Ausnet]:[Average]],MATCH(E$33,CostStackCalcs_RES_1[[Labels]:[Labels]],0),MATCH($D$31,CostStackCalcs_RES_1[[#Headers],[Ausnet]:[Average]],0))+
IF(INDEX(CostStackCalcs_RES_1[[Ausnet]:[Average]],MATCH("Network true up",CostStackCalcs_RES_1[[Labels]:[Labels]],0),MATCH($D$31,CostStackCalcs_RES_1[[#Headers],[Ausnet]:[Average]],0))="-",0,
INDEX(CostStackCalcs_RES_1[[Ausnet]:[Average]],MATCH("Network true up",CostStackCalcs_RES_1[[Labels]:[Labels]],0),MATCH($D$31,CostStackCalcs_RES_1[[#Headers],[Ausnet]:[Average]],0)))</f>
        <v>514.02990616527063</v>
      </c>
      <c r="F35" s="105">
        <f>INDEX(CostStackCalcs_RES_1[[Ausnet]:[Average]],MATCH(F$33,CostStackCalcs_RES_1[[Labels]:[Labels]],0),MATCH($D$31,CostStackCalcs_RES_1[[#Headers],[Ausnet]:[Average]],0))</f>
        <v>183.65511994063746</v>
      </c>
      <c r="G35" s="105">
        <f>INDEX(CostStackCalcs_RES_1[[Ausnet]:[Average]],MATCH("Environmental schemes",CostStackCalcs_RES_1[[Labels]:[Labels]],0),MATCH($D$31,CostStackCalcs_RES_1[[#Headers],[Ausnet]:[Average]],0))+
INDEX(CostStackCalcs_RES_1[[Ausnet]:[Average]],MATCH("FiT",CostStackCalcs_RES_1[[Labels]:[Labels]],0),MATCH($D$31,CostStackCalcs_RES_1[[#Headers],[Ausnet]:[Average]],0))+
IF(INDEX(CostStackCalcs_RES_1[[Ausnet]:[Average]],MATCH("Environmental true up",CostStackCalcs_RES_1[[Labels]:[Labels]],0),MATCH($D$31,CostStackCalcs_RES_1[[#Headers],[Ausnet]:[Average]],0))="-",0,
INDEX(CostStackCalcs_RES_1[[Ausnet]:[Average]],MATCH("Environmental true up",CostStackCalcs_RES_1[[Labels]:[Labels]],0),MATCH($D$31,CostStackCalcs_RES_1[[#Headers],[Ausnet]:[Average]],0)))</f>
        <v>141.07003381698956</v>
      </c>
      <c r="H35" s="105">
        <f>INDEX(CostStackCalcs_RES_1[[Ausnet]:[Average]],MATCH(H$33,CostStackCalcs_RES_1[[Labels]:[Labels]],0),MATCH($D$31,CostStackCalcs_RES_1[[#Headers],[Ausnet]:[Average]],0))</f>
        <v>8.031762355574493</v>
      </c>
      <c r="I35" s="105">
        <f>INDEX(CostStackCalcs_RES_1[[Ausnet]:[Average]],MATCH(I$33,CostStackCalcs_RES_1[[Labels]:[Labels]],0),MATCH($D$31,CostStackCalcs_RES_1[[#Headers],[Ausnet]:[Average]],0))</f>
        <v>70.28357590345523</v>
      </c>
      <c r="J35" s="105">
        <f>INDEX(CostStackCalcs_RES_1[[Ausnet]:[Average]],MATCH(J$33,CostStackCalcs_RES_1[[Labels]:[Labels]],0),MATCH($D$31,CostStackCalcs_RES_1[[#Headers],[Ausnet]:[Average]],0))</f>
        <v>123.39189385434425</v>
      </c>
      <c r="K35" s="105">
        <f>INDEX(CostStackCalcs_RES_1[[Ausnet]:[Average]],MATCH(K$33,CostStackCalcs_RES_1[[Labels]:[Labels]],0),MATCH($D$31,CostStackCalcs_RES_1[[#Headers],[Ausnet]:[Average]],0))</f>
        <v>1361</v>
      </c>
      <c r="M35" s="24">
        <f>IF(OR(ROUNDUP(SUM(D35:J35),0)-K35&lt;1,ROUNDUP(SUM(D35:J35),0)-K35&gt;-1),0,1)</f>
        <v>0</v>
      </c>
      <c r="O35" s="302"/>
    </row>
    <row r="36" spans="1:22" outlineLevel="1" x14ac:dyDescent="0.25">
      <c r="B36"/>
    </row>
    <row r="37" spans="1:22" outlineLevel="1" x14ac:dyDescent="0.25">
      <c r="B37"/>
      <c r="C37" s="82" t="str">
        <f>$L$44</f>
        <v>VDO 2022 - Final</v>
      </c>
      <c r="D37" s="118">
        <f>D34/$K34</f>
        <v>0.22588854496100361</v>
      </c>
      <c r="E37" s="118">
        <f t="shared" ref="E37:K38" si="0">E34/$K34</f>
        <v>0.38995169862592066</v>
      </c>
      <c r="F37" s="118">
        <f t="shared" si="0"/>
        <v>0.13515321956066056</v>
      </c>
      <c r="G37" s="118">
        <f t="shared" si="0"/>
        <v>0.10307960532965173</v>
      </c>
      <c r="H37" s="118">
        <f t="shared" si="0"/>
        <v>5.8302318096833637E-3</v>
      </c>
      <c r="I37" s="118">
        <f t="shared" si="0"/>
        <v>5.0785493726231659E-2</v>
      </c>
      <c r="J37" s="118">
        <f t="shared" si="0"/>
        <v>8.9160492627973612E-2</v>
      </c>
      <c r="K37" s="118">
        <f t="shared" si="0"/>
        <v>1</v>
      </c>
    </row>
    <row r="38" spans="1:22" outlineLevel="1" x14ac:dyDescent="0.25">
      <c r="B38"/>
      <c r="C38" s="82" t="str">
        <f>$D$44</f>
        <v>VDO 2022-23 - Draft</v>
      </c>
      <c r="D38" s="118">
        <f>D35/$K35</f>
        <v>0.23533845654779068</v>
      </c>
      <c r="E38" s="118">
        <f>E35/$K35</f>
        <v>0.3776854564035787</v>
      </c>
      <c r="F38" s="118">
        <f t="shared" si="0"/>
        <v>0.13494130781824942</v>
      </c>
      <c r="G38" s="118">
        <f>G35/$K35</f>
        <v>0.10365175151872856</v>
      </c>
      <c r="H38" s="118">
        <f t="shared" si="0"/>
        <v>5.9013683729423165E-3</v>
      </c>
      <c r="I38" s="118">
        <f t="shared" si="0"/>
        <v>5.1641128510988413E-2</v>
      </c>
      <c r="J38" s="118">
        <f t="shared" si="0"/>
        <v>9.0662669988496869E-2</v>
      </c>
      <c r="K38" s="118">
        <f t="shared" si="0"/>
        <v>1</v>
      </c>
    </row>
    <row r="39" spans="1:22" ht="15.75" outlineLevel="1" x14ac:dyDescent="0.25">
      <c r="B39"/>
      <c r="C39" s="29" t="s">
        <v>743</v>
      </c>
      <c r="D39" s="118">
        <f>(D35-D34)/D34</f>
        <v>5.6584662775591994E-2</v>
      </c>
      <c r="E39" s="118">
        <f t="shared" ref="E39:K39" si="1">(E35-E34)/E34</f>
        <v>-1.7743176107738998E-2</v>
      </c>
      <c r="F39" s="118">
        <f t="shared" si="1"/>
        <v>1.2567837298401902E-2</v>
      </c>
      <c r="G39" s="118">
        <f>(G35-G34)/G34</f>
        <v>1.9787084943061761E-2</v>
      </c>
      <c r="H39" s="118">
        <f t="shared" si="1"/>
        <v>2.6532045967401569E-2</v>
      </c>
      <c r="I39" s="118">
        <f t="shared" si="1"/>
        <v>3.1244522411519801E-2</v>
      </c>
      <c r="J39" s="118">
        <f t="shared" si="1"/>
        <v>3.1244522411519704E-2</v>
      </c>
      <c r="K39" s="118">
        <f t="shared" si="1"/>
        <v>1.4157973174366617E-2</v>
      </c>
    </row>
    <row r="40" spans="1:22" outlineLevel="1" x14ac:dyDescent="0.25">
      <c r="B40"/>
      <c r="D40" s="118"/>
    </row>
    <row r="41" spans="1:22" x14ac:dyDescent="0.25">
      <c r="B41"/>
      <c r="K41" s="121">
        <f>K35-K34</f>
        <v>19</v>
      </c>
      <c r="L41" s="122">
        <f>(K35-K34)/K34</f>
        <v>1.4157973174366617E-2</v>
      </c>
    </row>
    <row r="42" spans="1:22" ht="16.5" thickBot="1" x14ac:dyDescent="0.3">
      <c r="A42" s="1" t="s">
        <v>23</v>
      </c>
      <c r="B42" s="9">
        <f ca="1">MAX(B$3:B36)+0.1</f>
        <v>18.200000000000003</v>
      </c>
      <c r="C42" s="28" t="str">
        <f>"VDO cost stack calcs - Flat VDO - "&amp;IF(ISNUMBER(SEARCH("Residential",$C$47)),"Residential","Small business")</f>
        <v>VDO cost stack calcs - Flat VDO - Residential</v>
      </c>
      <c r="D42" s="28"/>
      <c r="E42" s="28"/>
      <c r="F42" s="28"/>
      <c r="G42" s="28"/>
      <c r="H42" s="28"/>
      <c r="I42" s="28"/>
      <c r="J42" s="28"/>
      <c r="K42" s="28"/>
      <c r="L42" s="28"/>
      <c r="M42" s="28"/>
      <c r="N42" s="28"/>
      <c r="O42" s="28"/>
      <c r="P42" s="28"/>
      <c r="Q42" s="28"/>
      <c r="R42" s="28"/>
    </row>
    <row r="43" spans="1:22" outlineLevel="1" x14ac:dyDescent="0.25">
      <c r="V43" s="118"/>
    </row>
    <row r="44" spans="1:22" ht="15.75" outlineLevel="1" x14ac:dyDescent="0.25">
      <c r="C44" s="54" t="s">
        <v>101</v>
      </c>
      <c r="D44" s="41" t="str">
        <f>Calc_Rates!$D$5</f>
        <v>VDO 2022-23 - Draft</v>
      </c>
      <c r="F44" s="54" t="s">
        <v>554</v>
      </c>
      <c r="G44" s="82" t="str">
        <f>INDEX(Inputs!$H$10:$U$10,1,MATCH($D$44,Inputs!$H$8:$U$8,0))</f>
        <v>D-NextVDO_Input</v>
      </c>
      <c r="H44" s="227" t="str">
        <f>INDEX(Input_TUNet_Dates[[F-PreviousVDO_Input]:[F-NextVDO_Input]],MATCH(F44,Input_TUNet_Dates[Item],0),MATCH(G44,Input_TUNet_Dates[[#Headers],[F-PreviousVDO_Input]:[F-NextVDO_Input]],0))</f>
        <v>-</v>
      </c>
      <c r="K44" s="54" t="s">
        <v>101</v>
      </c>
      <c r="L44" s="41" t="str">
        <f>Calc_Rates!$D$254</f>
        <v>VDO 2022 - Final</v>
      </c>
      <c r="N44" s="54" t="s">
        <v>554</v>
      </c>
      <c r="O44" s="82" t="str">
        <f>INDEX(Inputs!$H$10:$Q$10,1,MATCH($L$44,Inputs!$H$8:$Q$8,0))</f>
        <v>F-CurrentVDO_Input</v>
      </c>
      <c r="P44" s="227">
        <f>INDEX(Input_TUNet_Dates[[F-PreviousVDO_Input]:[F-NextVDO_Input]],MATCH(N44,Input_TUNet_Dates[Item],0),MATCH(O44,Input_TUNet_Dates[[#Headers],[F-PreviousVDO_Input]:[F-NextVDO_Input]],0))</f>
        <v>44562</v>
      </c>
    </row>
    <row r="45" spans="1:22" ht="15.75" outlineLevel="1" x14ac:dyDescent="0.25">
      <c r="C45" s="29"/>
      <c r="F45" s="54" t="s">
        <v>555</v>
      </c>
      <c r="G45" s="82" t="str">
        <f>INDEX(Inputs!$H$10:$U$10,1,MATCH($D$44,Inputs!$H$8:$U$8,0))</f>
        <v>D-NextVDO_Input</v>
      </c>
      <c r="H45" s="227" t="str">
        <f>INDEX(Input_TUNet_Dates[[F-PreviousVDO_Input]:[F-NextVDO_Input]],MATCH(F45,Input_TUNet_Dates[Item],0),MATCH(G45,Input_TUNet_Dates[[#Headers],[F-PreviousVDO_Input]:[F-NextVDO_Input]],0))</f>
        <v>-</v>
      </c>
      <c r="K45" s="29"/>
      <c r="N45" s="54" t="s">
        <v>555</v>
      </c>
      <c r="O45" s="82" t="str">
        <f>INDEX(Inputs!$H$10:$Q$10,1,MATCH($L$44,Inputs!$H$8:$Q$8,0))</f>
        <v>F-CurrentVDO_Input</v>
      </c>
      <c r="P45" s="227">
        <f>INDEX(Input_TUNet_Dates[[F-PreviousVDO_Input]:[F-NextVDO_Input]],MATCH(N45,Input_TUNet_Dates[Item],0),MATCH(O45,Input_TUNet_Dates[[#Headers],[F-PreviousVDO_Input]:[F-NextVDO_Input]],0))</f>
        <v>44742</v>
      </c>
    </row>
    <row r="46" spans="1:22" ht="15.75" outlineLevel="1" x14ac:dyDescent="0.25">
      <c r="C46" s="42" t="s">
        <v>90</v>
      </c>
      <c r="D46" s="50" t="s">
        <v>334</v>
      </c>
      <c r="F46" s="29"/>
      <c r="K46" s="42" t="s">
        <v>90</v>
      </c>
      <c r="L46" s="50" t="s">
        <v>334</v>
      </c>
      <c r="N46" s="29"/>
    </row>
    <row r="47" spans="1:22" ht="15.75" outlineLevel="1" x14ac:dyDescent="0.25">
      <c r="C47" s="23" t="s">
        <v>223</v>
      </c>
      <c r="D47" s="76">
        <f>INDEX(Input_Usage[[F-PreviousVDO_Input]:[F-NextVDO_Input]],MATCH(C47&amp;" - Annual",Input_Usage[Ref],0),MATCH($D$44,Inputs!$I$134:$O$134,0))</f>
        <v>4000</v>
      </c>
      <c r="F47" s="54" t="s">
        <v>643</v>
      </c>
      <c r="H47" s="284" t="str">
        <f>IFERROR(_xlfn.DAYS(H45,H44)+1,"-")</f>
        <v>-</v>
      </c>
      <c r="K47" s="82" t="str">
        <f>$C$47</f>
        <v>Residential - medium</v>
      </c>
      <c r="L47" s="76">
        <f>INDEX(Input_Usage[[F-PreviousVDO_Input]:[F-NextVDO_Input]],MATCH(CH_CostStack_RES!K47&amp;" - Annual",Input_Usage[Ref],0),MATCH(CH_CostStack_RES!$L$44,Inputs!$I$134:$O$134,0))</f>
        <v>4000</v>
      </c>
      <c r="N47" s="54" t="s">
        <v>643</v>
      </c>
      <c r="P47" s="284">
        <f>IFERROR(_xlfn.DAYS(P45,P44)+1,"-")</f>
        <v>181</v>
      </c>
    </row>
    <row r="48" spans="1:22" ht="15.75" outlineLevel="1" x14ac:dyDescent="0.25">
      <c r="C48" s="29"/>
      <c r="K48" s="29"/>
    </row>
    <row r="49" spans="3:24" ht="15.75" outlineLevel="1" x14ac:dyDescent="0.25">
      <c r="C49" s="42" t="s">
        <v>221</v>
      </c>
      <c r="D49" s="76">
        <f>INDEX(Input_Usage[[F-PreviousVDO_Input]:[F-NextVDO_Input]],MATCH(CH_CostStack_RES!$C$47&amp;" - "&amp;CH_CostStack_RES!$C49,Input_Usage[Ref],0),MATCH(CH_CostStack_RES!$D$44,Inputs!$I$134:$O$134,0))</f>
        <v>4000</v>
      </c>
      <c r="F49" s="54" t="s">
        <v>756</v>
      </c>
      <c r="G49" t="s">
        <v>587</v>
      </c>
      <c r="H49" s="82" t="str">
        <f>INDEX(Input_DecisionActual[Decision],MATCH(H50,Input_DecisionActual[Actual],0),1)</f>
        <v>VDO 2022 - Final</v>
      </c>
      <c r="I49" s="76">
        <f>INDEX(Input_TU_Periods[[F-PreviousVDO_Input]:[F-NextVDO_Input]],1,MATCH(H49,Inputs!$F$238:$J$238,0))</f>
        <v>181</v>
      </c>
      <c r="K49" s="42" t="s">
        <v>221</v>
      </c>
      <c r="L49" s="76">
        <f>INDEX(Input_Usage[[F-PreviousVDO_Input]:[F-NextVDO_Input]],MATCH(CH_CostStack_RES!$K$47&amp;" - "&amp;CH_CostStack_RES!$K49,Input_Usage[Ref],0),MATCH(CH_CostStack_RES!$L$44,Inputs!$I$134:$O$134,0))</f>
        <v>4000</v>
      </c>
      <c r="N49" s="54" t="s">
        <v>756</v>
      </c>
      <c r="O49" t="s">
        <v>587</v>
      </c>
      <c r="P49" s="82" t="str">
        <f>INDEX(Input_DecisionActual[Decision],MATCH(P50,Input_DecisionActual[Actual],0),1)</f>
        <v>VDO 2021 - Final</v>
      </c>
      <c r="Q49" s="76">
        <f>INDEX(Input_TU_Periods[[F-PreviousVDO_Input]:[F-NextVDO_Input]],1,MATCH(P49,Inputs!$F$238:$J$238,0))</f>
        <v>365</v>
      </c>
    </row>
    <row r="50" spans="3:24" ht="15.75" outlineLevel="1" x14ac:dyDescent="0.25">
      <c r="C50" s="42" t="s">
        <v>228</v>
      </c>
      <c r="D50" s="76">
        <f>INDEX(Input_Usage[[F-PreviousVDO_Input]:[F-NextVDO_Input]],MATCH(CH_CostStack_RES!$C$47&amp;" - "&amp;CH_CostStack_RES!$C50,Input_Usage[Ref],0),MATCH(CH_CostStack_RES!$D$44,Inputs!$I$134:$O$134,0))</f>
        <v>0</v>
      </c>
      <c r="F50" s="54" t="s">
        <v>756</v>
      </c>
      <c r="G50" t="s">
        <v>586</v>
      </c>
      <c r="H50" s="82" t="str">
        <f>D44</f>
        <v>VDO 2022-23 - Draft</v>
      </c>
      <c r="I50" s="76">
        <f>INDEX(Input_TU_Periods[[F-PreviousVDO_Input]:[F-NextVDO_Input]],1,MATCH(H50,Inputs!$F$238:$L$238,0))</f>
        <v>365</v>
      </c>
      <c r="K50" s="42" t="s">
        <v>228</v>
      </c>
      <c r="L50" s="76">
        <f>INDEX(Input_Usage[[F-PreviousVDO_Input]:[F-NextVDO_Input]],MATCH(CH_CostStack_RES!$K$47&amp;" - "&amp;CH_CostStack_RES!$K50,Input_Usage[Ref],0),MATCH(CH_CostStack_RES!$L$44,Inputs!$I$134:$O$134,0))</f>
        <v>0</v>
      </c>
      <c r="N50" s="54" t="s">
        <v>756</v>
      </c>
      <c r="O50" t="s">
        <v>586</v>
      </c>
      <c r="P50" s="82" t="str">
        <f>L44</f>
        <v>VDO 2022 - Final</v>
      </c>
      <c r="Q50" s="76">
        <f>INDEX(Input_TU_Periods[[F-PreviousVDO_Input]:[F-NextVDO_Input]],1,MATCH(P50,Inputs!$F$238:$L$238,0))</f>
        <v>181</v>
      </c>
    </row>
    <row r="51" spans="3:24" ht="15.75" outlineLevel="1" x14ac:dyDescent="0.25">
      <c r="C51" s="29"/>
      <c r="D51" s="113"/>
      <c r="F51" s="54" t="s">
        <v>755</v>
      </c>
      <c r="I51" s="299">
        <f>I49/I50</f>
        <v>0.49589041095890413</v>
      </c>
      <c r="K51" s="29"/>
      <c r="N51" s="54" t="s">
        <v>755</v>
      </c>
      <c r="Q51" s="299">
        <f>Q49/Q50</f>
        <v>2.0165745856353592</v>
      </c>
    </row>
    <row r="52" spans="3:24" ht="15.75" outlineLevel="1" x14ac:dyDescent="0.25">
      <c r="C52" s="29"/>
      <c r="D52" s="113"/>
      <c r="K52" s="29"/>
    </row>
    <row r="53" spans="3:24" ht="15.75" outlineLevel="1" x14ac:dyDescent="0.25">
      <c r="C53" s="43" t="s">
        <v>335</v>
      </c>
      <c r="D53" s="60" t="s">
        <v>268</v>
      </c>
      <c r="E53" s="60" t="s">
        <v>269</v>
      </c>
      <c r="F53" s="60" t="s">
        <v>270</v>
      </c>
      <c r="G53" s="60" t="s">
        <v>271</v>
      </c>
      <c r="H53" s="60" t="s">
        <v>272</v>
      </c>
      <c r="I53" s="60" t="s">
        <v>374</v>
      </c>
      <c r="K53" s="43" t="s">
        <v>335</v>
      </c>
      <c r="L53" s="60" t="s">
        <v>268</v>
      </c>
      <c r="M53" s="60" t="s">
        <v>269</v>
      </c>
      <c r="N53" s="60" t="s">
        <v>270</v>
      </c>
      <c r="O53" s="60" t="s">
        <v>271</v>
      </c>
      <c r="P53" s="60" t="s">
        <v>272</v>
      </c>
      <c r="Q53" s="60" t="s">
        <v>374</v>
      </c>
      <c r="U53" s="281" t="s">
        <v>717</v>
      </c>
      <c r="V53" t="s">
        <v>682</v>
      </c>
    </row>
    <row r="54" spans="3:24" outlineLevel="1" x14ac:dyDescent="0.25">
      <c r="C54" s="23" t="s">
        <v>128</v>
      </c>
      <c r="D54" s="102">
        <f>D$87*($D$47*(1+D$73))</f>
        <v>332.81691009311697</v>
      </c>
      <c r="E54" s="102">
        <f>E$87*($D$47*(1+E$73))</f>
        <v>297.35759900000005</v>
      </c>
      <c r="F54" s="102">
        <f>F$87*($D$47*(1+F$73))</f>
        <v>324.52927477600002</v>
      </c>
      <c r="G54" s="102">
        <f>G$87*($D$47*(1+G$73))</f>
        <v>323.12986571768971</v>
      </c>
      <c r="H54" s="102">
        <f>H$87*($D$47*(1+H$73))</f>
        <v>323.64454722090915</v>
      </c>
      <c r="I54" s="103">
        <f>AVERAGE(D54:H54)</f>
        <v>320.29563936154312</v>
      </c>
      <c r="K54" s="23" t="s">
        <v>128</v>
      </c>
      <c r="L54" s="102">
        <f>L$87*($L$47*(1+L$73))</f>
        <v>309.54390613097502</v>
      </c>
      <c r="M54" s="102">
        <f>M$87*($L$47*(1+M$73))</f>
        <v>285.3291802666667</v>
      </c>
      <c r="N54" s="102">
        <f>N$87*($L$47*(1+N$73))</f>
        <v>308.31114940500004</v>
      </c>
      <c r="O54" s="102">
        <f>O$87*($L$47*(1+O$73))</f>
        <v>300.28489709751079</v>
      </c>
      <c r="P54" s="102">
        <f>P$87*($L$47*(1+P$73))</f>
        <v>312.2430037881818</v>
      </c>
      <c r="Q54" s="103">
        <f>AVERAGE(L54:P54)</f>
        <v>303.14242733766685</v>
      </c>
      <c r="U54" s="282">
        <f>CostStackCalcs_RES_2[[#This Row],[Average]]/Q$65</f>
        <v>0.22585488551457819</v>
      </c>
      <c r="V54" s="280">
        <f>CostStackCalcs_RES_2[[#This Row],[Average]]/CostStackCalcs_RES_1[[#This Row],[Average]]-1</f>
        <v>-5.3554310193134058E-2</v>
      </c>
    </row>
    <row r="55" spans="3:24" outlineLevel="1" x14ac:dyDescent="0.25">
      <c r="C55" s="23" t="s">
        <v>121</v>
      </c>
      <c r="D55" s="102">
        <f>D$78+(D$92*$D$49)+(D$93*$D$50)+(D$94*$D$47)</f>
        <v>642.02383637904222</v>
      </c>
      <c r="E55" s="102">
        <f>E$78+(E$92*$D$49)+(E$93*$D$50)+(E$94*$D$47)</f>
        <v>474.52268808839034</v>
      </c>
      <c r="F55" s="102">
        <f>F$78+(F$92*$D$49)+(F$93*$D$50)+(F$94*$D$47)</f>
        <v>484.8186536892498</v>
      </c>
      <c r="G55" s="102">
        <f>G$78+(G$92*$D$49)+(G$93*$D$50)+(G$94*$D$47)</f>
        <v>525.36829463145432</v>
      </c>
      <c r="H55" s="102">
        <f>H$78+(H$92*$D$49)+(H$93*$D$50)+(H$94*$D$47)</f>
        <v>443.41605803821687</v>
      </c>
      <c r="I55" s="103">
        <f t="shared" ref="I55:I61" si="2">AVERAGE(D55:H55)</f>
        <v>514.02990616527063</v>
      </c>
      <c r="K55" s="23" t="s">
        <v>121</v>
      </c>
      <c r="L55" s="102">
        <f>L$78+(L$92*$L$49)+(L$93*$L$50)+(L$94*$L$47)</f>
        <v>632.82200000000012</v>
      </c>
      <c r="M55" s="102">
        <f>M$78+(M$92*$L$49)+(M$93*$L$50)+(M$94*$L$47)</f>
        <v>471.40899999999999</v>
      </c>
      <c r="N55" s="102">
        <f>N$78+(N$92*$L$49)+(N$93*$L$50)+(N$94*$L$47)</f>
        <v>483.18600000000004</v>
      </c>
      <c r="O55" s="102">
        <f>O$78+(O$92*$L$49)+(O$93*$L$50)+(O$94*$L$47)</f>
        <v>523.97749999999996</v>
      </c>
      <c r="P55" s="102">
        <f>P$78+(P$92*$L$49)+(P$93*$L$50)+(P$94*$L$47)</f>
        <v>442.52800000000002</v>
      </c>
      <c r="Q55" s="103">
        <f t="shared" ref="Q55:Q63" si="3">AVERAGE(L55:P55)</f>
        <v>510.78450000000009</v>
      </c>
      <c r="T55" s="121"/>
      <c r="U55" s="282">
        <f>CostStackCalcs_RES_2[[#This Row],[Average]]/Q$65</f>
        <v>0.38055766651765766</v>
      </c>
      <c r="V55" s="280">
        <f>CostStackCalcs_RES_2[[#This Row],[Average]]/CostStackCalcs_RES_1[[#This Row],[Average]]-1</f>
        <v>-6.3136524282831896E-3</v>
      </c>
      <c r="X55" s="87"/>
    </row>
    <row r="56" spans="3:24" outlineLevel="1" x14ac:dyDescent="0.25">
      <c r="C56" s="23" t="s">
        <v>106</v>
      </c>
      <c r="D56" s="102">
        <f>D$76</f>
        <v>183.65511994063746</v>
      </c>
      <c r="E56" s="102">
        <f>E$76</f>
        <v>183.65511994063746</v>
      </c>
      <c r="F56" s="102">
        <f>F$76</f>
        <v>183.65511994063746</v>
      </c>
      <c r="G56" s="102">
        <f>G$76</f>
        <v>183.65511994063746</v>
      </c>
      <c r="H56" s="102">
        <f>H$76</f>
        <v>183.65511994063746</v>
      </c>
      <c r="I56" s="103">
        <f t="shared" si="2"/>
        <v>183.65511994063746</v>
      </c>
      <c r="K56" s="23" t="s">
        <v>106</v>
      </c>
      <c r="L56" s="102">
        <f>L$76</f>
        <v>181.37562065040649</v>
      </c>
      <c r="M56" s="102">
        <f>M$76</f>
        <v>181.37562065040649</v>
      </c>
      <c r="N56" s="102">
        <f>N$76</f>
        <v>181.37562065040649</v>
      </c>
      <c r="O56" s="102">
        <f>O$76</f>
        <v>181.37562065040649</v>
      </c>
      <c r="P56" s="102">
        <f>P$76</f>
        <v>181.37562065040649</v>
      </c>
      <c r="Q56" s="103">
        <f t="shared" si="3"/>
        <v>181.37562065040649</v>
      </c>
      <c r="U56" s="282">
        <f>CostStackCalcs_RES_2[[#This Row],[Average]]/Q$65</f>
        <v>0.13513308050246348</v>
      </c>
      <c r="V56" s="280">
        <f>CostStackCalcs_RES_2[[#This Row],[Average]]/CostStackCalcs_RES_1[[#This Row],[Average]]-1</f>
        <v>-1.2411847221943884E-2</v>
      </c>
      <c r="X56" s="87"/>
    </row>
    <row r="57" spans="3:24" outlineLevel="1" x14ac:dyDescent="0.25">
      <c r="C57" s="23" t="s">
        <v>679</v>
      </c>
      <c r="D57" s="102">
        <f>(D$85*($D$47*(1+D$73)))</f>
        <v>126.82957646447146</v>
      </c>
      <c r="E57" s="102">
        <f>(E$85*($D$47*(1+E$73)))</f>
        <v>123.10721470386177</v>
      </c>
      <c r="F57" s="102">
        <f>(F$85*($D$47*(1+F$73)))</f>
        <v>122.46385205997102</v>
      </c>
      <c r="G57" s="102">
        <f>(G$85*($D$47*(1+G$73)))</f>
        <v>125.89840286535785</v>
      </c>
      <c r="H57" s="102">
        <f>(H$85*($D$47*(1+H$73)))</f>
        <v>123.12652026603904</v>
      </c>
      <c r="I57" s="103">
        <f t="shared" si="2"/>
        <v>124.28511327194023</v>
      </c>
      <c r="K57" s="23" t="s">
        <v>679</v>
      </c>
      <c r="L57" s="102">
        <f>(L$85*($L$47*(1+L$73)))</f>
        <v>114.20635313207585</v>
      </c>
      <c r="M57" s="102">
        <f>(M$85*($L$47*(1+M$73)))</f>
        <v>110.85447438605942</v>
      </c>
      <c r="N57" s="102">
        <f>(N$85*($L$47*(1+N$73)))</f>
        <v>110.27514499501036</v>
      </c>
      <c r="O57" s="102">
        <f>(O$85*($L$47*(1+O$73)))</f>
        <v>113.36785832784992</v>
      </c>
      <c r="P57" s="102">
        <f>(P$85*($L$47*(1+P$73)))</f>
        <v>110.87185848457094</v>
      </c>
      <c r="Q57" s="103">
        <f>AVERAGE(L57:P57)</f>
        <v>111.91513786511329</v>
      </c>
      <c r="U57" s="282">
        <f>CostStackCalcs_RES_2[[#This Row],[Average]]/Q$65</f>
        <v>8.3381864003213596E-2</v>
      </c>
      <c r="V57" s="280">
        <f>CostStackCalcs_RES_2[[#This Row],[Average]]/CostStackCalcs_RES_1[[#This Row],[Average]]-1</f>
        <v>-9.9529019052836953E-2</v>
      </c>
      <c r="X57" s="87"/>
    </row>
    <row r="58" spans="3:24" outlineLevel="1" x14ac:dyDescent="0.25">
      <c r="C58" s="125" t="s">
        <v>675</v>
      </c>
      <c r="D58" s="248">
        <f>D82</f>
        <v>13.337821545021233</v>
      </c>
      <c r="E58" s="248">
        <f>E82</f>
        <v>13.337821545021233</v>
      </c>
      <c r="F58" s="248">
        <f>F82</f>
        <v>13.337821545021233</v>
      </c>
      <c r="G58" s="248">
        <f>G82</f>
        <v>13.337821545021233</v>
      </c>
      <c r="H58" s="248">
        <f>H82</f>
        <v>13.337821545021233</v>
      </c>
      <c r="I58" s="249">
        <f>AVERAGE(D58:H58)</f>
        <v>13.337821545021233</v>
      </c>
      <c r="K58" s="125" t="s">
        <v>675</v>
      </c>
      <c r="L58" s="248">
        <f>L82</f>
        <v>13.337821545021233</v>
      </c>
      <c r="M58" s="248">
        <f t="shared" ref="M58:P58" si="4">M82</f>
        <v>13.337821545021233</v>
      </c>
      <c r="N58" s="248">
        <f t="shared" si="4"/>
        <v>13.337821545021233</v>
      </c>
      <c r="O58" s="248">
        <f t="shared" si="4"/>
        <v>13.337821545021233</v>
      </c>
      <c r="P58" s="248">
        <f t="shared" si="4"/>
        <v>13.337821545021233</v>
      </c>
      <c r="Q58" s="249">
        <f>AVERAGE(L58:P58)</f>
        <v>13.337821545021233</v>
      </c>
      <c r="U58" s="282">
        <f>CostStackCalcs_RES_2[[#This Row],[Average]]/Q$65</f>
        <v>9.9372832253175631E-3</v>
      </c>
      <c r="V58" s="280">
        <f>CostStackCalcs_RES_2[[#This Row],[Average]]/CostStackCalcs_RES_1[[#This Row],[Average]]-1</f>
        <v>0</v>
      </c>
    </row>
    <row r="59" spans="3:24" outlineLevel="1" x14ac:dyDescent="0.25">
      <c r="C59" s="23" t="s">
        <v>273</v>
      </c>
      <c r="D59" s="102">
        <f>D$80+(D$89*($D$47*(1+D$73)))</f>
        <v>8.1104139645121869</v>
      </c>
      <c r="E59" s="102">
        <f>E$80+(E$89*($D$47*(1+E$73)))</f>
        <v>7.9953524684844748</v>
      </c>
      <c r="F59" s="102">
        <f>F$80+(F$89*($D$47*(1+F$73)))</f>
        <v>7.975465559834765</v>
      </c>
      <c r="G59" s="102">
        <f>G$80+(G$89*($D$47*(1+G$73)))</f>
        <v>8.0816305645457156</v>
      </c>
      <c r="H59" s="102">
        <f>H$80+(H$89*($D$47*(1+H$73)))</f>
        <v>7.9959492204953291</v>
      </c>
      <c r="I59" s="103">
        <f t="shared" si="2"/>
        <v>8.031762355574493</v>
      </c>
      <c r="K59" s="23" t="s">
        <v>273</v>
      </c>
      <c r="L59" s="102">
        <f>L$80+(L$89*($L$47*(1+L$73)))</f>
        <v>7.9000088300461737</v>
      </c>
      <c r="M59" s="102">
        <f>M$80+(M$89*($L$47*(1+M$73)))</f>
        <v>7.7890638143677391</v>
      </c>
      <c r="N59" s="102">
        <f>N$80+(N$89*($L$47*(1+N$73)))</f>
        <v>7.7698883867215862</v>
      </c>
      <c r="O59" s="102">
        <f>O$80+(O$89*($L$47*(1+O$73)))</f>
        <v>7.8722551950700606</v>
      </c>
      <c r="P59" s="102">
        <f>P$80+(P$89*($L$47*(1+P$73)))</f>
        <v>7.7896392167698121</v>
      </c>
      <c r="Q59" s="103">
        <f t="shared" si="3"/>
        <v>7.8241710885950742</v>
      </c>
      <c r="U59" s="282">
        <f>CostStackCalcs_RES_2[[#This Row],[Average]]/Q$65</f>
        <v>5.829363052149511E-3</v>
      </c>
      <c r="V59" s="280">
        <f>CostStackCalcs_RES_2[[#This Row],[Average]]/CostStackCalcs_RES_1[[#This Row],[Average]]-1</f>
        <v>-2.5846290986851539E-2</v>
      </c>
    </row>
    <row r="60" spans="3:24" outlineLevel="1" x14ac:dyDescent="0.25">
      <c r="C60" s="23" t="s">
        <v>202</v>
      </c>
      <c r="D60" s="102">
        <f>SUM(D54:D59)*D$71</f>
        <v>78.929130174562815</v>
      </c>
      <c r="E60" s="102">
        <f>SUM(E54:E59)*E$71</f>
        <v>66.438538063082262</v>
      </c>
      <c r="F60" s="102">
        <f>SUM(F54:F59)*F$71</f>
        <v>68.661523329271134</v>
      </c>
      <c r="G60" s="102">
        <f>SUM(G54:G59)*G$71</f>
        <v>71.240056569988255</v>
      </c>
      <c r="H60" s="102">
        <f>SUM(H54:H59)*H$71</f>
        <v>66.148631380371668</v>
      </c>
      <c r="I60" s="103">
        <f t="shared" si="2"/>
        <v>70.28357590345523</v>
      </c>
      <c r="K60" s="23" t="s">
        <v>202</v>
      </c>
      <c r="L60" s="102">
        <f>SUM(L54:L59)*L$71</f>
        <v>76.054816901426904</v>
      </c>
      <c r="M60" s="102">
        <f>SUM(M54:M59)*M$71</f>
        <v>64.633747704016287</v>
      </c>
      <c r="N60" s="102">
        <f>SUM(N54:N59)*N$71</f>
        <v>66.697039748922435</v>
      </c>
      <c r="O60" s="102">
        <f>SUM(O54:O59)*O$71</f>
        <v>68.869043550077848</v>
      </c>
      <c r="P60" s="102">
        <f>SUM(P54:P59)*P$71</f>
        <v>64.516014998570995</v>
      </c>
      <c r="Q60" s="103">
        <f t="shared" si="3"/>
        <v>68.154132580602891</v>
      </c>
      <c r="U60" s="282">
        <f>CostStackCalcs_RES_2[[#This Row],[Average]]/Q$65</f>
        <v>5.0777926226048938E-2</v>
      </c>
      <c r="V60" s="280">
        <f>CostStackCalcs_RES_2[[#This Row],[Average]]/CostStackCalcs_RES_1[[#This Row],[Average]]-1</f>
        <v>-3.0297879632326108E-2</v>
      </c>
    </row>
    <row r="61" spans="3:24" outlineLevel="1" x14ac:dyDescent="0.25">
      <c r="C61" s="23" t="s">
        <v>277</v>
      </c>
      <c r="D61" s="102">
        <f>SUM(D54:D60)*GST</f>
        <v>138.57028085613643</v>
      </c>
      <c r="E61" s="102">
        <f>SUM(E54:E60)*GST</f>
        <v>116.64143338094773</v>
      </c>
      <c r="F61" s="102">
        <f>SUM(F54:F60)*GST</f>
        <v>120.54417108999854</v>
      </c>
      <c r="G61" s="102">
        <f>SUM(G54:G60)*GST</f>
        <v>125.07111918346943</v>
      </c>
      <c r="H61" s="102">
        <f>SUM(H54:H60)*GST</f>
        <v>116.13246476116906</v>
      </c>
      <c r="I61" s="103">
        <f t="shared" si="2"/>
        <v>123.39189385434425</v>
      </c>
      <c r="K61" s="23" t="s">
        <v>277</v>
      </c>
      <c r="L61" s="102">
        <f>SUM(L54:L60)*GST</f>
        <v>133.52405271899519</v>
      </c>
      <c r="M61" s="102">
        <f>SUM(M54:M60)*GST</f>
        <v>113.47289083665376</v>
      </c>
      <c r="N61" s="102">
        <f>SUM(N54:N60)*GST</f>
        <v>117.09526647310821</v>
      </c>
      <c r="O61" s="102">
        <f>SUM(O54:O60)*GST</f>
        <v>120.90849963659362</v>
      </c>
      <c r="P61" s="102">
        <f>SUM(P54:P60)*GST</f>
        <v>113.26619586835214</v>
      </c>
      <c r="Q61" s="103">
        <f t="shared" si="3"/>
        <v>119.65338110674058</v>
      </c>
      <c r="U61" s="282">
        <f>CostStackCalcs_RES_2[[#This Row],[Average]]/Q$65</f>
        <v>8.9147206904142878E-2</v>
      </c>
      <c r="V61" s="280">
        <f>CostStackCalcs_RES_2[[#This Row],[Average]]/CostStackCalcs_RES_1[[#This Row],[Average]]-1</f>
        <v>-3.0297879632325997E-2</v>
      </c>
    </row>
    <row r="62" spans="3:24" outlineLevel="1" x14ac:dyDescent="0.25">
      <c r="C62" s="23" t="s">
        <v>621</v>
      </c>
      <c r="D62" s="137" t="str">
        <f>IFERROR((D$97*$H$47),"-")</f>
        <v>-</v>
      </c>
      <c r="E62" s="137" t="str">
        <f>IFERROR((E$97*$H$47),"-")</f>
        <v>-</v>
      </c>
      <c r="F62" s="137" t="str">
        <f>IFERROR((F$97*$H$47),"-")</f>
        <v>-</v>
      </c>
      <c r="G62" s="137" t="str">
        <f>IFERROR((G$97*$H$47),"-")</f>
        <v>-</v>
      </c>
      <c r="H62" s="137" t="str">
        <f>IFERROR((H$97*$H$47),"-")</f>
        <v>-</v>
      </c>
      <c r="I62" s="103" t="str">
        <f>IFERROR(AVERAGE(D62:H62),"-")</f>
        <v>-</v>
      </c>
      <c r="K62" s="23" t="s">
        <v>621</v>
      </c>
      <c r="L62" s="137">
        <f>IFERROR((L$97*$P$47),"-")</f>
        <v>11.935672304856654</v>
      </c>
      <c r="M62" s="137">
        <f>IFERROR((M$97*$P$47),"-")</f>
        <v>16.187167340424587</v>
      </c>
      <c r="N62" s="137">
        <f>IFERROR((N$97*$P$47),"-")</f>
        <v>14.087579955431812</v>
      </c>
      <c r="O62" s="137">
        <f>IFERROR((O$97*$P$47),"-")</f>
        <v>14.085074916598433</v>
      </c>
      <c r="P62" s="137">
        <f>IFERROR((P$97*$P$47),"-")</f>
        <v>6.3579032626155501</v>
      </c>
      <c r="Q62" s="103">
        <f>IFERROR(AVERAGE(L62:P62),"-")</f>
        <v>12.530679555985406</v>
      </c>
      <c r="U62" s="282">
        <f>CostStackCalcs_RES_2[[#This Row],[Average]]/Q$65</f>
        <v>9.3359257606805291E-3</v>
      </c>
      <c r="V62" s="280"/>
    </row>
    <row r="63" spans="3:24" outlineLevel="1" x14ac:dyDescent="0.25">
      <c r="C63" s="23" t="s">
        <v>622</v>
      </c>
      <c r="D63" s="137">
        <f>(D$100*($D$49/$I$51))+(D$101*($D$50/$I$51))+(D$102*($D$47/$I$51))</f>
        <v>3.517670738635192</v>
      </c>
      <c r="E63" s="137">
        <f t="shared" ref="E63:H63" si="5">(E$100*($D$49/$I$51))+(E$101*($D$50/$I$51))+(E$102*($D$47/$I$51))</f>
        <v>3.4144294962615778</v>
      </c>
      <c r="F63" s="137">
        <f t="shared" si="5"/>
        <v>3.3965855673466261</v>
      </c>
      <c r="G63" s="137">
        <f t="shared" si="5"/>
        <v>3.4918442538869039</v>
      </c>
      <c r="H63" s="137">
        <f t="shared" si="5"/>
        <v>3.4149649440101002</v>
      </c>
      <c r="I63" s="103">
        <f t="shared" ref="I63" si="6">AVERAGE(D63:H63)</f>
        <v>3.4470990000280799</v>
      </c>
      <c r="K63" s="23" t="s">
        <v>622</v>
      </c>
      <c r="L63" s="137">
        <f>(L$100*($L$49/$Q$51))+(L$101*($L$50/$Q$51))+(L$102*($L$47/$Q$51))</f>
        <v>13.224681396481557</v>
      </c>
      <c r="M63" s="137">
        <f t="shared" ref="M63:N63" si="7">(M$100*($L$49/$Q$51))+(M$101*($L$50/$Q$51))+(M$102*($L$47/$Q$51))</f>
        <v>12.996094162452266</v>
      </c>
      <c r="N63" s="137">
        <f t="shared" si="7"/>
        <v>12.860333246221057</v>
      </c>
      <c r="O63" s="137">
        <f>(O$100*($L$49/$Q$51))+(O$101*($L$50/$Q$51))+(O$102*($L$47/$Q$51))</f>
        <v>13.274747413634611</v>
      </c>
      <c r="P63" s="137">
        <f>(P$100*($L$49/$Q$51))+(P$101*($L$50/$Q$51))+(P$102*($L$47/$Q$51))</f>
        <v>13.04349849250093</v>
      </c>
      <c r="Q63" s="103">
        <f t="shared" si="3"/>
        <v>13.079870942258086</v>
      </c>
      <c r="T63" s="113"/>
      <c r="U63" s="282">
        <f>CostStackCalcs_RES_2[[#This Row],[Average]]/Q$65</f>
        <v>9.7450983029787556E-3</v>
      </c>
      <c r="V63" s="280"/>
      <c r="X63" s="87"/>
    </row>
    <row r="64" spans="3:24" outlineLevel="1" x14ac:dyDescent="0.25">
      <c r="C64" s="125"/>
      <c r="D64" s="248"/>
      <c r="E64" s="248"/>
      <c r="F64" s="248"/>
      <c r="G64" s="248"/>
      <c r="H64" s="248"/>
      <c r="I64" s="249"/>
      <c r="K64" s="125"/>
      <c r="L64" s="248"/>
      <c r="M64" s="248"/>
      <c r="N64" s="248"/>
      <c r="O64" s="248"/>
      <c r="P64" s="248"/>
      <c r="Q64" s="249"/>
      <c r="S64" s="108"/>
      <c r="V64" s="280" t="e">
        <f>CostStackCalcs_RES_2[[#This Row],[Average]]/CostStackCalcs_RES_1[[#This Row],[Average]]-1</f>
        <v>#DIV/0!</v>
      </c>
    </row>
    <row r="65" spans="3:24" outlineLevel="1" x14ac:dyDescent="0.25">
      <c r="C65" s="44" t="s">
        <v>740</v>
      </c>
      <c r="D65" s="285">
        <f>ROUNDUP(SUM(D54:D63),0)</f>
        <v>1528</v>
      </c>
      <c r="E65" s="285">
        <f t="shared" ref="E65:H65" si="8">ROUNDUP(SUM(E54:E63),0)</f>
        <v>1287</v>
      </c>
      <c r="F65" s="285">
        <f>ROUNDUP(SUM(F54:F63),0)</f>
        <v>1330</v>
      </c>
      <c r="G65" s="285">
        <f t="shared" si="8"/>
        <v>1380</v>
      </c>
      <c r="H65" s="285">
        <f t="shared" si="8"/>
        <v>1281</v>
      </c>
      <c r="I65" s="103">
        <f>AVERAGE(D65:H65)</f>
        <v>1361.2</v>
      </c>
      <c r="K65" s="44" t="s">
        <v>740</v>
      </c>
      <c r="L65" s="285">
        <f>ROUNDUP(SUM(L54:L63),0)</f>
        <v>1494</v>
      </c>
      <c r="M65" s="285">
        <f t="shared" ref="M65" si="9">ROUNDUP(SUM(M54:M63),0)</f>
        <v>1278</v>
      </c>
      <c r="N65" s="285">
        <f t="shared" ref="N65" si="10">ROUNDUP(SUM(N54:N63),0)</f>
        <v>1315</v>
      </c>
      <c r="O65" s="285">
        <f t="shared" ref="O65" si="11">ROUNDUP(SUM(O54:O63),0)</f>
        <v>1358</v>
      </c>
      <c r="P65" s="285">
        <f t="shared" ref="P65" si="12">ROUNDUP(SUM(P54:P63),0)</f>
        <v>1266</v>
      </c>
      <c r="Q65" s="103">
        <f>AVERAGE(L65:P65)</f>
        <v>1342.2</v>
      </c>
    </row>
    <row r="66" spans="3:24" outlineLevel="1" x14ac:dyDescent="0.25">
      <c r="C66" s="125"/>
      <c r="D66" s="248"/>
      <c r="E66" s="248"/>
      <c r="F66" s="248"/>
      <c r="G66" s="248"/>
      <c r="H66" s="248"/>
      <c r="I66" s="249"/>
      <c r="K66" s="125"/>
      <c r="L66" s="248"/>
      <c r="M66" s="248"/>
      <c r="N66" s="248"/>
      <c r="O66" s="248"/>
      <c r="P66" s="248"/>
      <c r="Q66" s="249"/>
    </row>
    <row r="67" spans="3:24" outlineLevel="1" x14ac:dyDescent="0.25">
      <c r="C67" s="125" t="s">
        <v>375</v>
      </c>
      <c r="D67" s="248">
        <f>ROUNDUP(
(INDEX(OP_Rates_RES_1[[Ausnet]:[United Energy]],MATCH("Anytime - supply",OP_Rates_RES_1[[Rate name]:[Rate name]],0),MATCH(CostStackCalcs_RES_1[[#Headers],[Ausnet]],OP_Rates_RES_1[[#Headers],[Ausnet]:[United Energy]],0))*DiY)+
(IFERROR(INDEX(OP_RatesTU_RES_1[[Ausnet]:[United Energy]],MATCH("Anytime",OP_RatesTU_RES_1[[Rate name]:[Rate name]],0),MATCH(CostStackCalcs_RES_1[[#Headers],[Ausnet]],OP_RatesTU_RES_1[[#Headers],[Ausnet]:[United Energy]],0))*$H$47,0))
+
(IFERROR((INDEX(OP_Rates_RES_1[[Ausnet]:[United Energy]],MATCH("Block 1",OP_Rates_RES_1[[Rate name]:[Rate name]],0),MATCH(CostStackCalcs_RES_1[[#Headers],[Ausnet]],OP_Rates_RES_1[[#Headers],[Ausnet]:[United Energy]],0))*$D$49),0)+
IFERROR((INDEX(OP_Rates_RES_1[[Ausnet]:[United Energy]],MATCH("Balance",OP_Rates_RES_1[[Rate name]:[Rate name]],0),MATCH(CostStackCalcs_RES_1[[#Headers],[Ausnet]],OP_Rates_RES_1[[#Headers],[Ausnet]:[United Energy]],0))*$D$50),0)+
IFERROR((INDEX(OP_Rates_RES_1[[Ausnet]:[United Energy]],MATCH("Single rate",OP_Rates_RES_1[[Rate name]:[Rate name]],0),MATCH(CostStackCalcs_RES_1[[#Headers],[Ausnet]],OP_Rates_RES_1[[#Headers],[Ausnet]:[United Energy]],0))*$D$47),0))
+
(IFERROR((INDEX(OP_RatesTU_RES_1[[Ausnet]:[United Energy]],MATCH("Block 1",OP_RatesTU_RES_1[[Rate name]:[Rate name]],0),MATCH(CostStackCalcs_RES_1[[#Headers],[Ausnet]],OP_RatesTU_RES_1[[#Headers],[Ausnet]:[United Energy]],0))*($D$49/$I$51)),0)+
IFERROR((INDEX(OP_RatesTU_RES_1[[Ausnet]:[United Energy]],MATCH("Balance",OP_RatesTU_RES_1[[Rate name]:[Rate name]],0),MATCH(CostStackCalcs_RES_1[[#Headers],[Ausnet]],OP_RatesTU_RES_1[[#Headers],[Ausnet]:[United Energy]],0))*($D$50/$I$51)),0)+
IFERROR((INDEX(OP_RatesTU_RES_1[[Ausnet]:[United Energy]],MATCH("Single rate",OP_RatesTU_RES_1[[Rate name]:[Rate name]],0),MATCH(CostStackCalcs_RES_1[[#Headers],[Ausnet]],OP_RatesTU_RES_1[[#Headers],[Ausnet]:[United Energy]],0))*($D$47/$I$51)),0)),0)</f>
        <v>1528</v>
      </c>
      <c r="E67" s="248">
        <f>ROUNDUP(
(INDEX(OP_Rates_RES_1[[Ausnet]:[United Energy]],MATCH("Anytime - supply",OP_Rates_RES_1[[Rate name]:[Rate name]],0),MATCH(CostStackCalcs_RES_1[[#Headers],[Citipower]],OP_Rates_RES_1[[#Headers],[Ausnet]:[United Energy]],0))*DiY)+
(IFERROR(INDEX(OP_RatesTU_RES_1[[Ausnet]:[United Energy]],MATCH("Anytime",OP_RatesTU_RES_1[[Rate name]:[Rate name]],0),MATCH(CostStackCalcs_RES_1[[#Headers],[Citipower]],OP_RatesTU_RES_1[[#Headers],[Ausnet]:[United Energy]],0))*$H$47,0))
+
(IFERROR((INDEX(OP_Rates_RES_1[[Ausnet]:[United Energy]],MATCH("Block 1",OP_Rates_RES_1[[Rate name]:[Rate name]],0),MATCH(CostStackCalcs_RES_1[[#Headers],[Citipower]],OP_Rates_RES_1[[#Headers],[Ausnet]:[United Energy]],0))*$D$49),0)+
IFERROR((INDEX(OP_Rates_RES_1[[Ausnet]:[United Energy]],MATCH("Balance",OP_Rates_RES_1[[Rate name]:[Rate name]],0),MATCH(CostStackCalcs_RES_1[[#Headers],[Citipower]],OP_Rates_RES_1[[#Headers],[Ausnet]:[United Energy]],0))*$D$50),0)+
IFERROR((INDEX(OP_Rates_RES_1[[Ausnet]:[United Energy]],MATCH("Single rate",OP_Rates_RES_1[[Rate name]:[Rate name]],0),MATCH(CostStackCalcs_RES_1[[#Headers],[Citipower]],OP_Rates_RES_1[[#Headers],[Ausnet]:[United Energy]],0))*$D$47),0))
+
(IFERROR((INDEX(OP_RatesTU_RES_1[[Ausnet]:[United Energy]],MATCH("Block 1",OP_RatesTU_RES_1[[Rate name]:[Rate name]],0),MATCH(CostStackCalcs_RES_1[[#Headers],[Citipower]],OP_RatesTU_RES_1[[#Headers],[Ausnet]:[United Energy]],0))*($D$49/$I$51)),0)+
IFERROR((INDEX(OP_RatesTU_RES_1[[Ausnet]:[United Energy]],MATCH("Balance",OP_RatesTU_RES_1[[Rate name]:[Rate name]],0),MATCH(CostStackCalcs_RES_1[[#Headers],[Citipower]],OP_RatesTU_RES_1[[#Headers],[Ausnet]:[United Energy]],0))*($D$50/$I$51)),0)+
IFERROR((INDEX(OP_RatesTU_RES_1[[Ausnet]:[United Energy]],MATCH("Single rate",OP_RatesTU_RES_1[[Rate name]:[Rate name]],0),MATCH(CostStackCalcs_RES_1[[#Headers],[Citipower]],OP_RatesTU_RES_1[[#Headers],[Ausnet]:[United Energy]],0))*($D$47/$I$51)),0)),0)</f>
        <v>1287</v>
      </c>
      <c r="F67" s="248">
        <f>ROUNDUP(
(INDEX(OP_Rates_RES_1[[Ausnet]:[United Energy]],MATCH("Anytime - supply",OP_Rates_RES_1[[Rate name]:[Rate name]],0),MATCH(CostStackCalcs_RES_1[[#Headers],[Jemena]],OP_Rates_RES_1[[#Headers],[Ausnet]:[United Energy]],0))*DiY)+
(IFERROR(INDEX(OP_RatesTU_RES_1[[Ausnet]:[United Energy]],MATCH("Anytime",OP_RatesTU_RES_1[[Rate name]:[Rate name]],0),MATCH(CostStackCalcs_RES_1[[#Headers],[Jemena]],OP_RatesTU_RES_1[[#Headers],[Ausnet]:[United Energy]],0))*$H$47,0))
+
(IFERROR((INDEX(OP_Rates_RES_1[[Ausnet]:[United Energy]],MATCH("Block 1",OP_Rates_RES_1[[Rate name]:[Rate name]],0),MATCH(CostStackCalcs_RES_1[[#Headers],[Jemena]],OP_Rates_RES_1[[#Headers],[Ausnet]:[United Energy]],0))*$D$49),0)+
IFERROR((INDEX(OP_Rates_RES_1[[Ausnet]:[United Energy]],MATCH("Balance",OP_Rates_RES_1[[Rate name]:[Rate name]],0),MATCH(CostStackCalcs_RES_1[[#Headers],[Jemena]],OP_Rates_RES_1[[#Headers],[Ausnet]:[United Energy]],0))*$D$50),0)+
IFERROR((INDEX(OP_Rates_RES_1[[Ausnet]:[United Energy]],MATCH("Single rate",OP_Rates_RES_1[[Rate name]:[Rate name]],0),MATCH(CostStackCalcs_RES_1[[#Headers],[Jemena]],OP_Rates_RES_1[[#Headers],[Ausnet]:[United Energy]],0))*$D$47),0))
+
(IFERROR((INDEX(OP_RatesTU_RES_1[[Ausnet]:[United Energy]],MATCH("Block 1",OP_RatesTU_RES_1[[Rate name]:[Rate name]],0),MATCH(CostStackCalcs_RES_1[[#Headers],[Jemena]],OP_RatesTU_RES_1[[#Headers],[Ausnet]:[United Energy]],0))*($D$49/$I$51)),0)+
IFERROR((INDEX(OP_RatesTU_RES_1[[Ausnet]:[United Energy]],MATCH("Balance",OP_RatesTU_RES_1[[Rate name]:[Rate name]],0),MATCH(CostStackCalcs_RES_1[[#Headers],[Jemena]],OP_RatesTU_RES_1[[#Headers],[Ausnet]:[United Energy]],0))*($D$50/$I$51)),0)+
IFERROR((INDEX(OP_RatesTU_RES_1[[Ausnet]:[United Energy]],MATCH("Single rate",OP_RatesTU_RES_1[[Rate name]:[Rate name]],0),MATCH(CostStackCalcs_RES_1[[#Headers],[Jemena]],OP_RatesTU_RES_1[[#Headers],[Ausnet]:[United Energy]],0))*($D$47/$I$51)),0)),0)</f>
        <v>1330</v>
      </c>
      <c r="G67" s="248">
        <f>ROUNDUP(
(INDEX(OP_Rates_RES_1[[Ausnet]:[United Energy]],MATCH("Anytime - supply",OP_Rates_RES_1[[Rate name]:[Rate name]],0),MATCH(CostStackCalcs_RES_1[[#Headers],[Powercor]],OP_Rates_RES_1[[#Headers],[Ausnet]:[United Energy]],0))*DiY)+
(IFERROR(INDEX(OP_RatesTU_RES_1[[Ausnet]:[United Energy]],MATCH("Anytime",OP_RatesTU_RES_1[[Rate name]:[Rate name]],0),MATCH(CostStackCalcs_RES_1[[#Headers],[Powercor]],OP_RatesTU_RES_1[[#Headers],[Ausnet]:[United Energy]],0))*$H$47,0))
+
(IFERROR((INDEX(OP_Rates_RES_1[[Ausnet]:[United Energy]],MATCH("Block 1",OP_Rates_RES_1[[Rate name]:[Rate name]],0),MATCH(CostStackCalcs_RES_1[[#Headers],[Powercor]],OP_Rates_RES_1[[#Headers],[Ausnet]:[United Energy]],0))*$D$49),0)+
IFERROR((INDEX(OP_Rates_RES_1[[Ausnet]:[United Energy]],MATCH("Balance",OP_Rates_RES_1[[Rate name]:[Rate name]],0),MATCH(CostStackCalcs_RES_1[[#Headers],[Powercor]],OP_Rates_RES_1[[#Headers],[Ausnet]:[United Energy]],0))*$D$50),0)+
IFERROR((INDEX(OP_Rates_RES_1[[Ausnet]:[United Energy]],MATCH("Single rate",OP_Rates_RES_1[[Rate name]:[Rate name]],0),MATCH(CostStackCalcs_RES_1[[#Headers],[Powercor]],OP_Rates_RES_1[[#Headers],[Ausnet]:[United Energy]],0))*$D$47),0))
+
(IFERROR((INDEX(OP_RatesTU_RES_1[[Ausnet]:[United Energy]],MATCH("Block 1",OP_RatesTU_RES_1[[Rate name]:[Rate name]],0),MATCH(CostStackCalcs_RES_1[[#Headers],[Powercor]],OP_RatesTU_RES_1[[#Headers],[Ausnet]:[United Energy]],0))*($D$49/$I$51)),0)+
IFERROR((INDEX(OP_RatesTU_RES_1[[Ausnet]:[United Energy]],MATCH("Balance",OP_RatesTU_RES_1[[Rate name]:[Rate name]],0),MATCH(CostStackCalcs_RES_1[[#Headers],[Powercor]],OP_RatesTU_RES_1[[#Headers],[Ausnet]:[United Energy]],0))*($D$50/$I$51)),0)+
IFERROR((INDEX(OP_RatesTU_RES_1[[Ausnet]:[United Energy]],MATCH("Single rate",OP_RatesTU_RES_1[[Rate name]:[Rate name]],0),MATCH(CostStackCalcs_RES_1[[#Headers],[Powercor]],OP_RatesTU_RES_1[[#Headers],[Ausnet]:[United Energy]],0))*($D$47/$I$51)),0)),0)</f>
        <v>1380</v>
      </c>
      <c r="H67" s="248">
        <f>ROUNDUP(
(INDEX(OP_Rates_RES_1[[Ausnet]:[United Energy]],MATCH("Anytime - supply",OP_Rates_RES_1[[Rate name]:[Rate name]],0),MATCH(CostStackCalcs_RES_1[[#Headers],[United Energy]],OP_Rates_RES_1[[#Headers],[Ausnet]:[United Energy]],0))*DiY)+
(IFERROR(INDEX(OP_RatesTU_RES_1[[Ausnet]:[United Energy]],MATCH("Anytime",OP_RatesTU_RES_1[[Rate name]:[Rate name]],0),MATCH(CostStackCalcs_RES_1[[#Headers],[United Energy]],OP_RatesTU_RES_1[[#Headers],[Ausnet]:[United Energy]],0))*$H$47,0))
+
(IFERROR((INDEX(OP_Rates_RES_1[[Ausnet]:[United Energy]],MATCH("Block 1",OP_Rates_RES_1[[Rate name]:[Rate name]],0),MATCH(CostStackCalcs_RES_1[[#Headers],[United Energy]],OP_Rates_RES_1[[#Headers],[Ausnet]:[United Energy]],0))*$D$49),0)+
IFERROR((INDEX(OP_Rates_RES_1[[Ausnet]:[United Energy]],MATCH("Balance",OP_Rates_RES_1[[Rate name]:[Rate name]],0),MATCH(CostStackCalcs_RES_1[[#Headers],[United Energy]],OP_Rates_RES_1[[#Headers],[Ausnet]:[United Energy]],0))*$D$50),0)+
IFERROR((INDEX(OP_Rates_RES_1[[Ausnet]:[United Energy]],MATCH("Single rate",OP_Rates_RES_1[[Rate name]:[Rate name]],0),MATCH(CostStackCalcs_RES_1[[#Headers],[United Energy]],OP_Rates_RES_1[[#Headers],[Ausnet]:[United Energy]],0))*$D$47),0))
+
(IFERROR((INDEX(OP_RatesTU_RES_1[[Ausnet]:[United Energy]],MATCH("Block 1",OP_RatesTU_RES_1[[Rate name]:[Rate name]],0),MATCH(CostStackCalcs_RES_1[[#Headers],[United Energy]],OP_RatesTU_RES_1[[#Headers],[Ausnet]:[United Energy]],0))*($D$49/$I$51)),0)+
IFERROR((INDEX(OP_RatesTU_RES_1[[Ausnet]:[United Energy]],MATCH("Balance",OP_RatesTU_RES_1[[Rate name]:[Rate name]],0),MATCH(CostStackCalcs_RES_1[[#Headers],[United Energy]],OP_RatesTU_RES_1[[#Headers],[Ausnet]:[United Energy]],0))*($D$50/$I$51)),0)+
IFERROR((INDEX(OP_RatesTU_RES_1[[Ausnet]:[United Energy]],MATCH("Single rate",OP_RatesTU_RES_1[[Rate name]:[Rate name]],0),MATCH(CostStackCalcs_RES_1[[#Headers],[United Energy]],OP_RatesTU_RES_1[[#Headers],[Ausnet]:[United Energy]],0))*($D$47/$I$51)),0)),0)</f>
        <v>1281</v>
      </c>
      <c r="I67" s="103">
        <f>ROUND(AVERAGE(D67:H67),0)</f>
        <v>1361</v>
      </c>
      <c r="K67" s="125" t="s">
        <v>375</v>
      </c>
      <c r="L67" s="248">
        <f>ROUNDUP(
(INDEX(OP_Rates_RES_2[[Ausnet]:[United Energy]],MATCH("Anytime - supply",OP_Rates_RES_2[[Rate name]:[Rate name]],0),MATCH(CostStackCalcs_RES_2[[#Headers],[Ausnet]],OP_Rates_RES_2[[#Headers],[Ausnet]:[United Energy]],0))*DiY)+
(IFERROR(INDEX(OP_RatesTU_RES_2[[Ausnet]:[United Energy]],MATCH("Anytime",OP_RatesTU_RES_2[[Rate name]:[Rate name]],0),MATCH(CostStackCalcs_RES_2[[#Headers],[Ausnet]],OP_RatesTU_RES_2[[#Headers],[Ausnet]:[United Energy]],0))*$P$47,0))
+
(IFERROR((INDEX(OP_Rates_RES_2[[Ausnet]:[United Energy]],MATCH("Block 1",OP_Rates_RES_2[[Rate name]:[Rate name]],0),MATCH(CostStackCalcs_RES_2[[#Headers],[Ausnet]],OP_Rates_RES_2[[#Headers],[Ausnet]:[United Energy]],0))*$L$49),0)+
IFERROR((INDEX(OP_Rates_RES_2[[Ausnet]:[United Energy]],MATCH("Balance",OP_Rates_RES_2[[Rate name]:[Rate name]],0),MATCH(CostStackCalcs_RES_2[[#Headers],[Ausnet]],OP_Rates_RES_2[[#Headers],[Ausnet]:[United Energy]],0))*$L$50),0)+
IFERROR((INDEX(OP_Rates_RES_2[[Ausnet]:[United Energy]],MATCH("Single rate",OP_Rates_RES_2[[Rate name]:[Rate name]],0),MATCH(CostStackCalcs_RES_2[[#Headers],[Ausnet]],OP_Rates_RES_2[[#Headers],[Ausnet]:[United Energy]],0))*$L$47),0))
+
(IFERROR((INDEX(OP_RatesTU_RES_2[[Ausnet]:[United Energy]],MATCH("Block 1",OP_RatesTU_RES_2[[Rate name]:[Rate name]],0),MATCH(CostStackCalcs_RES_2[[#Headers],[Ausnet]],OP_RatesTU_RES_2[[#Headers],[Ausnet]:[United Energy]],0))*($L$49/$Q$51)),0)+
IFERROR((INDEX(OP_RatesTU_RES_2[[Ausnet]:[United Energy]],MATCH("Balance",OP_RatesTU_RES_2[[Rate name]:[Rate name]],0),MATCH(CostStackCalcs_RES_2[[#Headers],[Ausnet]],OP_RatesTU_RES_2[[#Headers],[Ausnet]:[United Energy]],0))*($L$50/$Q$51)),0)+
IFERROR((INDEX(OP_RatesTU_RES_2[[Ausnet]:[United Energy]],MATCH("Single rate",OP_RatesTU_RES_2[[Rate name]:[Rate name]],0),MATCH(CostStackCalcs_RES_2[[#Headers],[Ausnet]],OP_RatesTU_RES_2[[#Headers],[Ausnet]:[United Energy]],0))*($L$47/$Q$51)),0)),0)</f>
        <v>1494</v>
      </c>
      <c r="M67" s="248">
        <f>ROUNDUP(
(INDEX(OP_Rates_RES_2[[Ausnet]:[United Energy]],MATCH("Anytime - supply",OP_Rates_RES_2[[Rate name]:[Rate name]],0),MATCH(CostStackCalcs_RES_2[[#Headers],[Citipower]],OP_Rates_RES_2[[#Headers],[Ausnet]:[United Energy]],0))*DiY)+
(IFERROR(INDEX(OP_RatesTU_RES_2[[Ausnet]:[United Energy]],MATCH("Anytime",OP_RatesTU_RES_2[[Rate name]:[Rate name]],0),MATCH(CostStackCalcs_RES_2[[#Headers],[Citipower]],OP_RatesTU_RES_2[[#Headers],[Ausnet]:[United Energy]],0))*$P$47,0))
+
(IFERROR((INDEX(OP_Rates_RES_2[[Ausnet]:[United Energy]],MATCH("Block 1",OP_Rates_RES_2[[Rate name]:[Rate name]],0),MATCH(CostStackCalcs_RES_2[[#Headers],[Citipower]],OP_Rates_RES_2[[#Headers],[Ausnet]:[United Energy]],0))*$L$49),0)+
IFERROR((INDEX(OP_Rates_RES_2[[Ausnet]:[United Energy]],MATCH("Balance",OP_Rates_RES_2[[Rate name]:[Rate name]],0),MATCH(CostStackCalcs_RES_2[[#Headers],[Citipower]],OP_Rates_RES_2[[#Headers],[Ausnet]:[United Energy]],0))*$L$50),0)+
IFERROR((INDEX(OP_Rates_RES_2[[Ausnet]:[United Energy]],MATCH("Single rate",OP_Rates_RES_2[[Rate name]:[Rate name]],0),MATCH(CostStackCalcs_RES_2[[#Headers],[Citipower]],OP_Rates_RES_2[[#Headers],[Ausnet]:[United Energy]],0))*$L$47),0))
+
(IFERROR((INDEX(OP_RatesTU_RES_2[[Ausnet]:[United Energy]],MATCH("Block 1",OP_RatesTU_RES_2[[Rate name]:[Rate name]],0),MATCH(CostStackCalcs_RES_2[[#Headers],[Citipower]],OP_RatesTU_RES_2[[#Headers],[Ausnet]:[United Energy]],0))*($L$49/$Q$51)),0)+
IFERROR((INDEX(OP_RatesTU_RES_2[[Ausnet]:[United Energy]],MATCH("Balance",OP_RatesTU_RES_2[[Rate name]:[Rate name]],0),MATCH(CostStackCalcs_RES_2[[#Headers],[Citipower]],OP_RatesTU_RES_2[[#Headers],[Ausnet]:[United Energy]],0))*($L$50/$Q$51)),0)+
IFERROR((INDEX(OP_RatesTU_RES_2[[Ausnet]:[United Energy]],MATCH("Single rate",OP_RatesTU_RES_2[[Rate name]:[Rate name]],0),MATCH(CostStackCalcs_RES_2[[#Headers],[Citipower]],OP_RatesTU_RES_2[[#Headers],[Ausnet]:[United Energy]],0))*($L$47/$Q$51)),0)),0)</f>
        <v>1278</v>
      </c>
      <c r="N67" s="248">
        <f>ROUNDUP(
(INDEX(OP_Rates_RES_2[[Ausnet]:[United Energy]],MATCH("Anytime - supply",OP_Rates_RES_2[[Rate name]:[Rate name]],0),MATCH(CostStackCalcs_RES_2[[#Headers],[Jemena]],OP_Rates_RES_2[[#Headers],[Ausnet]:[United Energy]],0))*DiY)+
(IFERROR(INDEX(OP_RatesTU_RES_2[[Ausnet]:[United Energy]],MATCH("Anytime",OP_RatesTU_RES_2[[Rate name]:[Rate name]],0),MATCH(CostStackCalcs_RES_2[[#Headers],[Jemena]],OP_RatesTU_RES_2[[#Headers],[Ausnet]:[United Energy]],0))*$P$47,0))
+
(IFERROR((INDEX(OP_Rates_RES_2[[Ausnet]:[United Energy]],MATCH("Block 1",OP_Rates_RES_2[[Rate name]:[Rate name]],0),MATCH(CostStackCalcs_RES_2[[#Headers],[Jemena]],OP_Rates_RES_2[[#Headers],[Ausnet]:[United Energy]],0))*$L$49),0)+
IFERROR((INDEX(OP_Rates_RES_2[[Ausnet]:[United Energy]],MATCH("Balance",OP_Rates_RES_2[[Rate name]:[Rate name]],0),MATCH(CostStackCalcs_RES_2[[#Headers],[Jemena]],OP_Rates_RES_2[[#Headers],[Ausnet]:[United Energy]],0))*$L$50),0)+
IFERROR((INDEX(OP_Rates_RES_2[[Ausnet]:[United Energy]],MATCH("Single rate",OP_Rates_RES_2[[Rate name]:[Rate name]],0),MATCH(CostStackCalcs_RES_2[[#Headers],[Jemena]],OP_Rates_RES_2[[#Headers],[Ausnet]:[United Energy]],0))*$L$47),0))
+
(IFERROR((INDEX(OP_RatesTU_RES_2[[Ausnet]:[United Energy]],MATCH("Block 1",OP_RatesTU_RES_2[[Rate name]:[Rate name]],0),MATCH(CostStackCalcs_RES_2[[#Headers],[Jemena]],OP_RatesTU_RES_2[[#Headers],[Ausnet]:[United Energy]],0))*($L$49/$Q$51)),0)+
IFERROR((INDEX(OP_RatesTU_RES_2[[Ausnet]:[United Energy]],MATCH("Balance",OP_RatesTU_RES_2[[Rate name]:[Rate name]],0),MATCH(CostStackCalcs_RES_2[[#Headers],[Jemena]],OP_RatesTU_RES_2[[#Headers],[Ausnet]:[United Energy]],0))*($L$50/$Q$51)),0)+
IFERROR((INDEX(OP_RatesTU_RES_2[[Ausnet]:[United Energy]],MATCH("Single rate",OP_RatesTU_RES_2[[Rate name]:[Rate name]],0),MATCH(CostStackCalcs_RES_2[[#Headers],[Jemena]],OP_RatesTU_RES_2[[#Headers],[Ausnet]:[United Energy]],0))*($L$47/$Q$51)),0)),0)</f>
        <v>1315</v>
      </c>
      <c r="O67" s="248">
        <f>ROUNDUP(
(INDEX(OP_Rates_RES_2[[Ausnet]:[United Energy]],MATCH("Anytime - supply",OP_Rates_RES_2[[Rate name]:[Rate name]],0),MATCH(CostStackCalcs_RES_2[[#Headers],[Powercor]],OP_Rates_RES_2[[#Headers],[Ausnet]:[United Energy]],0))*DiY)+
(IFERROR(INDEX(OP_RatesTU_RES_2[[Ausnet]:[United Energy]],MATCH("Anytime",OP_RatesTU_RES_2[[Rate name]:[Rate name]],0),MATCH(CostStackCalcs_RES_2[[#Headers],[Powercor]],OP_RatesTU_RES_2[[#Headers],[Ausnet]:[United Energy]],0))*$P$47,0))
+
(IFERROR((INDEX(OP_Rates_RES_2[[Ausnet]:[United Energy]],MATCH("Block 1",OP_Rates_RES_2[[Rate name]:[Rate name]],0),MATCH(CostStackCalcs_RES_2[[#Headers],[Powercor]],OP_Rates_RES_2[[#Headers],[Ausnet]:[United Energy]],0))*$L$49),0)+
IFERROR((INDEX(OP_Rates_RES_2[[Ausnet]:[United Energy]],MATCH("Balance",OP_Rates_RES_2[[Rate name]:[Rate name]],0),MATCH(CostStackCalcs_RES_2[[#Headers],[Powercor]],OP_Rates_RES_2[[#Headers],[Ausnet]:[United Energy]],0))*$L$50),0)+
IFERROR((INDEX(OP_Rates_RES_2[[Ausnet]:[United Energy]],MATCH("Single rate",OP_Rates_RES_2[[Rate name]:[Rate name]],0),MATCH(CostStackCalcs_RES_2[[#Headers],[Powercor]],OP_Rates_RES_2[[#Headers],[Ausnet]:[United Energy]],0))*$L$47),0))
+
(IFERROR((INDEX(OP_RatesTU_RES_2[[Ausnet]:[United Energy]],MATCH("Block 1",OP_RatesTU_RES_2[[Rate name]:[Rate name]],0),MATCH(CostStackCalcs_RES_2[[#Headers],[Powercor]],OP_RatesTU_RES_2[[#Headers],[Ausnet]:[United Energy]],0))*($L$49/$Q$51)),0)+
IFERROR((INDEX(OP_RatesTU_RES_2[[Ausnet]:[United Energy]],MATCH("Balance",OP_RatesTU_RES_2[[Rate name]:[Rate name]],0),MATCH(CostStackCalcs_RES_2[[#Headers],[Powercor]],OP_RatesTU_RES_2[[#Headers],[Ausnet]:[United Energy]],0))*($L$50/$Q$51)),0)+
IFERROR((INDEX(OP_RatesTU_RES_2[[Ausnet]:[United Energy]],MATCH("Single rate",OP_RatesTU_RES_2[[Rate name]:[Rate name]],0),MATCH(CostStackCalcs_RES_2[[#Headers],[Powercor]],OP_RatesTU_RES_2[[#Headers],[Ausnet]:[United Energy]],0))*($L$47/$Q$51)),0)),0)</f>
        <v>1358</v>
      </c>
      <c r="P67" s="248">
        <f>ROUNDUP(
(INDEX(OP_Rates_RES_2[[Ausnet]:[United Energy]],MATCH("Anytime - supply",OP_Rates_RES_2[[Rate name]:[Rate name]],0),MATCH(CostStackCalcs_RES_2[[#Headers],[United Energy]],OP_Rates_RES_2[[#Headers],[Ausnet]:[United Energy]],0))*DiY)+
(IFERROR(INDEX(OP_RatesTU_RES_2[[Ausnet]:[United Energy]],MATCH("Anytime",OP_RatesTU_RES_2[[Rate name]:[Rate name]],0),MATCH(CostStackCalcs_RES_2[[#Headers],[United Energy]],OP_RatesTU_RES_2[[#Headers],[Ausnet]:[United Energy]],0))*$P$47,0))
+
(IFERROR((INDEX(OP_Rates_RES_2[[Ausnet]:[United Energy]],MATCH("Block 1",OP_Rates_RES_2[[Rate name]:[Rate name]],0),MATCH(CostStackCalcs_RES_2[[#Headers],[United Energy]],OP_Rates_RES_2[[#Headers],[Ausnet]:[United Energy]],0))*$L$49),0)+
IFERROR((INDEX(OP_Rates_RES_2[[Ausnet]:[United Energy]],MATCH("Balance",OP_Rates_RES_2[[Rate name]:[Rate name]],0),MATCH(CostStackCalcs_RES_2[[#Headers],[United Energy]],OP_Rates_RES_2[[#Headers],[Ausnet]:[United Energy]],0))*$L$50),0)+
IFERROR((INDEX(OP_Rates_RES_2[[Ausnet]:[United Energy]],MATCH("Single rate",OP_Rates_RES_2[[Rate name]:[Rate name]],0),MATCH(CostStackCalcs_RES_2[[#Headers],[United Energy]],OP_Rates_RES_2[[#Headers],[Ausnet]:[United Energy]],0))*$L$47),0))
+
(IFERROR((INDEX(OP_RatesTU_RES_2[[Ausnet]:[United Energy]],MATCH("Block 1",OP_RatesTU_RES_2[[Rate name]:[Rate name]],0),MATCH(CostStackCalcs_RES_2[[#Headers],[United Energy]],OP_RatesTU_RES_2[[#Headers],[Ausnet]:[United Energy]],0))*($L$49/$Q$51)),0)+
IFERROR((INDEX(OP_RatesTU_RES_2[[Ausnet]:[United Energy]],MATCH("Balance",OP_RatesTU_RES_2[[Rate name]:[Rate name]],0),MATCH(CostStackCalcs_RES_2[[#Headers],[United Energy]],OP_RatesTU_RES_2[[#Headers],[Ausnet]:[United Energy]],0))*($L$50/$Q$51)),0)+
IFERROR((INDEX(OP_RatesTU_RES_2[[Ausnet]:[United Energy]],MATCH("Single rate",OP_RatesTU_RES_2[[Rate name]:[Rate name]],0),MATCH(CostStackCalcs_RES_2[[#Headers],[United Energy]],OP_RatesTU_RES_2[[#Headers],[Ausnet]:[United Energy]],0))*($L$47/$Q$51)),0)),0)</f>
        <v>1266</v>
      </c>
      <c r="Q67" s="103">
        <f>ROUND(AVERAGE(L67:P67),0)</f>
        <v>1342</v>
      </c>
    </row>
    <row r="68" spans="3:24" outlineLevel="1" x14ac:dyDescent="0.25">
      <c r="T68" s="87"/>
    </row>
    <row r="69" spans="3:24" ht="15.75" outlineLevel="1" x14ac:dyDescent="0.25">
      <c r="C69" s="107" t="s">
        <v>17</v>
      </c>
      <c r="D69" s="93">
        <f>IF(AND(D67-D65&lt;=1,D67-D65&gt;=-1),0,1)</f>
        <v>0</v>
      </c>
      <c r="E69" s="93">
        <f t="shared" ref="E69:H69" si="13">IF(AND(E67-E65&lt;=1,E67-E65&gt;=-1),0,1)</f>
        <v>0</v>
      </c>
      <c r="F69" s="93">
        <f t="shared" si="13"/>
        <v>0</v>
      </c>
      <c r="G69" s="93">
        <f t="shared" si="13"/>
        <v>0</v>
      </c>
      <c r="H69" s="93">
        <f t="shared" si="13"/>
        <v>0</v>
      </c>
      <c r="K69" s="107" t="s">
        <v>17</v>
      </c>
      <c r="L69" s="93">
        <f>IF(AND(L67-L65&lt;=1,L67-L65&gt;=-1),0,1)</f>
        <v>0</v>
      </c>
      <c r="M69" s="93">
        <f t="shared" ref="M69:P69" si="14">IF(AND(M67-M65&lt;=1,M67-M65&gt;=-1),0,1)</f>
        <v>0</v>
      </c>
      <c r="N69" s="93">
        <f t="shared" si="14"/>
        <v>0</v>
      </c>
      <c r="O69" s="93">
        <f t="shared" si="14"/>
        <v>0</v>
      </c>
      <c r="P69" s="93">
        <f t="shared" si="14"/>
        <v>0</v>
      </c>
      <c r="U69" s="121"/>
    </row>
    <row r="70" spans="3:24" outlineLevel="1" x14ac:dyDescent="0.25">
      <c r="U70" s="118"/>
    </row>
    <row r="71" spans="3:24" ht="15.75" outlineLevel="1" x14ac:dyDescent="0.25">
      <c r="C71" s="42" t="s">
        <v>202</v>
      </c>
      <c r="D71" s="100">
        <f>INDEX(Input_ForRateCalc[[F-PreviousVDO_InputDate]:[F-NextVDO_Input]],MATCH("Retail operating margin",Input_ForRateCalc[[Cost item]:[Cost item]],0),MATCH(CH_CostStack_RES!$D$44,Inputs!$H$8:$U$8,0))</f>
        <v>6.0400000000000002E-2</v>
      </c>
      <c r="E71" s="100">
        <f>INDEX(Input_ForRateCalc[[F-PreviousVDO_InputDate]:[F-NextVDO_Input]],MATCH("Retail operating margin",Input_ForRateCalc[[Cost item]:[Cost item]],0),MATCH(CH_CostStack_RES!$D$44,Inputs!$H$8:$U$8,0))</f>
        <v>6.0400000000000002E-2</v>
      </c>
      <c r="F71" s="100">
        <f>INDEX(Input_ForRateCalc[[F-PreviousVDO_InputDate]:[F-NextVDO_Input]],MATCH("Retail operating margin",Input_ForRateCalc[[Cost item]:[Cost item]],0),MATCH(CH_CostStack_RES!$D$44,Inputs!$H$8:$U$8,0))</f>
        <v>6.0400000000000002E-2</v>
      </c>
      <c r="G71" s="100">
        <f>INDEX(Input_ForRateCalc[[F-PreviousVDO_InputDate]:[F-NextVDO_Input]],MATCH("Retail operating margin",Input_ForRateCalc[[Cost item]:[Cost item]],0),MATCH(CH_CostStack_RES!$D$44,Inputs!$H$8:$U$8,0))</f>
        <v>6.0400000000000002E-2</v>
      </c>
      <c r="H71" s="100">
        <f>INDEX(Input_ForRateCalc[[F-PreviousVDO_InputDate]:[F-NextVDO_Input]],MATCH("Retail operating margin",Input_ForRateCalc[[Cost item]:[Cost item]],0),MATCH(CH_CostStack_RES!$D$44,Inputs!$H$8:$U$8,0))</f>
        <v>6.0400000000000002E-2</v>
      </c>
      <c r="K71" s="42" t="s">
        <v>202</v>
      </c>
      <c r="L71" s="100">
        <f>INDEX(Input_ForRateCalc[[F-PreviousVDO_InputDate]:[F-NextVDO_Input]],MATCH("Retail operating margin",Input_ForRateCalc[[Cost item]:[Cost item]],0),MATCH(CH_CostStack_RES!$L$44,Inputs!$H$8:$U$8,0))</f>
        <v>6.0400000000000002E-2</v>
      </c>
      <c r="M71" s="100">
        <f>INDEX(Input_ForRateCalc[[F-PreviousVDO_InputDate]:[F-NextVDO_Input]],MATCH("Retail operating margin",Input_ForRateCalc[[Cost item]:[Cost item]],0),MATCH(CH_CostStack_RES!$L$44,Inputs!$H$8:$U$8,0))</f>
        <v>6.0400000000000002E-2</v>
      </c>
      <c r="N71" s="100">
        <f>INDEX(Input_ForRateCalc[[F-PreviousVDO_InputDate]:[F-NextVDO_Input]],MATCH("Retail operating margin",Input_ForRateCalc[[Cost item]:[Cost item]],0),MATCH(CH_CostStack_RES!$L$44,Inputs!$H$8:$U$8,0))</f>
        <v>6.0400000000000002E-2</v>
      </c>
      <c r="O71" s="100">
        <f>INDEX(Input_ForRateCalc[[F-PreviousVDO_InputDate]:[F-NextVDO_Input]],MATCH("Retail operating margin",Input_ForRateCalc[[Cost item]:[Cost item]],0),MATCH(CH_CostStack_RES!$L$44,Inputs!$H$8:$U$8,0))</f>
        <v>6.0400000000000002E-2</v>
      </c>
      <c r="P71" s="100">
        <f>INDEX(Input_ForRateCalc[[F-PreviousVDO_InputDate]:[F-NextVDO_Input]],MATCH("Retail operating margin",Input_ForRateCalc[[Cost item]:[Cost item]],0),MATCH(CH_CostStack_RES!$L$44,Inputs!$H$8:$U$8,0))</f>
        <v>6.0400000000000002E-2</v>
      </c>
    </row>
    <row r="72" spans="3:24" outlineLevel="1" x14ac:dyDescent="0.25">
      <c r="U72" s="302"/>
    </row>
    <row r="73" spans="3:24" ht="15.75" outlineLevel="1" x14ac:dyDescent="0.25">
      <c r="C73" s="42" t="s">
        <v>284</v>
      </c>
      <c r="D73" s="100">
        <f>INDEX(Calc_Losses_1[[Ausnet]:[United Energy]],MATCH("Total loss factor",Calc_Losses_1[Cost item],0),MATCH(CH_CostStack_RES!D$53,Calc_Losses_1[[#Headers],[Ausnet]:[United Energy]],0))</f>
        <v>7.9452873939792834E-2</v>
      </c>
      <c r="E73" s="100">
        <f>INDEX(Calc_Losses_1[[Ausnet]:[United Energy]],MATCH("Total loss factor",Calc_Losses_1[Cost item],0),MATCH(CH_CostStack_RES!E$53,Calc_Losses_1[[#Headers],[Ausnet]:[United Energy]],0))</f>
        <v>4.7771666666666768E-2</v>
      </c>
      <c r="F73" s="100">
        <f>INDEX(Calc_Losses_1[[Ausnet]:[United Energy]],MATCH("Total loss factor",Calc_Losses_1[Cost item],0),MATCH(CH_CostStack_RES!F$53,Calc_Losses_1[[#Headers],[Ausnet]:[United Energy]],0))</f>
        <v>4.2295975000000041E-2</v>
      </c>
      <c r="G73" s="100">
        <f>INDEX(Calc_Losses_1[[Ausnet]:[United Energy]],MATCH("Total loss factor",Calc_Losses_1[Cost item],0),MATCH(CH_CostStack_RES!G$53,Calc_Losses_1[[#Headers],[Ausnet]:[United Energy]],0))</f>
        <v>7.1527608826401856E-2</v>
      </c>
      <c r="H73" s="100">
        <f>INDEX(Calc_Losses_1[[Ausnet]:[United Energy]],MATCH("Total loss factor",Calc_Losses_1[Cost item],0),MATCH(CH_CostStack_RES!H$53,Calc_Losses_1[[#Headers],[Ausnet]:[United Energy]],0))</f>
        <v>4.7935977272727248E-2</v>
      </c>
      <c r="K73" s="42" t="s">
        <v>284</v>
      </c>
      <c r="L73" s="100">
        <f>INDEX(Calc_Losses_2[[Ausnet]:[United Energy]],MATCH("Total loss factor",Calc_Losses_2[Cost item],0),MATCH(CH_CostStack_RES!L$53,Calc_Losses_2[[#Headers],[Ausnet]:[United Energy]],0))</f>
        <v>7.9452873939792834E-2</v>
      </c>
      <c r="M73" s="100">
        <f>INDEX(Calc_Losses_2[[Ausnet]:[United Energy]],MATCH("Total loss factor",Calc_Losses_2[Cost item],0),MATCH(CH_CostStack_RES!M$53,Calc_Losses_2[[#Headers],[Ausnet]:[United Energy]],0))</f>
        <v>4.7771666666666768E-2</v>
      </c>
      <c r="N73" s="100">
        <f>INDEX(Calc_Losses_2[[Ausnet]:[United Energy]],MATCH("Total loss factor",Calc_Losses_2[Cost item],0),MATCH(CH_CostStack_RES!N$53,Calc_Losses_2[[#Headers],[Ausnet]:[United Energy]],0))</f>
        <v>4.2295975000000041E-2</v>
      </c>
      <c r="O73" s="100">
        <f>INDEX(Calc_Losses_2[[Ausnet]:[United Energy]],MATCH("Total loss factor",Calc_Losses_2[Cost item],0),MATCH(CH_CostStack_RES!O$53,Calc_Losses_2[[#Headers],[Ausnet]:[United Energy]],0))</f>
        <v>7.1527608826401856E-2</v>
      </c>
      <c r="P73" s="100">
        <f>INDEX(Calc_Losses_2[[Ausnet]:[United Energy]],MATCH("Total loss factor",Calc_Losses_2[Cost item],0),MATCH(CH_CostStack_RES!P$53,Calc_Losses_2[[#Headers],[Ausnet]:[United Energy]],0))</f>
        <v>4.7935977272727248E-2</v>
      </c>
    </row>
    <row r="74" spans="3:24" outlineLevel="1" x14ac:dyDescent="0.25"/>
    <row r="75" spans="3:24" ht="15.75" outlineLevel="1" x14ac:dyDescent="0.25">
      <c r="C75" s="29" t="s">
        <v>372</v>
      </c>
      <c r="K75" s="29" t="s">
        <v>372</v>
      </c>
      <c r="T75" s="87"/>
      <c r="V75" s="109"/>
    </row>
    <row r="76" spans="3:24" ht="15.75" outlineLevel="1" x14ac:dyDescent="0.25">
      <c r="C76" s="42" t="s">
        <v>369</v>
      </c>
      <c r="D76" s="86">
        <f>SUM(Calc_Retail_1[Ausnet])</f>
        <v>183.65511994063746</v>
      </c>
      <c r="E76" s="86">
        <f>SUM(Calc_Retail_1[Citipower])</f>
        <v>183.65511994063746</v>
      </c>
      <c r="F76" s="86">
        <f>SUM(Calc_Retail_1[Jemena])</f>
        <v>183.65511994063746</v>
      </c>
      <c r="G76" s="86">
        <f>SUM(Calc_Retail_1[Powercor])</f>
        <v>183.65511994063746</v>
      </c>
      <c r="H76" s="86">
        <f>SUM(Calc_Retail_1[United Energy])</f>
        <v>183.65511994063746</v>
      </c>
      <c r="K76" s="42" t="s">
        <v>369</v>
      </c>
      <c r="L76" s="86">
        <f>SUM(Calc_Retail_2[Ausnet])</f>
        <v>181.37562065040649</v>
      </c>
      <c r="M76" s="86">
        <f>SUM(Calc_Retail_2[Citipower])</f>
        <v>181.37562065040649</v>
      </c>
      <c r="N76" s="86">
        <f>SUM(Calc_Retail_2[Jemena])</f>
        <v>181.37562065040649</v>
      </c>
      <c r="O76" s="86">
        <f>SUM(Calc_Retail_2[Powercor])</f>
        <v>181.37562065040649</v>
      </c>
      <c r="P76" s="86">
        <f>SUM(Calc_Retail_2[United Energy])</f>
        <v>181.37562065040649</v>
      </c>
      <c r="T76" s="87"/>
      <c r="V76" s="109"/>
    </row>
    <row r="77" spans="3:24" outlineLevel="1" x14ac:dyDescent="0.25">
      <c r="V77" s="109"/>
    </row>
    <row r="78" spans="3:24" ht="15.75" outlineLevel="1" x14ac:dyDescent="0.25">
      <c r="C78" s="42" t="s">
        <v>371</v>
      </c>
      <c r="D78" s="86">
        <f>INDEX(Calc_NetworkF_1[[Ausnet]:[United Energy]],MATCH("Metering",Calc_NetworkF_1[[Cost item]:[Cost item]],0),MATCH(CH_CostStack_RES!D$53,Calc_NetworkF_1[[#Headers],[Ausnet]:[United Energy]],0))+
SUMIFS(Calc_NetworkF_1[Ausnet],Calc_NetworkF_1[[Cost item]:[Cost item]],"Anytime - supply",Calc_NetworkF_1[[Customer type]:[Customer type]],IF(ISNUMBER(SEARCH("Residential",$C$47)),"Residential","Small business"))</f>
        <v>184.01183637904217</v>
      </c>
      <c r="E78" s="86">
        <f>INDEX(Calc_NetworkF_1[[Ausnet]:[United Energy]],MATCH("Metering",Calc_NetworkF_1[[Cost item]:[Cost item]],0),MATCH(CH_CostStack_RES!E$53,Calc_NetworkF_1[[#Headers],[Ausnet]:[United Energy]],0))+
SUMIFS(Calc_NetworkF_1[Citipower],Calc_NetworkF_1[[Cost item]:[Cost item]],"Anytime - supply",Calc_NetworkF_1[[Customer type]:[Customer type]],IF(ISNUMBER(SEARCH("Residential",$C$47)),"Residential","Small business"))</f>
        <v>152.52268808839034</v>
      </c>
      <c r="F78" s="86">
        <f>INDEX(Calc_NetworkF_1[[Ausnet]:[United Energy]],MATCH("Metering",Calc_NetworkF_1[[Cost item]:[Cost item]],0),MATCH(CH_CostStack_RES!F$53,Calc_NetworkF_1[[#Headers],[Ausnet]:[United Energy]],0))+
SUMIFS(Calc_NetworkF_1[Jemena],Calc_NetworkF_1[[Cost item]:[Cost item]],"Anytime - supply",Calc_NetworkF_1[[Customer type]:[Customer type]],IF(ISNUMBER(SEARCH("Residential",$C$47)),"Residential","Small business"))</f>
        <v>138.01865368924976</v>
      </c>
      <c r="G78" s="86">
        <f>INDEX(Calc_NetworkF_1[[Ausnet]:[United Energy]],MATCH("Metering",Calc_NetworkF_1[[Cost item]:[Cost item]],0),MATCH(CH_CostStack_RES!G$53,Calc_NetworkF_1[[#Headers],[Ausnet]:[United Energy]],0))+
SUMIFS(Calc_NetworkF_1[Powercor],Calc_NetworkF_1[[Cost item]:[Cost item]],"Anytime - supply",Calc_NetworkF_1[[Customer type]:[Customer type]],IF(ISNUMBER(SEARCH("Residential",$C$47)),"Residential","Small business"))</f>
        <v>199.36829463145432</v>
      </c>
      <c r="H78" s="86">
        <f>INDEX(Calc_NetworkF_1[[Ausnet]:[United Energy]],MATCH("Metering",Calc_NetworkF_1[[Cost item]:[Cost item]],0),MATCH(CH_CostStack_RES!H$53,Calc_NetworkF_1[[#Headers],[Ausnet]:[United Energy]],0))+
SUMIFS(Calc_NetworkF_1[United Energy],Calc_NetworkF_1[[Cost item]:[Cost item]],"Anytime - supply",Calc_NetworkF_1[[Customer type]:[Customer type]],IF(ISNUMBER(SEARCH("Residential",$C$47)),"Residential","Small business"))</f>
        <v>123.81605803821685</v>
      </c>
      <c r="K78" s="42" t="s">
        <v>371</v>
      </c>
      <c r="L78" s="86">
        <f>INDEX(Calc_NetworkF_2[[Ausnet]:[United Energy]],MATCH("Metering",Calc_NetworkF_2[[Cost item]:[Cost item]],0),MATCH(CH_CostStack_RES!L$53,Calc_NetworkF_2[[#Headers],[Ausnet]:[United Energy]],0))+
SUMIFS(Calc_NetworkF_2[Ausnet],Calc_NetworkF_2[[Cost item]:[Cost item]],"Anytime - supply",Calc_NetworkF_2[[Customer type]:[Customer type]],IF(ISNUMBER(SEARCH("Residential",$K$47)),"Residential","Small business"))</f>
        <v>174.81</v>
      </c>
      <c r="M78" s="86">
        <f>INDEX(Calc_NetworkF_2[[Ausnet]:[United Energy]],MATCH("Metering",Calc_NetworkF_2[[Cost item]:[Cost item]],0),MATCH(CH_CostStack_RES!M$53,Calc_NetworkF_2[[#Headers],[Ausnet]:[United Energy]],0))+
SUMIFS(Calc_NetworkF_2[Citipower],Calc_NetworkF_2[[Cost item]:[Cost item]],"Anytime - supply",Calc_NetworkF_2[[Customer type]:[Customer type]],IF(ISNUMBER(SEARCH("Residential",$K$47)),"Residential","Small business"))</f>
        <v>149.40899999999999</v>
      </c>
      <c r="N78" s="86">
        <f>INDEX(Calc_NetworkF_2[[Ausnet]:[United Energy]],MATCH("Metering",Calc_NetworkF_2[[Cost item]:[Cost item]],0),MATCH(CH_CostStack_RES!N$53,Calc_NetworkF_2[[#Headers],[Ausnet]:[United Energy]],0))+
SUMIFS(Calc_NetworkF_2[Jemena],Calc_NetworkF_2[[Cost item]:[Cost item]],"Anytime - supply",Calc_NetworkF_2[[Customer type]:[Customer type]],IF(ISNUMBER(SEARCH("Residential",$K$47)),"Residential","Small business"))</f>
        <v>136.386</v>
      </c>
      <c r="O78" s="86">
        <f>INDEX(Calc_NetworkF_2[[Ausnet]:[United Energy]],MATCH("Metering",Calc_NetworkF_2[[Cost item]:[Cost item]],0),MATCH(CH_CostStack_RES!O$53,Calc_NetworkF_2[[#Headers],[Ausnet]:[United Energy]],0))+
SUMIFS(Calc_NetworkF_2[Powercor],Calc_NetworkF_2[[Cost item]:[Cost item]],"Anytime - supply",Calc_NetworkF_2[[Customer type]:[Customer type]],IF(ISNUMBER(SEARCH("Residential",$K$47)),"Residential","Small business"))</f>
        <v>197.97749999999999</v>
      </c>
      <c r="P78" s="86">
        <f>INDEX(Calc_NetworkF_2[[Ausnet]:[United Energy]],MATCH("Metering",Calc_NetworkF_2[[Cost item]:[Cost item]],0),MATCH(CH_CostStack_RES!P$53,Calc_NetworkF_2[[#Headers],[Ausnet]:[United Energy]],0))+
SUMIFS(Calc_NetworkF_2[United Energy],Calc_NetworkF_2[[Cost item]:[Cost item]],"Anytime - supply",Calc_NetworkF_2[[Customer type]:[Customer type]],IF(ISNUMBER(SEARCH("Residential",$K$47)),"Residential","Small business"))</f>
        <v>122.928</v>
      </c>
      <c r="T78" s="87"/>
      <c r="V78" s="109"/>
    </row>
    <row r="79" spans="3:24" outlineLevel="1" x14ac:dyDescent="0.25">
      <c r="V79" s="109"/>
      <c r="X79" s="108"/>
    </row>
    <row r="80" spans="3:24" ht="15.75" outlineLevel="1" x14ac:dyDescent="0.25">
      <c r="C80" s="42" t="s">
        <v>273</v>
      </c>
      <c r="D80" s="86">
        <f>SUMIFS(Calc_OtherCosts_1[Ausnet],Calc_OtherCosts_1[[Fixed/Variable]:[Fixed/Variable]],"Fixed")</f>
        <v>4.1899995214590042</v>
      </c>
      <c r="E80" s="86">
        <f>SUMIFS(Calc_OtherCosts_1[Citipower],Calc_OtherCosts_1[[Fixed/Variable]:[Fixed/Variable]],"Fixed")</f>
        <v>4.1899995214590042</v>
      </c>
      <c r="F80" s="86">
        <f>SUMIFS(Calc_OtherCosts_1[Jemena],Calc_OtherCosts_1[[Fixed/Variable]:[Fixed/Variable]],"Fixed")</f>
        <v>4.1899995214590042</v>
      </c>
      <c r="G80" s="86">
        <f>SUMIFS(Calc_OtherCosts_1[Powercor],Calc_OtherCosts_1[[Fixed/Variable]:[Fixed/Variable]],"Fixed")</f>
        <v>4.1899995214590042</v>
      </c>
      <c r="H80" s="86">
        <f>SUMIFS(Calc_OtherCosts_1[United Energy],Calc_OtherCosts_1[[Fixed/Variable]:[Fixed/Variable]],"Fixed")</f>
        <v>4.1899995214590042</v>
      </c>
      <c r="K80" s="42" t="s">
        <v>273</v>
      </c>
      <c r="L80" s="86">
        <f>SUMIFS(Calc_OtherCosts_2[Ausnet],Calc_OtherCosts_2[[Fixed/Variable]:[Fixed/Variable]],"Fixed")</f>
        <v>4.1198525061118714</v>
      </c>
      <c r="M80" s="86">
        <f>SUMIFS(Calc_OtherCosts_2[Citipower],Calc_OtherCosts_2[[Fixed/Variable]:[Fixed/Variable]],"Fixed")</f>
        <v>4.1198525061118714</v>
      </c>
      <c r="N80" s="86">
        <f>SUMIFS(Calc_OtherCosts_2[Jemena],Calc_OtherCosts_2[[Fixed/Variable]:[Fixed/Variable]],"Fixed")</f>
        <v>4.1198525061118714</v>
      </c>
      <c r="O80" s="86">
        <f>SUMIFS(Calc_OtherCosts_2[Powercor],Calc_OtherCosts_2[[Fixed/Variable]:[Fixed/Variable]],"Fixed")</f>
        <v>4.1198525061118714</v>
      </c>
      <c r="P80" s="86">
        <f>SUMIFS(Calc_OtherCosts_2[United Energy],Calc_OtherCosts_2[[Fixed/Variable]:[Fixed/Variable]],"Fixed")</f>
        <v>4.1198525061118714</v>
      </c>
    </row>
    <row r="81" spans="3:16" outlineLevel="1" x14ac:dyDescent="0.25"/>
    <row r="82" spans="3:16" ht="15.75" outlineLevel="1" x14ac:dyDescent="0.25">
      <c r="C82" s="42" t="s">
        <v>376</v>
      </c>
      <c r="D82" s="101">
        <f>INDEX(Calc_FiT_1[[Ausnet]:[United Energy]],1,MATCH(CH_CostStack_RES!D$53,Calc_FiT_1[[#Headers],[Ausnet]:[United Energy]],0))</f>
        <v>13.337821545021233</v>
      </c>
      <c r="E82" s="101">
        <f>INDEX(Calc_FiT_1[[Ausnet]:[United Energy]],1,MATCH(CH_CostStack_RES!E$53,Calc_FiT_1[[#Headers],[Ausnet]:[United Energy]],0))</f>
        <v>13.337821545021233</v>
      </c>
      <c r="F82" s="101">
        <f>INDEX(Calc_FiT_1[[Ausnet]:[United Energy]],1,MATCH(CH_CostStack_RES!F$53,Calc_FiT_1[[#Headers],[Ausnet]:[United Energy]],0))</f>
        <v>13.337821545021233</v>
      </c>
      <c r="G82" s="101">
        <f>INDEX(Calc_FiT_1[[Ausnet]:[United Energy]],1,MATCH(CH_CostStack_RES!G$53,Calc_FiT_1[[#Headers],[Ausnet]:[United Energy]],0))</f>
        <v>13.337821545021233</v>
      </c>
      <c r="H82" s="101">
        <f>INDEX(Calc_FiT_1[[Ausnet]:[United Energy]],1,MATCH(CH_CostStack_RES!H$53,Calc_FiT_1[[#Headers],[Ausnet]:[United Energy]],0))</f>
        <v>13.337821545021233</v>
      </c>
      <c r="K82" s="42" t="s">
        <v>376</v>
      </c>
      <c r="L82" s="101">
        <f>INDEX(Calc_FiT_2[[Ausnet]:[United Energy]],1,MATCH(CH_CostStack_RES!L$53,Calc_FiT_2[[#Headers],[Ausnet]:[United Energy]],0))</f>
        <v>13.337821545021233</v>
      </c>
      <c r="M82" s="101">
        <f>INDEX(Calc_FiT_2[[Ausnet]:[United Energy]],1,MATCH(CH_CostStack_RES!M$53,Calc_FiT_2[[#Headers],[Ausnet]:[United Energy]],0))</f>
        <v>13.337821545021233</v>
      </c>
      <c r="N82" s="101">
        <f>INDEX(Calc_FiT_2[[Ausnet]:[United Energy]],1,MATCH(CH_CostStack_RES!N$53,Calc_FiT_2[[#Headers],[Ausnet]:[United Energy]],0))</f>
        <v>13.337821545021233</v>
      </c>
      <c r="O82" s="101">
        <f>INDEX(Calc_FiT_2[[Ausnet]:[United Energy]],1,MATCH(CH_CostStack_RES!O$53,Calc_FiT_2[[#Headers],[Ausnet]:[United Energy]],0))</f>
        <v>13.337821545021233</v>
      </c>
      <c r="P82" s="101">
        <f>INDEX(Calc_FiT_2[[Ausnet]:[United Energy]],1,MATCH(CH_CostStack_RES!P$53,Calc_FiT_2[[#Headers],[Ausnet]:[United Energy]],0))</f>
        <v>13.337821545021233</v>
      </c>
    </row>
    <row r="83" spans="3:16" outlineLevel="1" x14ac:dyDescent="0.25"/>
    <row r="84" spans="3:16" ht="15.75" outlineLevel="1" x14ac:dyDescent="0.25">
      <c r="C84" s="29" t="s">
        <v>373</v>
      </c>
      <c r="K84" s="29" t="s">
        <v>373</v>
      </c>
    </row>
    <row r="85" spans="3:16" ht="15.75" outlineLevel="1" x14ac:dyDescent="0.25">
      <c r="C85" s="42" t="s">
        <v>151</v>
      </c>
      <c r="D85" s="86">
        <f>INDEX(Calc_EnviroVEU_1[[Ausnet]:[United Energy]],MATCH("VEU cost",Calc_EnviroVEU_1[[Cost item]:[Cost item]],0),MATCH(CH_CostStack_RES!D$53,Calc_EnviroVEU_1[[#Headers],[Ausnet]:[United Energy]],0))+
INDEX(Calc_EnviroLRET_1[[Ausnet]:[United Energy]],MATCH("LRET cost",Calc_EnviroLRET_1[[Cost item]:[Cost item]],0),MATCH(CH_CostStack_RES!D$53,Calc_EnviroLRET_1[[#Headers],[Ausnet]:[United Energy]],0))+
INDEX(Calc_EnviroSRES_1[[Ausnet]:[United Energy]],MATCH("SRES cost",Calc_EnviroSRES_1[[Cost item]:[Cost item]],0),MATCH(CH_CostStack_RES!D$53,Calc_EnviroSRES_1[[#Headers],[Ausnet]:[United Energy]],0))</f>
        <v>2.9373578857956113E-2</v>
      </c>
      <c r="E85" s="86">
        <f>INDEX(Calc_EnviroVEU_1[[Ausnet]:[United Energy]],MATCH("VEU cost",Calc_EnviroVEU_1[[Cost item]:[Cost item]],0),MATCH(CH_CostStack_RES!E$53,Calc_EnviroVEU_1[[#Headers],[Ausnet]:[United Energy]],0))+
INDEX(Calc_EnviroLRET_1[[Ausnet]:[United Energy]],MATCH("LRET cost",Calc_EnviroLRET_1[[Cost item]:[Cost item]],0),MATCH(CH_CostStack_RES!E$53,Calc_EnviroLRET_1[[#Headers],[Ausnet]:[United Energy]],0))+
INDEX(Calc_EnviroSRES_1[[Ausnet]:[United Energy]],MATCH("SRES cost",Calc_EnviroSRES_1[[Cost item]:[Cost item]],0),MATCH(CH_CostStack_RES!E$53,Calc_EnviroSRES_1[[#Headers],[Ausnet]:[United Energy]],0))</f>
        <v>2.9373578857956113E-2</v>
      </c>
      <c r="F85" s="86">
        <f>INDEX(Calc_EnviroVEU_1[[Ausnet]:[United Energy]],MATCH("VEU cost",Calc_EnviroVEU_1[[Cost item]:[Cost item]],0),MATCH(CH_CostStack_RES!F$53,Calc_EnviroVEU_1[[#Headers],[Ausnet]:[United Energy]],0))+
INDEX(Calc_EnviroLRET_1[[Ausnet]:[United Energy]],MATCH("LRET cost",Calc_EnviroLRET_1[[Cost item]:[Cost item]],0),MATCH(CH_CostStack_RES!F$53,Calc_EnviroLRET_1[[#Headers],[Ausnet]:[United Energy]],0))+
INDEX(Calc_EnviroSRES_1[[Ausnet]:[United Energy]],MATCH("SRES cost",Calc_EnviroSRES_1[[Cost item]:[Cost item]],0),MATCH(CH_CostStack_RES!F$53,Calc_EnviroSRES_1[[#Headers],[Ausnet]:[United Energy]],0))</f>
        <v>2.9373578857956113E-2</v>
      </c>
      <c r="G85" s="86">
        <f>INDEX(Calc_EnviroVEU_1[[Ausnet]:[United Energy]],MATCH("VEU cost",Calc_EnviroVEU_1[[Cost item]:[Cost item]],0),MATCH(CH_CostStack_RES!G$53,Calc_EnviroVEU_1[[#Headers],[Ausnet]:[United Energy]],0))+
INDEX(Calc_EnviroLRET_1[[Ausnet]:[United Energy]],MATCH("LRET cost",Calc_EnviroLRET_1[[Cost item]:[Cost item]],0),MATCH(CH_CostStack_RES!G$53,Calc_EnviroLRET_1[[#Headers],[Ausnet]:[United Energy]],0))+
INDEX(Calc_EnviroSRES_1[[Ausnet]:[United Energy]],MATCH("SRES cost",Calc_EnviroSRES_1[[Cost item]:[Cost item]],0),MATCH(CH_CostStack_RES!G$53,Calc_EnviroSRES_1[[#Headers],[Ausnet]:[United Energy]],0))</f>
        <v>2.9373578857956113E-2</v>
      </c>
      <c r="H85" s="86">
        <f>INDEX(Calc_EnviroVEU_1[[Ausnet]:[United Energy]],MATCH("VEU cost",Calc_EnviroVEU_1[[Cost item]:[Cost item]],0),MATCH(CH_CostStack_RES!H$53,Calc_EnviroVEU_1[[#Headers],[Ausnet]:[United Energy]],0))+
INDEX(Calc_EnviroLRET_1[[Ausnet]:[United Energy]],MATCH("LRET cost",Calc_EnviroLRET_1[[Cost item]:[Cost item]],0),MATCH(CH_CostStack_RES!H$53,Calc_EnviroLRET_1[[#Headers],[Ausnet]:[United Energy]],0))+
INDEX(Calc_EnviroSRES_1[[Ausnet]:[United Energy]],MATCH("SRES cost",Calc_EnviroSRES_1[[Cost item]:[Cost item]],0),MATCH(CH_CostStack_RES!H$53,Calc_EnviroSRES_1[[#Headers],[Ausnet]:[United Energy]],0))</f>
        <v>2.9373578857956113E-2</v>
      </c>
      <c r="K85" s="42" t="s">
        <v>151</v>
      </c>
      <c r="L85" s="86">
        <f>INDEX(Calc_EnviroVEU_2[[Ausnet]:[United Energy]],MATCH("VEU cost",Calc_EnviroVEU_2[[Cost item]:[Cost item]],0),MATCH(CH_CostStack_RES!L$53,Calc_EnviroVEU_2[[#Headers],[Ausnet]:[United Energy]],0))+
INDEX(Calc_EnviroLRET_2[[Ausnet]:[United Energy]],MATCH("LRET cost",Calc_EnviroLRET_2[[Cost item]:[Cost item]],0),MATCH(CH_CostStack_RES!L$53,Calc_EnviroLRET_2[[#Headers],[Ausnet]:[United Energy]],0))+
INDEX(Calc_EnviroSRES_2[[Ausnet]:[United Energy]],MATCH("SRES cost",Calc_EnviroSRES_2[[Cost item]:[Cost item]],0),MATCH(CH_CostStack_RES!L$53,Calc_EnviroSRES_2[[#Headers],[Ausnet]:[United Energy]],0))</f>
        <v>2.6450055368152592E-2</v>
      </c>
      <c r="M85" s="86">
        <f>INDEX(Calc_EnviroVEU_2[[Ausnet]:[United Energy]],MATCH("VEU cost",Calc_EnviroVEU_2[[Cost item]:[Cost item]],0),MATCH(CH_CostStack_RES!M$53,Calc_EnviroVEU_2[[#Headers],[Ausnet]:[United Energy]],0))+
INDEX(Calc_EnviroLRET_2[[Ausnet]:[United Energy]],MATCH("LRET cost",Calc_EnviroLRET_2[[Cost item]:[Cost item]],0),MATCH(CH_CostStack_RES!M$53,Calc_EnviroLRET_2[[#Headers],[Ausnet]:[United Energy]],0))+
INDEX(Calc_EnviroSRES_2[[Ausnet]:[United Energy]],MATCH("SRES cost",Calc_EnviroSRES_2[[Cost item]:[Cost item]],0),MATCH(CH_CostStack_RES!M$53,Calc_EnviroSRES_2[[#Headers],[Ausnet]:[United Energy]],0))</f>
        <v>2.6450055368152592E-2</v>
      </c>
      <c r="N85" s="86">
        <f>INDEX(Calc_EnviroVEU_2[[Ausnet]:[United Energy]],MATCH("VEU cost",Calc_EnviroVEU_2[[Cost item]:[Cost item]],0),MATCH(CH_CostStack_RES!N$53,Calc_EnviroVEU_2[[#Headers],[Ausnet]:[United Energy]],0))+
INDEX(Calc_EnviroLRET_2[[Ausnet]:[United Energy]],MATCH("LRET cost",Calc_EnviroLRET_2[[Cost item]:[Cost item]],0),MATCH(CH_CostStack_RES!N$53,Calc_EnviroLRET_2[[#Headers],[Ausnet]:[United Energy]],0))+
INDEX(Calc_EnviroSRES_2[[Ausnet]:[United Energy]],MATCH("SRES cost",Calc_EnviroSRES_2[[Cost item]:[Cost item]],0),MATCH(CH_CostStack_RES!N$53,Calc_EnviroSRES_2[[#Headers],[Ausnet]:[United Energy]],0))</f>
        <v>2.6450055368152592E-2</v>
      </c>
      <c r="O85" s="86">
        <f>INDEX(Calc_EnviroVEU_2[[Ausnet]:[United Energy]],MATCH("VEU cost",Calc_EnviroVEU_2[[Cost item]:[Cost item]],0),MATCH(CH_CostStack_RES!O$53,Calc_EnviroVEU_2[[#Headers],[Ausnet]:[United Energy]],0))+
INDEX(Calc_EnviroLRET_2[[Ausnet]:[United Energy]],MATCH("LRET cost",Calc_EnviroLRET_2[[Cost item]:[Cost item]],0),MATCH(CH_CostStack_RES!O$53,Calc_EnviroLRET_2[[#Headers],[Ausnet]:[United Energy]],0))+
INDEX(Calc_EnviroSRES_2[[Ausnet]:[United Energy]],MATCH("SRES cost",Calc_EnviroSRES_2[[Cost item]:[Cost item]],0),MATCH(CH_CostStack_RES!O$53,Calc_EnviroSRES_2[[#Headers],[Ausnet]:[United Energy]],0))</f>
        <v>2.6450055368152592E-2</v>
      </c>
      <c r="P85" s="86">
        <f>INDEX(Calc_EnviroVEU_2[[Ausnet]:[United Energy]],MATCH("VEU cost",Calc_EnviroVEU_2[[Cost item]:[Cost item]],0),MATCH(CH_CostStack_RES!P$53,Calc_EnviroVEU_2[[#Headers],[Ausnet]:[United Energy]],0))+
INDEX(Calc_EnviroLRET_2[[Ausnet]:[United Energy]],MATCH("LRET cost",Calc_EnviroLRET_2[[Cost item]:[Cost item]],0),MATCH(CH_CostStack_RES!P$53,Calc_EnviroLRET_2[[#Headers],[Ausnet]:[United Energy]],0))+
INDEX(Calc_EnviroSRES_2[[Ausnet]:[United Energy]],MATCH("SRES cost",Calc_EnviroSRES_2[[Cost item]:[Cost item]],0),MATCH(CH_CostStack_RES!P$53,Calc_EnviroSRES_2[[#Headers],[Ausnet]:[United Energy]],0))</f>
        <v>2.6450055368152592E-2</v>
      </c>
    </row>
    <row r="86" spans="3:16" outlineLevel="1" x14ac:dyDescent="0.25"/>
    <row r="87" spans="3:16" ht="15.75" outlineLevel="1" x14ac:dyDescent="0.25">
      <c r="C87" s="42" t="s">
        <v>128</v>
      </c>
      <c r="D87" s="101">
        <f>IF(ISNUMBER(SEARCH("Residential",$C$47)),
INDEX(Calc_WholesaleRES_1[[Ausnet]:[United Energy]],MATCH("Wholesale cost",Calc_WholesaleRES_1[[Cost item]:[Cost item]],0),MATCH(CH_CostStack_RES!D$53,Calc_WholesaleRES_1[[#Headers],[Ausnet]:[United Energy]],0)),
INDEX(Calc_WholesaleSME_1[[Ausnet]:[United Energy]],MATCH("Wholesale cost",Calc_WholesaleSME_1[[Cost item]:[Cost item]],0),MATCH(CH_CostStack_RES!D$53,Calc_WholesaleSME_1[[#Headers],[Ausnet]:[United Energy]],0)))</f>
        <v>7.708000000000001E-2</v>
      </c>
      <c r="E87" s="101">
        <f>IF(ISNUMBER(SEARCH("Residential",$C$47)),
INDEX(Calc_WholesaleRES_1[[Ausnet]:[United Energy]],MATCH("Wholesale cost",Calc_WholesaleRES_1[[Cost item]:[Cost item]],0),MATCH(CH_CostStack_RES!E$53,Calc_WholesaleRES_1[[#Headers],[Ausnet]:[United Energy]],0)),
INDEX(Calc_WholesaleSME_1[[Ausnet]:[United Energy]],MATCH("Wholesale cost",Calc_WholesaleSME_1[[Cost item]:[Cost item]],0),MATCH(CH_CostStack_RES!E$53,Calc_WholesaleSME_1[[#Headers],[Ausnet]:[United Energy]],0)))</f>
        <v>7.0949999999999999E-2</v>
      </c>
      <c r="F87" s="101">
        <f>IF(ISNUMBER(SEARCH("Residential",$C$47)),
INDEX(Calc_WholesaleRES_1[[Ausnet]:[United Energy]],MATCH("Wholesale cost",Calc_WholesaleRES_1[[Cost item]:[Cost item]],0),MATCH(CH_CostStack_RES!F$53,Calc_WholesaleRES_1[[#Headers],[Ausnet]:[United Energy]],0)),
INDEX(Calc_WholesaleSME_1[[Ausnet]:[United Energy]],MATCH("Wholesale cost",Calc_WholesaleSME_1[[Cost item]:[Cost item]],0),MATCH(CH_CostStack_RES!F$53,Calc_WholesaleSME_1[[#Headers],[Ausnet]:[United Energy]],0)))</f>
        <v>7.7840000000000006E-2</v>
      </c>
      <c r="G87" s="101">
        <f>IF(ISNUMBER(SEARCH("Residential",$C$47)),
INDEX(Calc_WholesaleRES_1[[Ausnet]:[United Energy]],MATCH("Wholesale cost",Calc_WholesaleRES_1[[Cost item]:[Cost item]],0),MATCH(CH_CostStack_RES!G$53,Calc_WholesaleRES_1[[#Headers],[Ausnet]:[United Energy]],0)),
INDEX(Calc_WholesaleSME_1[[Ausnet]:[United Energy]],MATCH("Wholesale cost",Calc_WholesaleSME_1[[Cost item]:[Cost item]],0),MATCH(CH_CostStack_RES!G$53,Calc_WholesaleSME_1[[#Headers],[Ausnet]:[United Energy]],0)))</f>
        <v>7.5389999999999999E-2</v>
      </c>
      <c r="H87" s="101">
        <f>IF(ISNUMBER(SEARCH("Residential",$C$47)),
INDEX(Calc_WholesaleRES_1[[Ausnet]:[United Energy]],MATCH("Wholesale cost",Calc_WholesaleRES_1[[Cost item]:[Cost item]],0),MATCH(CH_CostStack_RES!H$53,Calc_WholesaleRES_1[[#Headers],[Ausnet]:[United Energy]],0)),
INDEX(Calc_WholesaleSME_1[[Ausnet]:[United Energy]],MATCH("Wholesale cost",Calc_WholesaleSME_1[[Cost item]:[Cost item]],0),MATCH(CH_CostStack_RES!H$53,Calc_WholesaleSME_1[[#Headers],[Ausnet]:[United Energy]],0)))</f>
        <v>7.7210000000000015E-2</v>
      </c>
      <c r="K87" s="42" t="s">
        <v>128</v>
      </c>
      <c r="L87" s="101">
        <f>IF(ISNUMBER(SEARCH("Residential",$K$47)),
INDEX(Calc_WholesaleRES_2[[Ausnet]:[United Energy]],MATCH("Wholesale cost",Calc_WholesaleRES_2[[Cost item]:[Cost item]],0),MATCH(CH_CostStack_RES!L$53,Calc_WholesaleRES_2[[#Headers],[Ausnet]:[United Energy]],0)),
INDEX(Calc_WholesaleSME_2[[Ausnet]:[United Energy]],MATCH("Wholesale cost",Calc_WholesaleSME_2[[Cost item]:[Cost item]],0),MATCH(CH_CostStack_RES!L$53,Calc_WholesaleSME_2[[#Headers],[Ausnet]:[United Energy]],0)))</f>
        <v>7.1690000000000004E-2</v>
      </c>
      <c r="M87" s="101">
        <f>IF(ISNUMBER(SEARCH("Residential",$K$47)),
INDEX(Calc_WholesaleRES_2[[Ausnet]:[United Energy]],MATCH("Wholesale cost",Calc_WholesaleRES_2[[Cost item]:[Cost item]],0),MATCH(CH_CostStack_RES!M$53,Calc_WholesaleRES_2[[#Headers],[Ausnet]:[United Energy]],0)),
INDEX(Calc_WholesaleSME_2[[Ausnet]:[United Energy]],MATCH("Wholesale cost",Calc_WholesaleSME_2[[Cost item]:[Cost item]],0),MATCH(CH_CostStack_RES!M$53,Calc_WholesaleSME_2[[#Headers],[Ausnet]:[United Energy]],0)))</f>
        <v>6.8080000000000002E-2</v>
      </c>
      <c r="N87" s="101">
        <f>IF(ISNUMBER(SEARCH("Residential",$K$47)),
INDEX(Calc_WholesaleRES_2[[Ausnet]:[United Energy]],MATCH("Wholesale cost",Calc_WholesaleRES_2[[Cost item]:[Cost item]],0),MATCH(CH_CostStack_RES!N$53,Calc_WholesaleRES_2[[#Headers],[Ausnet]:[United Energy]],0)),
INDEX(Calc_WholesaleSME_2[[Ausnet]:[United Energy]],MATCH("Wholesale cost",Calc_WholesaleSME_2[[Cost item]:[Cost item]],0),MATCH(CH_CostStack_RES!N$53,Calc_WholesaleSME_2[[#Headers],[Ausnet]:[United Energy]],0)))</f>
        <v>7.3950000000000016E-2</v>
      </c>
      <c r="O87" s="101">
        <f>IF(ISNUMBER(SEARCH("Residential",$K$47)),
INDEX(Calc_WholesaleRES_2[[Ausnet]:[United Energy]],MATCH("Wholesale cost",Calc_WholesaleRES_2[[Cost item]:[Cost item]],0),MATCH(CH_CostStack_RES!O$53,Calc_WholesaleRES_2[[#Headers],[Ausnet]:[United Energy]],0)),
INDEX(Calc_WholesaleSME_2[[Ausnet]:[United Energy]],MATCH("Wholesale cost",Calc_WholesaleSME_2[[Cost item]:[Cost item]],0),MATCH(CH_CostStack_RES!O$53,Calc_WholesaleSME_2[[#Headers],[Ausnet]:[United Energy]],0)))</f>
        <v>7.0059999999999997E-2</v>
      </c>
      <c r="P87" s="101">
        <f>IF(ISNUMBER(SEARCH("Residential",$K$47)),
INDEX(Calc_WholesaleRES_2[[Ausnet]:[United Energy]],MATCH("Wholesale cost",Calc_WholesaleRES_2[[Cost item]:[Cost item]],0),MATCH(CH_CostStack_RES!P$53,Calc_WholesaleRES_2[[#Headers],[Ausnet]:[United Energy]],0)),
INDEX(Calc_WholesaleSME_2[[Ausnet]:[United Energy]],MATCH("Wholesale cost",Calc_WholesaleSME_2[[Cost item]:[Cost item]],0),MATCH(CH_CostStack_RES!P$53,Calc_WholesaleSME_2[[#Headers],[Ausnet]:[United Energy]],0)))</f>
        <v>7.4489999999999987E-2</v>
      </c>
    </row>
    <row r="88" spans="3:16" outlineLevel="1" x14ac:dyDescent="0.25"/>
    <row r="89" spans="3:16" ht="15.75" outlineLevel="1" x14ac:dyDescent="0.25">
      <c r="C89" s="42" t="s">
        <v>273</v>
      </c>
      <c r="D89" s="86">
        <f>SUMIFS(Calc_OtherCosts_1[Ausnet],Calc_OtherCosts_1[[Fixed/Variable]:[Fixed/Variable]],"Variable")</f>
        <v>9.079633158843776E-4</v>
      </c>
      <c r="E89" s="86">
        <f>SUMIFS(Calc_OtherCosts_1[Citipower],Calc_OtherCosts_1[[Fixed/Variable]:[Fixed/Variable]],"Variable")</f>
        <v>9.079633158843776E-4</v>
      </c>
      <c r="F89" s="86">
        <f>SUMIFS(Calc_OtherCosts_1[Jemena],Calc_OtherCosts_1[[Fixed/Variable]:[Fixed/Variable]],"Variable")</f>
        <v>9.079633158843776E-4</v>
      </c>
      <c r="G89" s="86">
        <f>SUMIFS(Calc_OtherCosts_1[Powercor],Calc_OtherCosts_1[[Fixed/Variable]:[Fixed/Variable]],"Variable")</f>
        <v>9.079633158843776E-4</v>
      </c>
      <c r="H89" s="86">
        <f>SUMIFS(Calc_OtherCosts_1[United Energy],Calc_OtherCosts_1[[Fixed/Variable]:[Fixed/Variable]],"Variable")</f>
        <v>9.079633158843776E-4</v>
      </c>
      <c r="K89" s="42" t="s">
        <v>273</v>
      </c>
      <c r="L89" s="86">
        <f>SUMIFS(Calc_OtherCosts_2[Ausnet],Calc_OtherCosts_2[[Fixed/Variable]:[Fixed/Variable]],"Variable")</f>
        <v>8.7547970254075731E-4</v>
      </c>
      <c r="M89" s="86">
        <f>SUMIFS(Calc_OtherCosts_2[Citipower],Calc_OtherCosts_2[[Fixed/Variable]:[Fixed/Variable]],"Variable")</f>
        <v>8.7547970254075731E-4</v>
      </c>
      <c r="N89" s="86">
        <f>SUMIFS(Calc_OtherCosts_2[Jemena],Calc_OtherCosts_2[[Fixed/Variable]:[Fixed/Variable]],"Variable")</f>
        <v>8.7547970254075731E-4</v>
      </c>
      <c r="O89" s="86">
        <f>SUMIFS(Calc_OtherCosts_2[Powercor],Calc_OtherCosts_2[[Fixed/Variable]:[Fixed/Variable]],"Variable")</f>
        <v>8.7547970254075731E-4</v>
      </c>
      <c r="P89" s="86">
        <f>SUMIFS(Calc_OtherCosts_2[United Energy],Calc_OtherCosts_2[[Fixed/Variable]:[Fixed/Variable]],"Variable")</f>
        <v>8.7547970254075731E-4</v>
      </c>
    </row>
    <row r="90" spans="3:16" outlineLevel="1" x14ac:dyDescent="0.25"/>
    <row r="91" spans="3:16" ht="15.75" outlineLevel="1" x14ac:dyDescent="0.25">
      <c r="C91" s="42" t="s">
        <v>370</v>
      </c>
      <c r="K91" s="42" t="s">
        <v>370</v>
      </c>
    </row>
    <row r="92" spans="3:16" outlineLevel="1" x14ac:dyDescent="0.25">
      <c r="C92" t="s">
        <v>221</v>
      </c>
      <c r="D92" s="101">
        <f>SUMIFS(Calc_NetworkV_1[Ausnet],Calc_NetworkV_1[[Cost item]:[Cost item]],$C92,Calc_NetworkV_1[[Customer type]:[Customer type]],IF(ISNUMBER(SEARCH("Residential",$C$47)),"Residential","Small business"))</f>
        <v>0.11450300000000001</v>
      </c>
      <c r="E92" s="101">
        <f>SUMIFS(Calc_NetworkV_1[Citipower],Calc_NetworkV_1[[Cost item]:[Cost item]],$C92,Calc_NetworkV_1[[Customer type]:[Customer type]],IF(ISNUMBER(SEARCH("Residential",$C$47)),"Residential","Small business"))</f>
        <v>0</v>
      </c>
      <c r="F92" s="101">
        <f>SUMIFS(Calc_NetworkV_1[Jemena],Calc_NetworkV_1[[Cost item]:[Cost item]],$C92,Calc_NetworkV_1[[Customer type]:[Customer type]],IF(ISNUMBER(SEARCH("Residential",$C$47)),"Residential","Small business"))</f>
        <v>0</v>
      </c>
      <c r="G92" s="101">
        <f>SUMIFS(Calc_NetworkV_1[Powercor],Calc_NetworkV_1[Cost item],$C92,Calc_NetworkV_1[Customer type],IF(ISNUMBER(SEARCH("Residential",$C$47)),"Residential","Small business"))</f>
        <v>0</v>
      </c>
      <c r="H92" s="101">
        <f>SUMIFS(Calc_NetworkV_1[United Energy],Calc_NetworkV_1[[Cost item]:[Cost item]],$C92,Calc_NetworkV_1[[Customer type]:[Customer type]],IF(ISNUMBER(SEARCH("Residential",$C$47)),"Residential","Small business"))</f>
        <v>0</v>
      </c>
      <c r="K92" t="s">
        <v>221</v>
      </c>
      <c r="L92" s="101">
        <f>SUMIFS(Calc_NetworkV_2[Ausnet],Calc_NetworkV_2[Cost item],$K92,Calc_NetworkV_2[Customer type],IF(ISNUMBER(SEARCH("Residential",$K$47)),"Residential","Small business"))</f>
        <v>0.11450300000000001</v>
      </c>
      <c r="M92" s="101">
        <f>SUMIFS(Calc_NetworkV_2[Citipower],Calc_NetworkV_2[[Cost item]:[Cost item]],$K92,Calc_NetworkV_2[[Customer type]:[Customer type]],IF(ISNUMBER(SEARCH("Residential",$K$47)),"Residential","Small business"))</f>
        <v>0</v>
      </c>
      <c r="N92" s="101">
        <f>SUMIFS(Calc_NetworkV_2[Jemena],Calc_NetworkV_2[[Cost item]:[Cost item]],$K92,Calc_NetworkV_2[[Customer type]:[Customer type]],IF(ISNUMBER(SEARCH("Residential",$K$47)),"Residential","Small business"))</f>
        <v>0</v>
      </c>
      <c r="O92" s="101">
        <f>SUMIFS(Calc_NetworkV_2[Powercor],Calc_NetworkV_2[[Cost item]:[Cost item]],$K92,Calc_NetworkV_2[[Customer type]:[Customer type]],IF(ISNUMBER(SEARCH("Residential",$K$47)),"Residential","Small business"))</f>
        <v>0</v>
      </c>
      <c r="P92" s="101">
        <f>SUMIFS(Calc_NetworkV_2[United Energy],Calc_NetworkV_2[[Cost item]:[Cost item]],$K92,Calc_NetworkV_2[[Customer type]:[Customer type]],IF(ISNUMBER(SEARCH("Residential",$K$47)),"Residential","Small business"))</f>
        <v>0</v>
      </c>
    </row>
    <row r="93" spans="3:16" outlineLevel="1" x14ac:dyDescent="0.25">
      <c r="C93" t="s">
        <v>228</v>
      </c>
      <c r="D93" s="101">
        <f>SUMIFS(Calc_NetworkV_1[Ausnet],Calc_NetworkV_1[Cost item],$C93,Calc_NetworkV_1[Customer type],IF(ISNUMBER(SEARCH("Residential",$C$47)),"Residential","Small business"))</f>
        <v>0.128382</v>
      </c>
      <c r="E93" s="101">
        <f>SUMIFS(Calc_NetworkV_1[Citipower],Calc_NetworkV_1[[Cost item]:[Cost item]],$C93,Calc_NetworkV_1[[Customer type]:[Customer type]],IF(ISNUMBER(SEARCH("Residential",$C$47)),"Residential","Small business"))</f>
        <v>0</v>
      </c>
      <c r="F93" s="101">
        <f>SUMIFS(Calc_NetworkV_1[Jemena],Calc_NetworkV_1[[Cost item]:[Cost item]],$C93,Calc_NetworkV_1[[Customer type]:[Customer type]],IF(ISNUMBER(SEARCH("Residential",$C$47)),"Residential","Small business"))</f>
        <v>0</v>
      </c>
      <c r="G93" s="101">
        <f>SUMIFS(Calc_NetworkV_1[Powercor],Calc_NetworkV_1[[Cost item]:[Cost item]],$C93,Calc_NetworkV_1[[Customer type]:[Customer type]],IF(ISNUMBER(SEARCH("Residential",$C$47)),"Residential","Small business"))</f>
        <v>0</v>
      </c>
      <c r="H93" s="101">
        <f>SUMIFS(Calc_NetworkV_1[United Energy],Calc_NetworkV_1[[Cost item]:[Cost item]],$C93,Calc_NetworkV_1[[Customer type]:[Customer type]],IF(ISNUMBER(SEARCH("Residential",$C$47)),"Residential","Small business"))</f>
        <v>0</v>
      </c>
      <c r="K93" t="s">
        <v>228</v>
      </c>
      <c r="L93" s="101">
        <f>SUMIFS(Calc_NetworkV_2[Ausnet],Calc_NetworkV_2[[Cost item]:[Cost item]],$K93,Calc_NetworkV_2[[Customer type]:[Customer type]],IF(ISNUMBER(SEARCH("Residential",$K$47)),"Residential","Small business"))</f>
        <v>0.128382</v>
      </c>
      <c r="M93" s="101">
        <f>SUMIFS(Calc_NetworkV_2[Citipower],Calc_NetworkV_2[[Cost item]:[Cost item]],$K93,Calc_NetworkV_2[[Customer type]:[Customer type]],IF(ISNUMBER(SEARCH("Residential",$K$47)),"Residential","Small business"))</f>
        <v>0</v>
      </c>
      <c r="N93" s="101">
        <f>SUMIFS(Calc_NetworkV_2[Jemena],Calc_NetworkV_2[[Cost item]:[Cost item]],$K93,Calc_NetworkV_2[[Customer type]:[Customer type]],IF(ISNUMBER(SEARCH("Residential",$K$47)),"Residential","Small business"))</f>
        <v>0</v>
      </c>
      <c r="O93" s="101">
        <f>SUMIFS(Calc_NetworkV_2[Powercor],Calc_NetworkV_2[[Cost item]:[Cost item]],$K93,Calc_NetworkV_2[[Customer type]:[Customer type]],IF(ISNUMBER(SEARCH("Residential",$K$47)),"Residential","Small business"))</f>
        <v>0</v>
      </c>
      <c r="P93" s="101">
        <f>SUMIFS(Calc_NetworkV_2[United Energy],Calc_NetworkV_2[[Cost item]:[Cost item]],$K93,Calc_NetworkV_2[[Customer type]:[Customer type]],IF(ISNUMBER(SEARCH("Residential",$K$47)),"Residential","Small business"))</f>
        <v>0</v>
      </c>
    </row>
    <row r="94" spans="3:16" outlineLevel="1" x14ac:dyDescent="0.25">
      <c r="C94" t="s">
        <v>549</v>
      </c>
      <c r="D94" s="101">
        <f>SUMIFS(Calc_NetworkV_1[Ausnet],Calc_NetworkV_1[[Cost item]:[Cost item]],$C94,Calc_NetworkV_1[[Customer type]:[Customer type]],IF(ISNUMBER(SEARCH("Residential",$C$47)),"Residential","Small business"))</f>
        <v>0</v>
      </c>
      <c r="E94" s="101">
        <f>SUMIFS(Calc_NetworkV_1[Citipower],Calc_NetworkV_1[[Cost item]:[Cost item]],$C94,Calc_NetworkV_1[[Customer type]:[Customer type]],IF(ISNUMBER(SEARCH("Residential",$C$47)),"Residential","Small business"))</f>
        <v>8.0500000000000002E-2</v>
      </c>
      <c r="F94" s="101">
        <f>SUMIFS(Calc_NetworkV_1[Jemena],Calc_NetworkV_1[[Cost item]:[Cost item]],$C94,Calc_NetworkV_1[[Customer type]:[Customer type]],IF(ISNUMBER(SEARCH("Residential",$C$47)),"Residential","Small business"))</f>
        <v>8.6699999999999999E-2</v>
      </c>
      <c r="G94" s="101">
        <f>SUMIFS(Calc_NetworkV_1[Powercor],Calc_NetworkV_1[[Cost item]:[Cost item]],$C94,Calc_NetworkV_1[[Customer type]:[Customer type]],IF(ISNUMBER(SEARCH("Residential",$C$47)),"Residential","Small business"))</f>
        <v>8.1500000000000003E-2</v>
      </c>
      <c r="H94" s="101">
        <f>SUMIFS(Calc_NetworkV_1[United Energy],Calc_NetworkV_1[[Cost item]:[Cost item]],$C94,Calc_NetworkV_1[[Customer type]:[Customer type]],IF(ISNUMBER(SEARCH("Residential",$C$47)),"Residential","Small business"))</f>
        <v>7.9899999999999999E-2</v>
      </c>
      <c r="K94" t="s">
        <v>549</v>
      </c>
      <c r="L94" s="101">
        <f>SUMIFS(Calc_NetworkV_2[Ausnet],Calc_NetworkV_2[[Cost item]:[Cost item]],$K94,Calc_NetworkV_2[[Customer type]:[Customer type]],IF(ISNUMBER(SEARCH("Residential",$K$47)),"Residential","Small business"))</f>
        <v>0</v>
      </c>
      <c r="M94" s="101">
        <f>SUMIFS(Calc_NetworkV_2[Citipower],Calc_NetworkV_2[[Cost item]:[Cost item]],$K94,Calc_NetworkV_2[[Customer type]:[Customer type]],IF(ISNUMBER(SEARCH("Residential",$K$47)),"Residential","Small business"))</f>
        <v>8.0500000000000002E-2</v>
      </c>
      <c r="N94" s="101">
        <f>SUMIFS(Calc_NetworkV_2[Jemena],Calc_NetworkV_2[[Cost item]:[Cost item]],$K94,Calc_NetworkV_2[[Customer type]:[Customer type]],IF(ISNUMBER(SEARCH("Residential",$K$47)),"Residential","Small business"))</f>
        <v>8.6699999999999999E-2</v>
      </c>
      <c r="O94" s="101">
        <f>SUMIFS(Calc_NetworkV_2[Powercor],Calc_NetworkV_2[[Cost item]:[Cost item]],$K94,Calc_NetworkV_2[[Customer type]:[Customer type]],IF(ISNUMBER(SEARCH("Residential",$K$47)),"Residential","Small business"))</f>
        <v>8.1500000000000003E-2</v>
      </c>
      <c r="P94" s="101">
        <f>SUMIFS(Calc_NetworkV_2[United Energy],Calc_NetworkV_2[[Cost item]:[Cost item]],$K94,Calc_NetworkV_2[[Customer type]:[Customer type]],IF(ISNUMBER(SEARCH("Residential",$K$47)),"Residential","Small business"))</f>
        <v>7.9899999999999999E-2</v>
      </c>
    </row>
    <row r="95" spans="3:16" outlineLevel="1" x14ac:dyDescent="0.25"/>
    <row r="96" spans="3:16" ht="15.75" outlineLevel="1" x14ac:dyDescent="0.25">
      <c r="C96" s="42" t="s">
        <v>619</v>
      </c>
      <c r="K96" s="42" t="s">
        <v>619</v>
      </c>
    </row>
    <row r="97" spans="3:16" outlineLevel="1" x14ac:dyDescent="0.25">
      <c r="C97" t="s">
        <v>556</v>
      </c>
      <c r="D97" s="101" t="str" cm="1">
        <f t="array" ref="D97">IF(ISNUMBER(SEARCH("Residential",$C$47)),
INDEX(OP_RatesTU_RES_1[Ausnet],MATCH(1,(OP_RatesTU_RES_1[Cost element]="Network")*(OP_RatesTU_RES_1[Rate name]=CH_CostStack_RES!$C97),0),1),
INDEX(OP_RatesTU_SME_1[Ausnet],MATCH(1,(OP_RatesTU_SME_1[Cost element]="Network")*(OP_RatesTU_SME_1[Rate name]=CH_CostStack_RES!$C97),0),1))</f>
        <v>-</v>
      </c>
      <c r="E97" s="101" t="str" cm="1">
        <f t="array" ref="E97">IF(ISNUMBER(SEARCH("Residential",$C$47)),
INDEX(OP_RatesTU_RES_1[Citipower],MATCH(1,(OP_RatesTU_RES_1[Cost element]="Network")*(OP_RatesTU_RES_1[Rate name]=CH_CostStack_RES!$C97),0),1),
INDEX(OP_RatesTU_SME_1[Citipower],MATCH(1,(OP_RatesTU_SME_1[Cost element]="Network")*(OP_RatesTU_SME_1[Rate name]=CH_CostStack_RES!$C97),0),1))</f>
        <v>-</v>
      </c>
      <c r="F97" s="101" t="str" cm="1">
        <f t="array" ref="F97">IF(ISNUMBER(SEARCH("Residential",$C$47)),
INDEX(OP_RatesTU_RES_1[Jemena],MATCH(1,(OP_RatesTU_RES_1[Cost element]="Network")*(OP_RatesTU_RES_1[Rate name]=CH_CostStack_RES!$C97),0),1),
INDEX(OP_RatesTU_SME_1[Jemena],MATCH(1,(OP_RatesTU_SME_1[Cost element]="Network")*(OP_RatesTU_SME_1[Rate name]=CH_CostStack_RES!$C97),0),1))</f>
        <v>-</v>
      </c>
      <c r="G97" s="101" t="str" cm="1">
        <f t="array" ref="G97">IF(ISNUMBER(SEARCH("Residential",$C$47)),
INDEX(OP_RatesTU_RES_1[Powercor],MATCH(1,(OP_RatesTU_RES_1[Cost element]="Network")*(OP_RatesTU_RES_1[Rate name]=CH_CostStack_RES!$C97),0),1),
INDEX(OP_RatesTU_SME_1[Powercor],MATCH(1,(OP_RatesTU_SME_1[Cost element]="Network")*(OP_RatesTU_SME_1[Rate name]=CH_CostStack_RES!$C97),0),1))</f>
        <v>-</v>
      </c>
      <c r="H97" s="101" t="str" cm="1">
        <f t="array" ref="H97">IF(ISNUMBER(SEARCH("Residential",$C$47)),
INDEX(OP_RatesTU_RES_1[United Energy],MATCH(1,(OP_RatesTU_RES_1[Cost element]="Network")*(OP_RatesTU_RES_1[Rate name]=CH_CostStack_RES!$C97),0),1),
INDEX(OP_RatesTU_SME_1[United Energy],MATCH(1,(OP_RatesTU_SME_1[Cost element]="Network")*(OP_RatesTU_SME_1[Rate name]=CH_CostStack_RES!$C97),0),1))</f>
        <v>-</v>
      </c>
      <c r="K97" t="s">
        <v>556</v>
      </c>
      <c r="L97" s="101" cm="1">
        <f t="array" ref="L97">IF(ISNUMBER(SEARCH("Residential",$K$47)),
INDEX(OP_RatesTU_RES_2[Ausnet],MATCH(1,(OP_RatesTU_RES_2[Cost element]="Network")*(OP_RatesTU_RES_2[Rate name]=CH_CostStack_RES!$K97),0),1),
INDEX(OP_RatesTU_SME_2[Ausnet],MATCH(1,(OP_RatesTU_SME_2[Cost element]="Network")*(OP_RatesTU_SME_2[Rate name]=CH_CostStack_RES!$K97),0),1))</f>
        <v>6.5942940910810238E-2</v>
      </c>
      <c r="M97" s="101" cm="1">
        <f t="array" ref="M97">IF(ISNUMBER(SEARCH("Residential",$K$47)),
INDEX(OP_RatesTU_RES_2[Citipower],MATCH(1,(OP_RatesTU_RES_2[Cost element]="Network")*(OP_RatesTU_RES_2[Rate name]=CH_CostStack_RES!$K97),0),1),
INDEX(OP_RatesTU_SME_2[Citipower],MATCH(1,(OP_RatesTU_SME_2[Cost element]="Network")*(OP_RatesTU_SME_2[Rate name]=CH_CostStack_RES!$K97),0),1))</f>
        <v>8.9431863759251856E-2</v>
      </c>
      <c r="N97" s="101" cm="1">
        <f t="array" ref="N97">IF(ISNUMBER(SEARCH("Residential",$K$47)),
INDEX(OP_RatesTU_RES_2[Jemena],MATCH(1,(OP_RatesTU_RES_2[Cost element]="Network")*(OP_RatesTU_RES_2[Rate name]=CH_CostStack_RES!$K97),0),1),
INDEX(OP_RatesTU_SME_2[Jemena],MATCH(1,(OP_RatesTU_SME_2[Cost element]="Network")*(OP_RatesTU_SME_2[Rate name]=CH_CostStack_RES!$K97),0),1))</f>
        <v>7.7831933455424371E-2</v>
      </c>
      <c r="O97" s="101" cm="1">
        <f t="array" ref="O97">IF(ISNUMBER(SEARCH("Residential",$K$47)),
INDEX(OP_RatesTU_RES_2[Powercor],MATCH(1,(OP_RatesTU_RES_2[Cost element]="Network")*(OP_RatesTU_RES_2[Rate name]=CH_CostStack_RES!$K97),0),1),
INDEX(OP_RatesTU_SME_2[Powercor],MATCH(1,(OP_RatesTU_SME_2[Cost element]="Network")*(OP_RatesTU_SME_2[Rate name]=CH_CostStack_RES!$K97),0),1))</f>
        <v>7.7818093461869797E-2</v>
      </c>
      <c r="P97" s="101" cm="1">
        <f t="array" ref="P97">IF(ISNUMBER(SEARCH("Residential",$K$47)),
INDEX(OP_RatesTU_RES_2[United Energy],MATCH(1,(OP_RatesTU_RES_2[Cost element]="Network")*(OP_RatesTU_RES_2[Rate name]=CH_CostStack_RES!$K97),0),1),
INDEX(OP_RatesTU_SME_2[United Energy],MATCH(1,(OP_RatesTU_SME_2[Cost element]="Network")*(OP_RatesTU_SME_2[Rate name]=CH_CostStack_RES!$K97),0),1))</f>
        <v>3.5126537362516849E-2</v>
      </c>
    </row>
    <row r="98" spans="3:16" outlineLevel="1" x14ac:dyDescent="0.25"/>
    <row r="99" spans="3:16" ht="15.75" outlineLevel="1" x14ac:dyDescent="0.25">
      <c r="C99" s="42" t="s">
        <v>620</v>
      </c>
      <c r="K99" s="42" t="s">
        <v>620</v>
      </c>
    </row>
    <row r="100" spans="3:16" x14ac:dyDescent="0.25">
      <c r="C100" t="s">
        <v>221</v>
      </c>
      <c r="D100" s="101" cm="1">
        <f t="array" ref="D100">IF(ISNUMBER(SEARCH("Residential",$C$47)),
INDEX(OP_RatesTU_RES_1[Ausnet],MATCH(1,(OP_RatesTU_RES_1[Cost element]="Environmental")*(OP_RatesTU_RES_1[Rate name]=CH_CostStack_RES!$C100),0),1),
INDEX(OP_RatesTU_SME_1[Ausnet],MATCH(1,(OP_RatesTU_SME_1[Cost element]="Environmental")*(OP_RatesTU_SME_1[Rate name]=CH_CostStack_RES!$C100),0),1))</f>
        <v>4.3609479704997934E-4</v>
      </c>
      <c r="E100" s="101" cm="1">
        <f t="array" ref="E100">IF(ISNUMBER(SEARCH("Residential",$C$47)),
INDEX(OP_RatesTU_RES_1[Citipower],MATCH(1,(OP_RatesTU_RES_1[Cost element]="Environmental")*(OP_RatesTU_RES_1[Rate name]=CH_CostStack_RES!$C100),0),1),
INDEX(OP_RatesTU_SME_1[Citipower],MATCH(1,(OP_RatesTU_SME_1[Cost element]="Environmental")*(OP_RatesTU_SME_1[Rate name]=CH_CostStack_RES!$C100),0),1))</f>
        <v>0</v>
      </c>
      <c r="F100" s="101" cm="1">
        <f t="array" ref="F100">IF(ISNUMBER(SEARCH("Residential",$C$47)),
INDEX(OP_RatesTU_RES_1[Jemena],MATCH(1,(OP_RatesTU_RES_1[Cost element]="Environmental")*(OP_RatesTU_RES_1[Rate name]=CH_CostStack_RES!$C100),0),1),
INDEX(OP_RatesTU_SME_1[Jemena],MATCH(1,(OP_RatesTU_SME_1[Cost element]="Environmental")*(OP_RatesTU_SME_1[Rate name]=CH_CostStack_RES!$C100),0),1))</f>
        <v>0</v>
      </c>
      <c r="G100" s="101" cm="1">
        <f t="array" ref="G100">IF(ISNUMBER(SEARCH("Residential",$C$47)),
INDEX(OP_RatesTU_RES_1[Powercor],MATCH(1,(OP_RatesTU_RES_1[Cost element]="Environmental")*(OP_RatesTU_RES_1[Rate name]=CH_CostStack_RES!$C100),0),1),
INDEX(OP_RatesTU_SME_1[Powercor],MATCH(1,(OP_RatesTU_SME_1[Cost element]="Environmental")*(OP_RatesTU_SME_1[Rate name]=CH_CostStack_RES!$C100),0),1))</f>
        <v>0</v>
      </c>
      <c r="H100" s="101" cm="1">
        <f t="array" ref="H100">IF(ISNUMBER(SEARCH("Residential",$C$47)),
INDEX(OP_RatesTU_RES_1[United Energy],MATCH(1,(OP_RatesTU_RES_1[Cost element]="Environmental")*(OP_RatesTU_RES_1[Rate name]=CH_CostStack_RES!$C100),0),1),
INDEX(OP_RatesTU_SME_1[United Energy],MATCH(1,(OP_RatesTU_SME_1[Cost element]="Environmental")*(OP_RatesTU_SME_1[Rate name]=CH_CostStack_RES!$C100),0),1))</f>
        <v>0</v>
      </c>
      <c r="K100" t="s">
        <v>221</v>
      </c>
      <c r="L100" s="101" cm="1">
        <f t="array" ref="L100">IF(ISNUMBER(SEARCH("Residential",$K$47)),
INDEX(OP_RatesTU_RES_2[Ausnet],MATCH(1,(OP_RatesTU_RES_2[Cost element]="Environmental")*(OP_RatesTU_RES_2[Rate name]=CH_CostStack_RES!$C100),0),1),
INDEX(OP_RatesTU_SME_2[Ausnet],MATCH(1,(OP_RatesTU_SME_2[Cost element]="Environmental")*(OP_RatesTU_SME_2[Rate name]=CH_CostStack_RES!$C100),0),1))</f>
        <v>6.66713910181736E-3</v>
      </c>
      <c r="M100" s="101" cm="1">
        <f t="array" ref="M100">IF(ISNUMBER(SEARCH("Residential",$K$47)),
INDEX(OP_RatesTU_RES_2[Citipower],MATCH(1,(OP_RatesTU_RES_2[Cost element]="Environmental")*(OP_RatesTU_RES_2[Rate name]=CH_CostStack_RES!$C100),0),1),
INDEX(OP_RatesTU_SME_2[Citipower],MATCH(1,(OP_RatesTU_SME_2[Cost element]="Environmental")*(OP_RatesTU_SME_2[Rate name]=CH_CostStack_RES!$C100),0),1))</f>
        <v>0</v>
      </c>
      <c r="N100" s="101" cm="1">
        <f t="array" ref="N100">IF(ISNUMBER(SEARCH("Residential",$K$47)),
INDEX(OP_RatesTU_RES_2[Jemena],MATCH(1,(OP_RatesTU_RES_2[Cost element]="Environmental")*(OP_RatesTU_RES_2[Rate name]=CH_CostStack_RES!$C100),0),1),
INDEX(OP_RatesTU_SME_2[Jemena],MATCH(1,(OP_RatesTU_SME_2[Cost element]="Environmental")*(OP_RatesTU_SME_2[Rate name]=CH_CostStack_RES!$C100),0),1))</f>
        <v>0</v>
      </c>
      <c r="O100" s="101" cm="1">
        <f t="array" ref="O100">IF(ISNUMBER(SEARCH("Residential",$K$47)),
INDEX(OP_RatesTU_RES_2[Powercor],MATCH(1,(OP_RatesTU_RES_2[Cost element]="Environmental")*(OP_RatesTU_RES_2[Rate name]=CH_CostStack_RES!$C100),0),1),
INDEX(OP_RatesTU_SME_2[Powercor],MATCH(1,(OP_RatesTU_SME_2[Cost element]="Environmental")*(OP_RatesTU_SME_2[Rate name]=CH_CostStack_RES!$C100),0),1))</f>
        <v>0</v>
      </c>
      <c r="P100" s="101" cm="1">
        <f t="array" ref="P100">IF(ISNUMBER(SEARCH("Residential",$K$47)),
INDEX(OP_RatesTU_RES_2[United Energy],MATCH(1,(OP_RatesTU_RES_2[Cost element]="Environmental")*(OP_RatesTU_RES_2[Rate name]=CH_CostStack_RES!$C100),0),1),
INDEX(OP_RatesTU_SME_2[United Energy],MATCH(1,(OP_RatesTU_SME_2[Cost element]="Environmental")*(OP_RatesTU_SME_2[Rate name]=CH_CostStack_RES!$C100),0),1))</f>
        <v>0</v>
      </c>
    </row>
    <row r="101" spans="3:16" x14ac:dyDescent="0.25">
      <c r="C101" t="s">
        <v>228</v>
      </c>
      <c r="D101" s="101" cm="1">
        <f t="array" ref="D101">IF(ISNUMBER(SEARCH("Residential",$C$47)),
INDEX(OP_RatesTU_RES_1[Ausnet],MATCH(1,(OP_RatesTU_RES_1[Cost element]="Environmental")*(OP_RatesTU_RES_1[Rate name]=CH_CostStack_RES!$C101),0),1),
INDEX(OP_RatesTU_SME_1[Ausnet],MATCH(1,(OP_RatesTU_SME_1[Cost element]="Environmental")*(OP_RatesTU_SME_1[Rate name]=CH_CostStack_RES!$C101),0),1))</f>
        <v>4.3609479704997934E-4</v>
      </c>
      <c r="E101" s="101" cm="1">
        <f t="array" ref="E101">IF(ISNUMBER(SEARCH("Residential",$C$47)),
INDEX(OP_RatesTU_RES_1[Citipower],MATCH(1,(OP_RatesTU_RES_1[Cost element]="Environmental")*(OP_RatesTU_RES_1[Rate name]=CH_CostStack_RES!$C101),0),1),
INDEX(OP_RatesTU_SME_1[Citipower],MATCH(1,(OP_RatesTU_SME_1[Cost element]="Environmental")*(OP_RatesTU_SME_1[Rate name]=CH_CostStack_RES!$C101),0),1))</f>
        <v>0</v>
      </c>
      <c r="F101" s="101" cm="1">
        <f t="array" ref="F101">IF(ISNUMBER(SEARCH("Residential",$C$47)),
INDEX(OP_RatesTU_RES_1[Jemena],MATCH(1,(OP_RatesTU_RES_1[Cost element]="Environmental")*(OP_RatesTU_RES_1[Rate name]=CH_CostStack_RES!$C101),0),1),
INDEX(OP_RatesTU_SME_1[Jemena],MATCH(1,(OP_RatesTU_SME_1[Cost element]="Environmental")*(OP_RatesTU_SME_1[Rate name]=CH_CostStack_RES!$C101),0),1))</f>
        <v>0</v>
      </c>
      <c r="G101" s="101" cm="1">
        <f t="array" ref="G101">IF(ISNUMBER(SEARCH("Residential",$C$47)),
INDEX(OP_RatesTU_RES_1[Powercor],MATCH(1,(OP_RatesTU_RES_1[Cost element]="Environmental")*(OP_RatesTU_RES_1[Rate name]=CH_CostStack_RES!$C101),0),1),
INDEX(OP_RatesTU_SME_1[Powercor],MATCH(1,(OP_RatesTU_SME_1[Cost element]="Environmental")*(OP_RatesTU_SME_1[Rate name]=CH_CostStack_RES!$C101),0),1))</f>
        <v>0</v>
      </c>
      <c r="H101" s="101" cm="1">
        <f t="array" ref="H101">IF(ISNUMBER(SEARCH("Residential",$C$47)),
INDEX(OP_RatesTU_RES_1[United Energy],MATCH(1,(OP_RatesTU_RES_1[Cost element]="Environmental")*(OP_RatesTU_RES_1[Rate name]=CH_CostStack_RES!$C101),0),1),
INDEX(OP_RatesTU_SME_1[United Energy],MATCH(1,(OP_RatesTU_SME_1[Cost element]="Environmental")*(OP_RatesTU_SME_1[Rate name]=CH_CostStack_RES!$C101),0),1))</f>
        <v>0</v>
      </c>
      <c r="K101" t="s">
        <v>228</v>
      </c>
      <c r="L101" s="101" cm="1">
        <f t="array" ref="L101">IF(ISNUMBER(SEARCH("Residential",$K$47)),
INDEX(OP_RatesTU_RES_2[Ausnet],MATCH(1,(OP_RatesTU_RES_2[Cost element]="Environmental")*(OP_RatesTU_RES_2[Rate name]=CH_CostStack_RES!$C101),0),1),
INDEX(OP_RatesTU_SME_2[Ausnet],MATCH(1,(OP_RatesTU_SME_2[Cost element]="Environmental")*(OP_RatesTU_SME_2[Rate name]=CH_CostStack_RES!$C101),0),1))</f>
        <v>6.66713910181736E-3</v>
      </c>
      <c r="M101" s="101" cm="1">
        <f t="array" ref="M101">IF(ISNUMBER(SEARCH("Residential",$K$47)),
INDEX(OP_RatesTU_RES_2[Citipower],MATCH(1,(OP_RatesTU_RES_2[Cost element]="Environmental")*(OP_RatesTU_RES_2[Rate name]=CH_CostStack_RES!$C101),0),1),
INDEX(OP_RatesTU_SME_2[Citipower],MATCH(1,(OP_RatesTU_SME_2[Cost element]="Environmental")*(OP_RatesTU_SME_2[Rate name]=CH_CostStack_RES!$C101),0),1))</f>
        <v>0</v>
      </c>
      <c r="N101" s="101" cm="1">
        <f t="array" ref="N101">IF(ISNUMBER(SEARCH("Residential",$K$47)),
INDEX(OP_RatesTU_RES_2[Jemena],MATCH(1,(OP_RatesTU_RES_2[Cost element]="Environmental")*(OP_RatesTU_RES_2[Rate name]=CH_CostStack_RES!$C101),0),1),
INDEX(OP_RatesTU_SME_2[Jemena],MATCH(1,(OP_RatesTU_SME_2[Cost element]="Environmental")*(OP_RatesTU_SME_2[Rate name]=CH_CostStack_RES!$C101),0),1))</f>
        <v>0</v>
      </c>
      <c r="O101" s="101" cm="1">
        <f t="array" ref="O101">IF(ISNUMBER(SEARCH("Residential",$K$47)),
INDEX(OP_RatesTU_RES_2[Powercor],MATCH(1,(OP_RatesTU_RES_2[Cost element]="Environmental")*(OP_RatesTU_RES_2[Rate name]=CH_CostStack_RES!$C101),0),1),
INDEX(OP_RatesTU_SME_2[Powercor],MATCH(1,(OP_RatesTU_SME_2[Cost element]="Environmental")*(OP_RatesTU_SME_2[Rate name]=CH_CostStack_RES!$C101),0),1))</f>
        <v>0</v>
      </c>
      <c r="P101" s="101" cm="1">
        <f t="array" ref="P101">IF(ISNUMBER(SEARCH("Residential",$K$47)),
INDEX(OP_RatesTU_RES_2[United Energy],MATCH(1,(OP_RatesTU_RES_2[Cost element]="Environmental")*(OP_RatesTU_RES_2[Rate name]=CH_CostStack_RES!$C101),0),1),
INDEX(OP_RatesTU_SME_2[United Energy],MATCH(1,(OP_RatesTU_SME_2[Cost element]="Environmental")*(OP_RatesTU_SME_2[Rate name]=CH_CostStack_RES!$C101),0),1))</f>
        <v>0</v>
      </c>
    </row>
    <row r="102" spans="3:16" x14ac:dyDescent="0.25">
      <c r="C102" t="s">
        <v>549</v>
      </c>
      <c r="D102" s="101" cm="1">
        <f t="array" ref="D102">IF(ISNUMBER(SEARCH("Residential",$C$47)),
INDEX(OP_RatesTU_RES_1[Ausnet],MATCH(1,(OP_RatesTU_RES_1[Cost element]="Environmental")*(OP_RatesTU_RES_1[Rate name]=CH_CostStack_RES!$C102),0),1),
INDEX(OP_RatesTU_SME_1[Ausnet],MATCH(1,(OP_RatesTU_SME_1[Cost element]="Environmental")*(OP_RatesTU_SME_1[Rate name]=CH_CostStack_RES!$C102),0),1))</f>
        <v>0</v>
      </c>
      <c r="E102" s="101" cm="1">
        <f t="array" ref="E102">IF(ISNUMBER(SEARCH("Residential",$C$47)),
INDEX(OP_RatesTU_RES_1[Citipower],MATCH(1,(OP_RatesTU_RES_1[Cost element]="Environmental")*(OP_RatesTU_RES_1[Rate name]=CH_CostStack_RES!$C102),0),1),
INDEX(OP_RatesTU_SME_1[Citipower],MATCH(1,(OP_RatesTU_SME_1[Cost element]="Environmental")*(OP_RatesTU_SME_1[Rate name]=CH_CostStack_RES!$C102),0),1))</f>
        <v>4.2329571152283947E-4</v>
      </c>
      <c r="F102" s="101" cm="1">
        <f t="array" ref="F102">IF(ISNUMBER(SEARCH("Residential",$C$47)),
INDEX(OP_RatesTU_RES_1[Jemena],MATCH(1,(OP_RatesTU_RES_1[Cost element]="Environmental")*(OP_RatesTU_RES_1[Rate name]=CH_CostStack_RES!$C102),0),1),
INDEX(OP_RatesTU_SME_1[Jemena],MATCH(1,(OP_RatesTU_SME_1[Cost element]="Environmental")*(OP_RatesTU_SME_1[Rate name]=CH_CostStack_RES!$C102),0),1))</f>
        <v>4.2108355321215024E-4</v>
      </c>
      <c r="G102" s="101" cm="1">
        <f t="array" ref="G102">IF(ISNUMBER(SEARCH("Residential",$C$47)),
INDEX(OP_RatesTU_RES_1[Powercor],MATCH(1,(OP_RatesTU_RES_1[Cost element]="Environmental")*(OP_RatesTU_RES_1[Rate name]=CH_CostStack_RES!$C102),0),1),
INDEX(OP_RatesTU_SME_1[Powercor],MATCH(1,(OP_RatesTU_SME_1[Cost element]="Environmental")*(OP_RatesTU_SME_1[Rate name]=CH_CostStack_RES!$C102),0),1))</f>
        <v>4.3289302051611621E-4</v>
      </c>
      <c r="H102" s="101" cm="1">
        <f t="array" ref="H102">IF(ISNUMBER(SEARCH("Residential",$C$47)),
INDEX(OP_RatesTU_RES_1[United Energy],MATCH(1,(OP_RatesTU_RES_1[Cost element]="Environmental")*(OP_RatesTU_RES_1[Rate name]=CH_CostStack_RES!$C102),0),1),
INDEX(OP_RatesTU_SME_1[United Energy],MATCH(1,(OP_RatesTU_SME_1[Cost element]="Environmental")*(OP_RatesTU_SME_1[Rate name]=CH_CostStack_RES!$C102),0),1))</f>
        <v>4.2336209237385492E-4</v>
      </c>
      <c r="K102" t="s">
        <v>549</v>
      </c>
      <c r="L102" s="101" cm="1">
        <f t="array" ref="L102">IF(ISNUMBER(SEARCH("Residential",$K$47)),
INDEX(OP_RatesTU_RES_2[Ausnet],MATCH(1,(OP_RatesTU_RES_2[Cost element]="Environmental")*(OP_RatesTU_RES_2[Rate name]=CH_CostStack_RES!$C102),0),1),
INDEX(OP_RatesTU_SME_2[Ausnet],MATCH(1,(OP_RatesTU_SME_2[Cost element]="Environmental")*(OP_RatesTU_SME_2[Rate name]=CH_CostStack_RES!$C102),0),1))</f>
        <v>0</v>
      </c>
      <c r="M102" s="101" cm="1">
        <f t="array" ref="M102">IF(ISNUMBER(SEARCH("Residential",$K$47)),
INDEX(OP_RatesTU_RES_2[Citipower],MATCH(1,(OP_RatesTU_RES_2[Cost element]="Environmental")*(OP_RatesTU_RES_2[Rate name]=CH_CostStack_RES!$C102),0),1),
INDEX(OP_RatesTU_SME_2[Citipower],MATCH(1,(OP_RatesTU_SME_2[Cost element]="Environmental")*(OP_RatesTU_SME_2[Rate name]=CH_CostStack_RES!$C102),0),1))</f>
        <v>6.5518983001313221E-3</v>
      </c>
      <c r="N102" s="101" cm="1">
        <f t="array" ref="N102">IF(ISNUMBER(SEARCH("Residential",$K$47)),
INDEX(OP_RatesTU_RES_2[Jemena],MATCH(1,(OP_RatesTU_RES_2[Cost element]="Environmental")*(OP_RatesTU_RES_2[Rate name]=CH_CostStack_RES!$C102),0),1),
INDEX(OP_RatesTU_SME_2[Jemena],MATCH(1,(OP_RatesTU_SME_2[Cost element]="Environmental")*(OP_RatesTU_SME_2[Rate name]=CH_CostStack_RES!$C102),0),1))</f>
        <v>6.4834552967827147E-3</v>
      </c>
      <c r="O102" s="101" cm="1">
        <f t="array" ref="O102">IF(ISNUMBER(SEARCH("Residential",$K$47)),
INDEX(OP_RatesTU_RES_2[Powercor],MATCH(1,(OP_RatesTU_RES_2[Cost element]="Environmental")*(OP_RatesTU_RES_2[Rate name]=CH_CostStack_RES!$C102),0),1),
INDEX(OP_RatesTU_SME_2[Powercor],MATCH(1,(OP_RatesTU_SME_2[Cost element]="Environmental")*(OP_RatesTU_SME_2[Rate name]=CH_CostStack_RES!$C102),0),1))</f>
        <v>6.6923795662660671E-3</v>
      </c>
      <c r="P102" s="101" cm="1">
        <f t="array" ref="P102">IF(ISNUMBER(SEARCH("Residential",$K$47)),
INDEX(OP_RatesTU_RES_2[United Energy],MATCH(1,(OP_RatesTU_RES_2[Cost element]="Environmental")*(OP_RatesTU_RES_2[Rate name]=CH_CostStack_RES!$C102),0),1),
INDEX(OP_RatesTU_SME_2[United Energy],MATCH(1,(OP_RatesTU_SME_2[Cost element]="Environmental")*(OP_RatesTU_SME_2[Rate name]=CH_CostStack_RES!$C102),0),1))</f>
        <v>6.5757968919376237E-3</v>
      </c>
    </row>
    <row r="108" spans="3:16" x14ac:dyDescent="0.25">
      <c r="D108" s="118"/>
    </row>
  </sheetData>
  <sheetProtection algorithmName="SHA-512" hashValue="HJYWA3Xfu8zpjgVz01lX4amfUNhESLj5RUH/WsnkZNJkA4CDetyx12uGafuna4KTSo1rrFX5yvURfKPMrCVniQ==" saltValue="D0PL+5Jp6xmsvy1i/bDh9w==" spinCount="100000" sheet="1" objects="1" scenarios="1"/>
  <mergeCells count="1">
    <mergeCell ref="A2:A3"/>
  </mergeCells>
  <phoneticPr fontId="30" type="noConversion"/>
  <dataValidations disablePrompts="1" count="1">
    <dataValidation type="list" allowBlank="1" showInputMessage="1" showErrorMessage="1" sqref="D31" xr:uid="{6D9C8EE1-F855-4BC6-9C7E-6DE152AE4502}">
      <formula1>$D$53:$I$53</formula1>
    </dataValidation>
  </dataValidations>
  <pageMargins left="0.7" right="0.7" top="0.75" bottom="0.75" header="0.3" footer="0.3"/>
  <pageSetup paperSize="9" orientation="portrait" r:id="rId1"/>
  <drawing r:id="rId2"/>
  <tableParts count="2">
    <tablePart r:id="rId3"/>
    <tablePart r:id="rId4"/>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DB17121-8300-469F-8CE9-8202E01ED7A4}">
          <x14:formula1>
            <xm:f>'Lookup refs'!$I$8:$I$13</xm:f>
          </x14:formula1>
          <xm:sqref>C47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4CC56-FD18-41F0-8375-C3229CE755E3}">
  <sheetPr>
    <tabColor rgb="FFFFB13F"/>
  </sheetPr>
  <dimension ref="A1:AZ155"/>
  <sheetViews>
    <sheetView showGridLines="0" topLeftCell="B1" zoomScale="85" zoomScaleNormal="85" workbookViewId="0">
      <pane ySplit="3" topLeftCell="A72" activePane="bottomLeft" state="frozen"/>
      <selection pane="bottomLeft" activeCell="D90" sqref="D90"/>
    </sheetView>
  </sheetViews>
  <sheetFormatPr defaultColWidth="10.5703125" defaultRowHeight="15" outlineLevelCol="1" x14ac:dyDescent="0.25"/>
  <cols>
    <col min="1" max="1" width="100.5703125" hidden="1" customWidth="1" outlineLevel="1"/>
    <col min="2" max="2" width="10.5703125" style="6" customWidth="1" collapsed="1"/>
    <col min="3" max="3" width="42.42578125" bestFit="1" customWidth="1"/>
    <col min="4" max="4" width="16.42578125" customWidth="1"/>
    <col min="5" max="5" width="10.5703125" customWidth="1"/>
    <col min="6" max="6" width="13.5703125" customWidth="1"/>
    <col min="7" max="14" width="10.5703125" customWidth="1"/>
    <col min="15" max="15" width="12.5703125" customWidth="1"/>
    <col min="16" max="52" width="10.5703125" customWidth="1"/>
  </cols>
  <sheetData>
    <row r="1" spans="1:52" ht="15" customHeight="1" x14ac:dyDescent="0.25">
      <c r="A1" s="1" t="s">
        <v>20</v>
      </c>
      <c r="B1" s="21"/>
      <c r="C1" s="22"/>
      <c r="D1" s="22"/>
      <c r="E1" s="22"/>
      <c r="F1" s="123" t="s">
        <v>411</v>
      </c>
      <c r="G1" s="96"/>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row>
    <row r="2" spans="1:52" s="4" customFormat="1" ht="50.1" customHeight="1" x14ac:dyDescent="0.25">
      <c r="A2" s="382" t="s">
        <v>21</v>
      </c>
      <c r="B2" s="25"/>
      <c r="C2" s="25" t="str">
        <f>Disclaimer!$B$1</f>
        <v>VDO calculation model</v>
      </c>
      <c r="D2" s="25"/>
      <c r="E2" s="25"/>
      <c r="F2" s="172" t="str">
        <f>Calc_Rates!$D$5</f>
        <v>VDO 2022-23 - Draft</v>
      </c>
      <c r="G2" s="172" t="str">
        <f>Calc_Rates!$D$254</f>
        <v>VDO 2022 - Final</v>
      </c>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row>
    <row r="3" spans="1:52" s="4" customFormat="1" ht="30" customHeight="1" x14ac:dyDescent="0.25">
      <c r="A3" s="383"/>
      <c r="B3" s="27">
        <f ca="1">_xlfn.SHEET()</f>
        <v>19</v>
      </c>
      <c r="C3" s="26" t="s">
        <v>441</v>
      </c>
      <c r="D3" s="26"/>
      <c r="E3" s="26"/>
      <c r="F3" s="95" t="e">
        <f>SUM(#REF!,#REF!)</f>
        <v>#REF!</v>
      </c>
      <c r="G3" s="95" t="e">
        <f>SUM(#REF!,#REF!,#REF!,#REF!,#REF!,#REF!)</f>
        <v>#REF!</v>
      </c>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x14ac:dyDescent="0.25">
      <c r="B4"/>
    </row>
    <row r="5" spans="1:52" ht="16.5" thickBot="1" x14ac:dyDescent="0.3">
      <c r="A5" s="1" t="s">
        <v>23</v>
      </c>
      <c r="B5" s="9">
        <f ca="1">MAX(B$3:B4)+0.1</f>
        <v>19.100000000000001</v>
      </c>
      <c r="C5" s="28" t="s">
        <v>441</v>
      </c>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row>
    <row r="7" spans="1:52" ht="15.75" x14ac:dyDescent="0.25">
      <c r="C7" s="29" t="s">
        <v>410</v>
      </c>
    </row>
    <row r="8" spans="1:52" ht="15.75" x14ac:dyDescent="0.25">
      <c r="C8" s="167" t="s">
        <v>698</v>
      </c>
      <c r="D8" s="167" t="s">
        <v>91</v>
      </c>
      <c r="E8" s="167" t="s">
        <v>454</v>
      </c>
      <c r="F8" s="197" t="s">
        <v>268</v>
      </c>
      <c r="G8" s="167" t="s">
        <v>269</v>
      </c>
      <c r="H8" s="167" t="s">
        <v>270</v>
      </c>
      <c r="I8" s="167" t="s">
        <v>271</v>
      </c>
      <c r="J8" s="167" t="s">
        <v>272</v>
      </c>
      <c r="K8" s="167" t="s">
        <v>447</v>
      </c>
      <c r="M8" s="42" t="s">
        <v>455</v>
      </c>
      <c r="N8" s="42" t="s">
        <v>456</v>
      </c>
      <c r="O8" s="42" t="s">
        <v>457</v>
      </c>
    </row>
    <row r="9" spans="1:52" x14ac:dyDescent="0.25">
      <c r="C9" t="s">
        <v>689</v>
      </c>
      <c r="D9" t="s">
        <v>92</v>
      </c>
      <c r="E9" t="s">
        <v>556</v>
      </c>
      <c r="F9" s="261">
        <f>ROUNDUP(SUMIFS(INDEX(CH_BITariff131[[Ausnet]:[United Energy]],0,MATCH(F$8,CH_BITariff131[[#Headers],[Ausnet]:[United Energy]],0)),CH_BITariff131[Customer type],$D9,CH_BITariff131[Tariff type],$E9,CH_BITariff131[Decision],$C$7),0)</f>
        <v>1527</v>
      </c>
      <c r="G9" s="261">
        <f>ROUNDUP(SUMIFS(INDEX(CH_BITariff131[[Ausnet]:[United Energy]],0,MATCH(G$8,CH_BITariff131[[#Headers],[Ausnet]:[United Energy]],0)),CH_BITariff131[Customer type],$D9,CH_BITariff131[Tariff type],$E9,CH_BITariff131[Decision],$C$7),0)</f>
        <v>1285</v>
      </c>
      <c r="H9" s="261">
        <f>ROUNDUP(SUMIFS(INDEX(CH_BITariff131[[Ausnet]:[United Energy]],0,MATCH(H$8,CH_BITariff131[[#Headers],[Ausnet]:[United Energy]],0)),CH_BITariff131[Customer type],$D9,CH_BITariff131[Tariff type],$E9,CH_BITariff131[Decision],$C$7),0)</f>
        <v>1328</v>
      </c>
      <c r="I9" s="261">
        <f>ROUNDUP(SUMIFS(INDEX(CH_BITariff131[[Ausnet]:[United Energy]],0,MATCH(I$8,CH_BITariff131[[#Headers],[Ausnet]:[United Energy]],0)),CH_BITariff131[Customer type],$D9,CH_BITariff131[Tariff type],$E9,CH_BITariff131[Decision],$C$7),0)</f>
        <v>1378</v>
      </c>
      <c r="J9" s="261">
        <f>ROUNDUP(SUMIFS(INDEX(CH_BITariff131[[Ausnet]:[United Energy]],0,MATCH(J$8,CH_BITariff131[[#Headers],[Ausnet]:[United Energy]],0)),CH_BITariff131[Customer type],$D9,CH_BITariff131[Tariff type],$E9,CH_BITariff131[Decision],$C$7),0)</f>
        <v>1280</v>
      </c>
      <c r="K9" s="261">
        <f>AVERAGE(F9:J9)</f>
        <v>1359.6</v>
      </c>
      <c r="M9" s="261">
        <f>MIN($F9:$J9)</f>
        <v>1280</v>
      </c>
      <c r="N9" s="261">
        <f>MAX($F9:$J9)</f>
        <v>1527</v>
      </c>
      <c r="O9" s="261">
        <f>N9-M9</f>
        <v>247</v>
      </c>
    </row>
    <row r="10" spans="1:52" x14ac:dyDescent="0.25">
      <c r="C10" t="s">
        <v>690</v>
      </c>
      <c r="D10" t="s">
        <v>93</v>
      </c>
      <c r="E10" t="s">
        <v>556</v>
      </c>
      <c r="F10" s="261">
        <f>ROUNDUP(SUMIFS(INDEX(CH_BITariff131[[Ausnet]:[United Energy]],0,MATCH(F$8,CH_BITariff131[[#Headers],[Ausnet]:[United Energy]],0)),CH_BITariff131[Customer type],$D10,CH_BITariff131[Tariff type],$E10,CH_BITariff131[Decision],$C$7),0)</f>
        <v>6994</v>
      </c>
      <c r="G10" s="261">
        <f>ROUNDUP(SUMIFS(INDEX(CH_BITariff131[[Ausnet]:[United Energy]],0,MATCH(G$8,CH_BITariff131[[#Headers],[Ausnet]:[United Energy]],0)),CH_BITariff131[Customer type],$D10,CH_BITariff131[Tariff type],$E10,CH_BITariff131[Decision],$C$7),0)</f>
        <v>4797</v>
      </c>
      <c r="H10" s="261">
        <f>ROUNDUP(SUMIFS(INDEX(CH_BITariff131[[Ausnet]:[United Energy]],0,MATCH(H$8,CH_BITariff131[[#Headers],[Ausnet]:[United Energy]],0)),CH_BITariff131[Customer type],$D10,CH_BITariff131[Tariff type],$E10,CH_BITariff131[Decision],$C$7),0)</f>
        <v>5369</v>
      </c>
      <c r="I10" s="261">
        <f>ROUNDUP(SUMIFS(INDEX(CH_BITariff131[[Ausnet]:[United Energy]],0,MATCH(I$8,CH_BITariff131[[#Headers],[Ausnet]:[United Energy]],0)),CH_BITariff131[Customer type],$D10,CH_BITariff131[Tariff type],$E10,CH_BITariff131[Decision],$C$7),0)</f>
        <v>5046</v>
      </c>
      <c r="J10" s="261">
        <f>ROUNDUP(SUMIFS(INDEX(CH_BITariff131[[Ausnet]:[United Energy]],0,MATCH(J$8,CH_BITariff131[[#Headers],[Ausnet]:[United Energy]],0)),CH_BITariff131[Customer type],$D10,CH_BITariff131[Tariff type],$E10,CH_BITariff131[Decision],$C$7),0)</f>
        <v>4864</v>
      </c>
      <c r="K10" s="261">
        <f>AVERAGE(F10:J10)</f>
        <v>5414</v>
      </c>
      <c r="M10" s="261">
        <f>MIN($F10:$J10)</f>
        <v>4797</v>
      </c>
      <c r="N10" s="261">
        <f>MAX($F10:$J10)</f>
        <v>6994</v>
      </c>
      <c r="O10" s="261">
        <f>N10-M10</f>
        <v>2197</v>
      </c>
    </row>
    <row r="11" spans="1:52" x14ac:dyDescent="0.25">
      <c r="C11" t="s">
        <v>686</v>
      </c>
      <c r="D11" t="s">
        <v>92</v>
      </c>
      <c r="E11" t="s">
        <v>557</v>
      </c>
      <c r="F11" s="261">
        <f>ROUNDUP(SUMIFS(INDEX(CH_BITariff131[[Ausnet]:[United Energy]],0,MATCH(F$8,CH_BITariff131[[#Headers],[Ausnet]:[United Energy]],0)),CH_BITariff131[Customer type],$D11,CH_BITariff131[Tariff type],$E11,CH_BITariff131[Decision],$C$7),0)</f>
        <v>1449</v>
      </c>
      <c r="G11" s="261">
        <f>ROUNDUP(SUMIFS(INDEX(CH_BITariff131[[Ausnet]:[United Energy]],0,MATCH(G$8,CH_BITariff131[[#Headers],[Ausnet]:[United Energy]],0)),CH_BITariff131[Customer type],$D11,CH_BITariff131[Tariff type],$E11,CH_BITariff131[Decision],$C$7),0)</f>
        <v>1280</v>
      </c>
      <c r="H11" s="261">
        <f>ROUNDUP(SUMIFS(INDEX(CH_BITariff131[[Ausnet]:[United Energy]],0,MATCH(H$8,CH_BITariff131[[#Headers],[Ausnet]:[United Energy]],0)),CH_BITariff131[Customer type],$D11,CH_BITariff131[Tariff type],$E11,CH_BITariff131[Decision],$C$7),0)</f>
        <v>1253</v>
      </c>
      <c r="I11" s="261">
        <f>ROUNDUP(SUMIFS(INDEX(CH_BITariff131[[Ausnet]:[United Energy]],0,MATCH(I$8,CH_BITariff131[[#Headers],[Ausnet]:[United Energy]],0)),CH_BITariff131[Customer type],$D11,CH_BITariff131[Tariff type],$E11,CH_BITariff131[Decision],$C$7),0)</f>
        <v>1366</v>
      </c>
      <c r="J11" s="261">
        <f>ROUNDUP(SUMIFS(INDEX(CH_BITariff131[[Ausnet]:[United Energy]],0,MATCH(J$8,CH_BITariff131[[#Headers],[Ausnet]:[United Energy]],0)),CH_BITariff131[Customer type],$D11,CH_BITariff131[Tariff type],$E11,CH_BITariff131[Decision],$C$7),0)</f>
        <v>1273</v>
      </c>
      <c r="K11" s="261">
        <f>AVERAGE(F11:J11)</f>
        <v>1324.2</v>
      </c>
      <c r="M11" s="261">
        <f>MIN($F11:$J11)</f>
        <v>1253</v>
      </c>
      <c r="N11" s="261">
        <f>MAX($F11:$J11)</f>
        <v>1449</v>
      </c>
      <c r="O11" s="261">
        <f>N11-M11</f>
        <v>196</v>
      </c>
    </row>
    <row r="12" spans="1:52" x14ac:dyDescent="0.25">
      <c r="C12" t="s">
        <v>687</v>
      </c>
      <c r="D12" t="s">
        <v>93</v>
      </c>
      <c r="E12" t="s">
        <v>557</v>
      </c>
      <c r="F12" s="261">
        <f>ROUNDUP(SUMIFS(INDEX(CH_BITariff131[[Ausnet]:[United Energy]],0,MATCH(F$8,CH_BITariff131[[#Headers],[Ausnet]:[United Energy]],0)),CH_BITariff131[Customer type],$D12,CH_BITariff131[Tariff type],$E12,CH_BITariff131[Decision],$C$7),0)</f>
        <v>5372</v>
      </c>
      <c r="G12" s="261">
        <f>ROUNDUP(SUMIFS(INDEX(CH_BITariff131[[Ausnet]:[United Energy]],0,MATCH(G$8,CH_BITariff131[[#Headers],[Ausnet]:[United Energy]],0)),CH_BITariff131[Customer type],$D12,CH_BITariff131[Tariff type],$E12,CH_BITariff131[Decision],$C$7),0)</f>
        <v>4713</v>
      </c>
      <c r="H12" s="261">
        <f>ROUNDUP(SUMIFS(INDEX(CH_BITariff131[[Ausnet]:[United Energy]],0,MATCH(H$8,CH_BITariff131[[#Headers],[Ausnet]:[United Energy]],0)),CH_BITariff131[Customer type],$D12,CH_BITariff131[Tariff type],$E12,CH_BITariff131[Decision],$C$7),0)</f>
        <v>4936</v>
      </c>
      <c r="I12" s="261">
        <f>ROUNDUP(SUMIFS(INDEX(CH_BITariff131[[Ausnet]:[United Energy]],0,MATCH(I$8,CH_BITariff131[[#Headers],[Ausnet]:[United Energy]],0)),CH_BITariff131[Customer type],$D12,CH_BITariff131[Tariff type],$E12,CH_BITariff131[Decision],$C$7),0)</f>
        <v>4956</v>
      </c>
      <c r="J12" s="261">
        <f>ROUNDUP(SUMIFS(INDEX(CH_BITariff131[[Ausnet]:[United Energy]],0,MATCH(J$8,CH_BITariff131[[#Headers],[Ausnet]:[United Energy]],0)),CH_BITariff131[Customer type],$D12,CH_BITariff131[Tariff type],$E12,CH_BITariff131[Decision],$C$7),0)</f>
        <v>4782</v>
      </c>
      <c r="K12" s="261">
        <f>AVERAGE(F12:J12)</f>
        <v>4951.8</v>
      </c>
      <c r="M12" s="261">
        <f>MIN($F12:$J12)</f>
        <v>4713</v>
      </c>
      <c r="N12" s="261">
        <f>MAX($F12:$J12)</f>
        <v>5372</v>
      </c>
      <c r="O12" s="261">
        <f>N12-M12</f>
        <v>659</v>
      </c>
    </row>
    <row r="13" spans="1:52" x14ac:dyDescent="0.25">
      <c r="C13" t="s">
        <v>696</v>
      </c>
      <c r="D13" t="s">
        <v>92</v>
      </c>
      <c r="E13" t="s">
        <v>697</v>
      </c>
      <c r="F13" s="261">
        <f>F9+ROUNDUP(SUMIFS(INDEX(CH_BITariff131[[Ausnet]:[United Energy]],0,MATCH(F$8,CH_BITariff131[[#Headers],[Ausnet]:[United Energy]],0)),CH_BITariff131[Customer type],$D13,CH_BITariff131[Tariff type],$E13,CH_BITariff131[Decision],$C$7),0)</f>
        <v>1898</v>
      </c>
      <c r="G13" s="261">
        <f>G9+ROUNDUP(SUMIFS(INDEX(CH_BITariff131[[Ausnet]:[United Energy]],0,MATCH(G$8,CH_BITariff131[[#Headers],[Ausnet]:[United Energy]],0)),CH_BITariff131[Customer type],$D13,CH_BITariff131[Tariff type],$E13,CH_BITariff131[Decision],$C$7),0)</f>
        <v>1591</v>
      </c>
      <c r="H13" s="261">
        <f>H9+ROUNDUP(SUMIFS(INDEX(CH_BITariff131[[Ausnet]:[United Energy]],0,MATCH(H$8,CH_BITariff131[[#Headers],[Ausnet]:[United Energy]],0)),CH_BITariff131[Customer type],$D13,CH_BITariff131[Tariff type],$E13,CH_BITariff131[Decision],$C$7),0)</f>
        <v>1676</v>
      </c>
      <c r="I13" s="261">
        <f>I9+ROUNDUP(SUMIFS(INDEX(CH_BITariff131[[Ausnet]:[United Energy]],0,MATCH(I$8,CH_BITariff131[[#Headers],[Ausnet]:[United Energy]],0)),CH_BITariff131[Customer type],$D13,CH_BITariff131[Tariff type],$E13,CH_BITariff131[Decision],$C$7),0)</f>
        <v>1699</v>
      </c>
      <c r="J13" s="261">
        <f>J9+ROUNDUP(SUMIFS(INDEX(CH_BITariff131[[Ausnet]:[United Energy]],0,MATCH(J$8,CH_BITariff131[[#Headers],[Ausnet]:[United Energy]],0)),CH_BITariff131[Customer type],$D13,CH_BITariff131[Tariff type],$E13,CH_BITariff131[Decision],$C$7),0)</f>
        <v>1595</v>
      </c>
      <c r="K13" s="261">
        <f>AVERAGE(F13:J13)</f>
        <v>1691.8</v>
      </c>
      <c r="M13" s="261">
        <f>MIN($F13:$J13)</f>
        <v>1591</v>
      </c>
      <c r="N13" s="261">
        <f>MAX($F13:$J13)</f>
        <v>1898</v>
      </c>
      <c r="O13" s="261">
        <f>N13-M13</f>
        <v>307</v>
      </c>
    </row>
    <row r="15" spans="1:52" ht="15.75" x14ac:dyDescent="0.25">
      <c r="C15" s="29" t="s">
        <v>258</v>
      </c>
    </row>
    <row r="16" spans="1:52" ht="15.75" x14ac:dyDescent="0.25">
      <c r="C16" s="167" t="s">
        <v>698</v>
      </c>
      <c r="D16" s="167" t="s">
        <v>91</v>
      </c>
      <c r="E16" s="167" t="s">
        <v>454</v>
      </c>
      <c r="F16" s="197" t="s">
        <v>268</v>
      </c>
      <c r="G16" s="167" t="s">
        <v>269</v>
      </c>
      <c r="H16" s="167" t="s">
        <v>270</v>
      </c>
      <c r="I16" s="167" t="s">
        <v>271</v>
      </c>
      <c r="J16" s="167" t="s">
        <v>272</v>
      </c>
      <c r="K16" s="167" t="s">
        <v>447</v>
      </c>
      <c r="M16" s="42" t="s">
        <v>455</v>
      </c>
      <c r="N16" s="42" t="s">
        <v>456</v>
      </c>
      <c r="O16" s="42" t="s">
        <v>457</v>
      </c>
    </row>
    <row r="17" spans="3:23" x14ac:dyDescent="0.25">
      <c r="C17" t="s">
        <v>689</v>
      </c>
      <c r="D17" t="s">
        <v>92</v>
      </c>
      <c r="E17" t="s">
        <v>556</v>
      </c>
      <c r="F17" s="261">
        <f>ROUNDUP(SUMIFS(INDEX(CH_BITariff131[[Ausnet]:[United Energy]],0,MATCH(F$8,CH_BITariff131[[#Headers],[Ausnet]:[United Energy]],0)),CH_BITariff131[Customer type],$D17,CH_BITariff131[Tariff type],$E17,CH_BITariff131[Decision],$C$15),0)</f>
        <v>1520</v>
      </c>
      <c r="G17" s="261">
        <f>ROUNDUP(SUMIFS(INDEX(CH_BITariff131[[Ausnet]:[United Energy]],0,MATCH(G$8,CH_BITariff131[[#Headers],[Ausnet]:[United Energy]],0)),CH_BITariff131[Customer type],$D17,CH_BITariff131[Tariff type],$E17,CH_BITariff131[Decision],$C$15),0)</f>
        <v>1308</v>
      </c>
      <c r="H17" s="261">
        <f>ROUNDUP(SUMIFS(INDEX(CH_BITariff131[[Ausnet]:[United Energy]],0,MATCH(H$8,CH_BITariff131[[#Headers],[Ausnet]:[United Energy]],0)),CH_BITariff131[Customer type],$D17,CH_BITariff131[Tariff type],$E17,CH_BITariff131[Decision],$C$15),0)</f>
        <v>1343</v>
      </c>
      <c r="I17" s="261">
        <f>ROUNDUP(SUMIFS(INDEX(CH_BITariff131[[Ausnet]:[United Energy]],0,MATCH(I$8,CH_BITariff131[[#Headers],[Ausnet]:[United Energy]],0)),CH_BITariff131[Customer type],$D17,CH_BITariff131[Tariff type],$E17,CH_BITariff131[Decision],$C$15),0)</f>
        <v>1386</v>
      </c>
      <c r="J17" s="261">
        <f>ROUNDUP(SUMIFS(INDEX(CH_BITariff131[[Ausnet]:[United Energy]],0,MATCH(J$8,CH_BITariff131[[#Headers],[Ausnet]:[United Energy]],0)),CH_BITariff131[Customer type],$D17,CH_BITariff131[Tariff type],$E17,CH_BITariff131[Decision],$C$15),0)</f>
        <v>1285</v>
      </c>
      <c r="K17" s="261">
        <f>AVERAGE(F17:J17)</f>
        <v>1368.4</v>
      </c>
      <c r="M17" s="261">
        <f>MIN($F17:$J17)</f>
        <v>1285</v>
      </c>
      <c r="N17" s="261">
        <f>MAX($F17:$J17)</f>
        <v>1520</v>
      </c>
      <c r="O17" s="261">
        <f>N17-M17</f>
        <v>235</v>
      </c>
    </row>
    <row r="18" spans="3:23" x14ac:dyDescent="0.25">
      <c r="C18" t="s">
        <v>690</v>
      </c>
      <c r="D18" t="s">
        <v>93</v>
      </c>
      <c r="E18" t="s">
        <v>556</v>
      </c>
      <c r="F18" s="261">
        <f>ROUNDUP(SUMIFS(INDEX(CH_BITariff131[[Ausnet]:[United Energy]],0,MATCH(F$8,CH_BITariff131[[#Headers],[Ausnet]:[United Energy]],0)),CH_BITariff131[Customer type],$D18,CH_BITariff131[Tariff type],$E18,CH_BITariff131[Decision],$C$15),0)</f>
        <v>7028</v>
      </c>
      <c r="G18" s="261">
        <f>ROUNDUP(SUMIFS(INDEX(CH_BITariff131[[Ausnet]:[United Energy]],0,MATCH(G$8,CH_BITariff131[[#Headers],[Ausnet]:[United Energy]],0)),CH_BITariff131[Customer type],$D18,CH_BITariff131[Tariff type],$E18,CH_BITariff131[Decision],$C$15),0)</f>
        <v>4789</v>
      </c>
      <c r="H18" s="261">
        <f>ROUNDUP(SUMIFS(INDEX(CH_BITariff131[[Ausnet]:[United Energy]],0,MATCH(H$8,CH_BITariff131[[#Headers],[Ausnet]:[United Energy]],0)),CH_BITariff131[Customer type],$D18,CH_BITariff131[Tariff type],$E18,CH_BITariff131[Decision],$C$15),0)</f>
        <v>5420</v>
      </c>
      <c r="I18" s="261">
        <f>ROUNDUP(SUMIFS(INDEX(CH_BITariff131[[Ausnet]:[United Energy]],0,MATCH(I$8,CH_BITariff131[[#Headers],[Ausnet]:[United Energy]],0)),CH_BITariff131[Customer type],$D18,CH_BITariff131[Tariff type],$E18,CH_BITariff131[Decision],$C$15),0)</f>
        <v>5048</v>
      </c>
      <c r="J18" s="261">
        <f>ROUNDUP(SUMIFS(INDEX(CH_BITariff131[[Ausnet]:[United Energy]],0,MATCH(J$8,CH_BITariff131[[#Headers],[Ausnet]:[United Energy]],0)),CH_BITariff131[Customer type],$D18,CH_BITariff131[Tariff type],$E18,CH_BITariff131[Decision],$C$15),0)</f>
        <v>4871</v>
      </c>
      <c r="K18" s="261">
        <f>AVERAGE(F18:J18)</f>
        <v>5431.2</v>
      </c>
      <c r="M18" s="261">
        <f>MIN($F18:$J18)</f>
        <v>4789</v>
      </c>
      <c r="N18" s="261">
        <f>MAX($F18:$J18)</f>
        <v>7028</v>
      </c>
      <c r="O18" s="261">
        <f>N18-M18</f>
        <v>2239</v>
      </c>
    </row>
    <row r="19" spans="3:23" x14ac:dyDescent="0.25">
      <c r="C19" t="s">
        <v>686</v>
      </c>
      <c r="D19" t="s">
        <v>92</v>
      </c>
      <c r="E19" t="s">
        <v>557</v>
      </c>
      <c r="F19" s="261">
        <f>ROUNDUP(SUMIFS(INDEX(CH_BITariff131[[Ausnet]:[United Energy]],0,MATCH(F$8,CH_BITariff131[[#Headers],[Ausnet]:[United Energy]],0)),CH_BITariff131[Customer type],$D19,CH_BITariff131[Tariff type],$E19,CH_BITariff131[Decision],$C$15),0)</f>
        <v>1406</v>
      </c>
      <c r="G19" s="261">
        <f>ROUNDUP(SUMIFS(INDEX(CH_BITariff131[[Ausnet]:[United Energy]],0,MATCH(G$8,CH_BITariff131[[#Headers],[Ausnet]:[United Energy]],0)),CH_BITariff131[Customer type],$D19,CH_BITariff131[Tariff type],$E19,CH_BITariff131[Decision],$C$15),0)</f>
        <v>1299</v>
      </c>
      <c r="H19" s="261">
        <f>ROUNDUP(SUMIFS(INDEX(CH_BITariff131[[Ausnet]:[United Energy]],0,MATCH(H$8,CH_BITariff131[[#Headers],[Ausnet]:[United Energy]],0)),CH_BITariff131[Customer type],$D19,CH_BITariff131[Tariff type],$E19,CH_BITariff131[Decision],$C$15),0)</f>
        <v>1232</v>
      </c>
      <c r="I19" s="261">
        <f>ROUNDUP(SUMIFS(INDEX(CH_BITariff131[[Ausnet]:[United Energy]],0,MATCH(I$8,CH_BITariff131[[#Headers],[Ausnet]:[United Energy]],0)),CH_BITariff131[Customer type],$D19,CH_BITariff131[Tariff type],$E19,CH_BITariff131[Decision],$C$15),0)</f>
        <v>1368</v>
      </c>
      <c r="J19" s="261">
        <f>ROUNDUP(SUMIFS(INDEX(CH_BITariff131[[Ausnet]:[United Energy]],0,MATCH(J$8,CH_BITariff131[[#Headers],[Ausnet]:[United Energy]],0)),CH_BITariff131[Customer type],$D19,CH_BITariff131[Tariff type],$E19,CH_BITariff131[Decision],$C$15),0)</f>
        <v>1276</v>
      </c>
      <c r="K19" s="261">
        <f>AVERAGE(F19:J19)</f>
        <v>1316.2</v>
      </c>
      <c r="M19" s="261">
        <f>MIN($F19:$J19)</f>
        <v>1232</v>
      </c>
      <c r="N19" s="261">
        <f>MAX($F19:$J19)</f>
        <v>1406</v>
      </c>
      <c r="O19" s="261">
        <f>N19-M19</f>
        <v>174</v>
      </c>
    </row>
    <row r="20" spans="3:23" x14ac:dyDescent="0.25">
      <c r="C20" t="s">
        <v>687</v>
      </c>
      <c r="D20" t="s">
        <v>93</v>
      </c>
      <c r="E20" t="s">
        <v>557</v>
      </c>
      <c r="F20" s="261">
        <f>ROUNDUP(SUMIFS(INDEX(CH_BITariff131[[Ausnet]:[United Energy]],0,MATCH(F$8,CH_BITariff131[[#Headers],[Ausnet]:[United Energy]],0)),CH_BITariff131[Customer type],$D20,CH_BITariff131[Tariff type],$E20,CH_BITariff131[Decision],$C$15),0)</f>
        <v>5232</v>
      </c>
      <c r="G20" s="261">
        <f>ROUNDUP(SUMIFS(INDEX(CH_BITariff131[[Ausnet]:[United Energy]],0,MATCH(G$8,CH_BITariff131[[#Headers],[Ausnet]:[United Energy]],0)),CH_BITariff131[Customer type],$D20,CH_BITariff131[Tariff type],$E20,CH_BITariff131[Decision],$C$15),0)</f>
        <v>4694</v>
      </c>
      <c r="H20" s="261">
        <f>ROUNDUP(SUMIFS(INDEX(CH_BITariff131[[Ausnet]:[United Energy]],0,MATCH(H$8,CH_BITariff131[[#Headers],[Ausnet]:[United Energy]],0)),CH_BITariff131[Customer type],$D20,CH_BITariff131[Tariff type],$E20,CH_BITariff131[Decision],$C$15),0)</f>
        <v>4955</v>
      </c>
      <c r="I20" s="261">
        <f>ROUNDUP(SUMIFS(INDEX(CH_BITariff131[[Ausnet]:[United Energy]],0,MATCH(I$8,CH_BITariff131[[#Headers],[Ausnet]:[United Energy]],0)),CH_BITariff131[Customer type],$D20,CH_BITariff131[Tariff type],$E20,CH_BITariff131[Decision],$C$15),0)</f>
        <v>4945</v>
      </c>
      <c r="J20" s="261">
        <f>ROUNDUP(SUMIFS(INDEX(CH_BITariff131[[Ausnet]:[United Energy]],0,MATCH(J$8,CH_BITariff131[[#Headers],[Ausnet]:[United Energy]],0)),CH_BITariff131[Customer type],$D20,CH_BITariff131[Tariff type],$E20,CH_BITariff131[Decision],$C$15),0)</f>
        <v>4780</v>
      </c>
      <c r="K20" s="261">
        <f>AVERAGE(F20:J20)</f>
        <v>4921.2</v>
      </c>
      <c r="M20" s="261">
        <f>MIN($F20:$J20)</f>
        <v>4694</v>
      </c>
      <c r="N20" s="261">
        <f>MAX($F20:$J20)</f>
        <v>5232</v>
      </c>
      <c r="O20" s="261">
        <f>N20-M20</f>
        <v>538</v>
      </c>
    </row>
    <row r="21" spans="3:23" x14ac:dyDescent="0.25">
      <c r="C21" t="s">
        <v>696</v>
      </c>
      <c r="D21" t="s">
        <v>92</v>
      </c>
      <c r="E21" t="s">
        <v>697</v>
      </c>
      <c r="F21" s="261">
        <f>F17+ROUNDUP(SUMIFS(INDEX(CH_BITariff131[[Ausnet]:[United Energy]],0,MATCH(F$8,CH_BITariff131[[#Headers],[Ausnet]:[United Energy]],0)),CH_BITariff131[Customer type],$D21,CH_BITariff131[Tariff type],$E21,CH_BITariff131[Decision],$C$15),0)</f>
        <v>1887</v>
      </c>
      <c r="G21" s="261">
        <f>G17+ROUNDUP(SUMIFS(INDEX(CH_BITariff131[[Ausnet]:[United Energy]],0,MATCH(G$8,CH_BITariff131[[#Headers],[Ausnet]:[United Energy]],0)),CH_BITariff131[Customer type],$D21,CH_BITariff131[Tariff type],$E21,CH_BITariff131[Decision],$C$15),0)</f>
        <v>1617</v>
      </c>
      <c r="H21" s="261">
        <f>H17+ROUNDUP(SUMIFS(INDEX(CH_BITariff131[[Ausnet]:[United Energy]],0,MATCH(H$8,CH_BITariff131[[#Headers],[Ausnet]:[United Energy]],0)),CH_BITariff131[Customer type],$D21,CH_BITariff131[Tariff type],$E21,CH_BITariff131[Decision],$C$15),0)</f>
        <v>1695</v>
      </c>
      <c r="I21" s="261">
        <f>I17+ROUNDUP(SUMIFS(INDEX(CH_BITariff131[[Ausnet]:[United Energy]],0,MATCH(I$8,CH_BITariff131[[#Headers],[Ausnet]:[United Energy]],0)),CH_BITariff131[Customer type],$D21,CH_BITariff131[Tariff type],$E21,CH_BITariff131[Decision],$C$15),0)</f>
        <v>1702</v>
      </c>
      <c r="J21" s="261">
        <f>J17+ROUNDUP(SUMIFS(INDEX(CH_BITariff131[[Ausnet]:[United Energy]],0,MATCH(J$8,CH_BITariff131[[#Headers],[Ausnet]:[United Energy]],0)),CH_BITariff131[Customer type],$D21,CH_BITariff131[Tariff type],$E21,CH_BITariff131[Decision],$C$15),0)</f>
        <v>1603</v>
      </c>
      <c r="K21" s="261">
        <f>AVERAGE(F21:J21)</f>
        <v>1700.8</v>
      </c>
      <c r="M21" s="261">
        <f>MIN($F21:$J21)</f>
        <v>1603</v>
      </c>
      <c r="N21" s="261">
        <f>MAX($F21:$J21)</f>
        <v>1887</v>
      </c>
      <c r="O21" s="261">
        <f>N21-M21</f>
        <v>284</v>
      </c>
    </row>
    <row r="22" spans="3:23" x14ac:dyDescent="0.25">
      <c r="C22" s="130"/>
      <c r="D22" s="130"/>
      <c r="E22" s="130"/>
      <c r="F22" s="130"/>
      <c r="G22" s="130"/>
      <c r="H22" s="130"/>
      <c r="I22" s="130"/>
      <c r="J22" s="130"/>
      <c r="K22" s="130"/>
      <c r="L22" s="130"/>
      <c r="M22" s="130"/>
      <c r="N22" s="130"/>
      <c r="O22" s="130"/>
      <c r="P22" s="130"/>
      <c r="Q22" s="130"/>
      <c r="R22" s="130"/>
      <c r="S22" s="130"/>
      <c r="T22" s="130"/>
      <c r="U22" s="130"/>
      <c r="V22" s="130"/>
      <c r="W22" s="130"/>
    </row>
    <row r="23" spans="3:23" ht="15.75" x14ac:dyDescent="0.25">
      <c r="C23" s="29" t="s">
        <v>688</v>
      </c>
      <c r="L23" s="130"/>
      <c r="M23" s="130" t="s">
        <v>458</v>
      </c>
      <c r="N23" s="130"/>
      <c r="O23" s="130"/>
      <c r="P23" s="130" t="s">
        <v>700</v>
      </c>
      <c r="Q23" s="130"/>
      <c r="R23" s="130"/>
      <c r="S23" s="130" t="s">
        <v>701</v>
      </c>
      <c r="T23" s="130"/>
      <c r="U23" s="130"/>
      <c r="V23" s="130"/>
      <c r="W23" s="130"/>
    </row>
    <row r="24" spans="3:23" ht="15.75" x14ac:dyDescent="0.25">
      <c r="C24" s="167" t="s">
        <v>698</v>
      </c>
      <c r="D24" s="167" t="s">
        <v>91</v>
      </c>
      <c r="E24" s="167" t="s">
        <v>454</v>
      </c>
      <c r="F24" s="197" t="s">
        <v>268</v>
      </c>
      <c r="G24" s="167" t="s">
        <v>269</v>
      </c>
      <c r="H24" s="167" t="s">
        <v>270</v>
      </c>
      <c r="I24" s="167" t="s">
        <v>271</v>
      </c>
      <c r="J24" s="167" t="s">
        <v>272</v>
      </c>
      <c r="K24" s="167" t="s">
        <v>447</v>
      </c>
      <c r="L24" s="130"/>
      <c r="M24" s="42" t="s">
        <v>455</v>
      </c>
      <c r="N24" s="42" t="s">
        <v>456</v>
      </c>
      <c r="P24" s="42" t="s">
        <v>455</v>
      </c>
      <c r="Q24" s="42" t="s">
        <v>456</v>
      </c>
      <c r="R24" s="130"/>
      <c r="S24" s="42" t="s">
        <v>455</v>
      </c>
      <c r="T24" s="42" t="s">
        <v>456</v>
      </c>
      <c r="U24" s="130"/>
      <c r="V24" s="130"/>
      <c r="W24" s="130"/>
    </row>
    <row r="25" spans="3:23" x14ac:dyDescent="0.25">
      <c r="C25" t="s">
        <v>689</v>
      </c>
      <c r="D25" t="s">
        <v>92</v>
      </c>
      <c r="E25" t="s">
        <v>556</v>
      </c>
      <c r="F25" s="121">
        <f>F17-F9</f>
        <v>-7</v>
      </c>
      <c r="G25" s="121">
        <f t="shared" ref="G25:K25" si="0">G17-G9</f>
        <v>23</v>
      </c>
      <c r="H25" s="121">
        <f t="shared" si="0"/>
        <v>15</v>
      </c>
      <c r="I25" s="121">
        <f t="shared" si="0"/>
        <v>8</v>
      </c>
      <c r="J25" s="121">
        <f t="shared" si="0"/>
        <v>5</v>
      </c>
      <c r="K25" s="121">
        <f t="shared" si="0"/>
        <v>8.8000000000001819</v>
      </c>
      <c r="L25" s="130"/>
      <c r="M25" s="261">
        <f>MIN($F25:$K25)</f>
        <v>-7</v>
      </c>
      <c r="N25" s="261">
        <f>MAX($F25:$K25)</f>
        <v>23</v>
      </c>
      <c r="P25" s="261">
        <f>_xlfn.MINIFS($F25:$K25,$F25:$K25,"&lt;0")</f>
        <v>-7</v>
      </c>
      <c r="Q25" s="261">
        <f>_xlfn.MAXIFS($F25:$K25,$F25:$K25,"&lt;0")</f>
        <v>-7</v>
      </c>
      <c r="R25" s="261"/>
      <c r="S25" s="261">
        <f>_xlfn.MINIFS($F25:$K25,$F25:$K25,"&gt;0")</f>
        <v>5</v>
      </c>
      <c r="T25" s="261">
        <f>_xlfn.MAXIFS($F25:$K25,$F25:$K25,"&gt;0")</f>
        <v>23</v>
      </c>
      <c r="U25" s="130"/>
      <c r="V25" s="130"/>
      <c r="W25" s="130"/>
    </row>
    <row r="26" spans="3:23" x14ac:dyDescent="0.25">
      <c r="C26" t="s">
        <v>690</v>
      </c>
      <c r="D26" t="s">
        <v>93</v>
      </c>
      <c r="E26" t="s">
        <v>556</v>
      </c>
      <c r="F26" s="121">
        <f t="shared" ref="F26:K26" si="1">F18-F10</f>
        <v>34</v>
      </c>
      <c r="G26" s="121">
        <f t="shared" si="1"/>
        <v>-8</v>
      </c>
      <c r="H26" s="121">
        <f t="shared" si="1"/>
        <v>51</v>
      </c>
      <c r="I26" s="121">
        <f t="shared" si="1"/>
        <v>2</v>
      </c>
      <c r="J26" s="121">
        <f t="shared" si="1"/>
        <v>7</v>
      </c>
      <c r="K26" s="121">
        <f t="shared" si="1"/>
        <v>17.199999999999818</v>
      </c>
      <c r="L26" s="130"/>
      <c r="M26" s="261">
        <f>MIN($F26:$K26)</f>
        <v>-8</v>
      </c>
      <c r="N26" s="261">
        <f>MAX($F26:$K26)</f>
        <v>51</v>
      </c>
      <c r="P26" s="261">
        <f>_xlfn.MINIFS($F26:$K26,$F26:$K26,"&lt;0")</f>
        <v>-8</v>
      </c>
      <c r="Q26" s="261">
        <f>_xlfn.MAXIFS($F26:$K26,$F26:$K26,"&lt;0")</f>
        <v>-8</v>
      </c>
      <c r="R26" s="261"/>
      <c r="S26" s="261">
        <f>_xlfn.MINIFS($F26:$K26,$F26:$K26,"&gt;0")</f>
        <v>2</v>
      </c>
      <c r="T26" s="261">
        <f>_xlfn.MAXIFS($F26:$K26,$F26:$K26,"&gt;0")</f>
        <v>51</v>
      </c>
      <c r="U26" s="130"/>
      <c r="V26" s="130"/>
      <c r="W26" s="130"/>
    </row>
    <row r="27" spans="3:23" x14ac:dyDescent="0.25">
      <c r="C27" t="s">
        <v>686</v>
      </c>
      <c r="D27" t="s">
        <v>92</v>
      </c>
      <c r="E27" t="s">
        <v>556</v>
      </c>
      <c r="F27" s="121">
        <f t="shared" ref="F27:K27" si="2">F19-F11</f>
        <v>-43</v>
      </c>
      <c r="G27" s="121">
        <f t="shared" si="2"/>
        <v>19</v>
      </c>
      <c r="H27" s="121">
        <f t="shared" si="2"/>
        <v>-21</v>
      </c>
      <c r="I27" s="121">
        <f t="shared" si="2"/>
        <v>2</v>
      </c>
      <c r="J27" s="121">
        <f t="shared" si="2"/>
        <v>3</v>
      </c>
      <c r="K27" s="121">
        <f t="shared" si="2"/>
        <v>-8</v>
      </c>
      <c r="L27" s="130"/>
      <c r="M27" s="261">
        <f>MIN($F27:$K27)</f>
        <v>-43</v>
      </c>
      <c r="N27" s="261">
        <f>MAX($F27:$K27)</f>
        <v>19</v>
      </c>
      <c r="P27" s="261">
        <f>_xlfn.MINIFS($F27:$K27,$F27:$K27,"&lt;0")</f>
        <v>-43</v>
      </c>
      <c r="Q27" s="261">
        <f>_xlfn.MAXIFS($F27:$K27,$F27:$K27,"&lt;0")</f>
        <v>-8</v>
      </c>
      <c r="R27" s="261"/>
      <c r="S27" s="261">
        <f>_xlfn.MINIFS($F27:$K27,$F27:$K27,"&gt;0")</f>
        <v>2</v>
      </c>
      <c r="T27" s="261">
        <f>_xlfn.MAXIFS($F27:$K27,$F27:$K27,"&gt;0")</f>
        <v>19</v>
      </c>
      <c r="U27" s="130"/>
      <c r="V27" s="130"/>
      <c r="W27" s="130"/>
    </row>
    <row r="28" spans="3:23" x14ac:dyDescent="0.25">
      <c r="C28" t="s">
        <v>687</v>
      </c>
      <c r="D28" t="s">
        <v>93</v>
      </c>
      <c r="E28" t="s">
        <v>556</v>
      </c>
      <c r="F28" s="121">
        <f t="shared" ref="F28:K28" si="3">F20-F12</f>
        <v>-140</v>
      </c>
      <c r="G28" s="121">
        <f t="shared" si="3"/>
        <v>-19</v>
      </c>
      <c r="H28" s="121">
        <f t="shared" si="3"/>
        <v>19</v>
      </c>
      <c r="I28" s="121">
        <f t="shared" si="3"/>
        <v>-11</v>
      </c>
      <c r="J28" s="121">
        <f t="shared" si="3"/>
        <v>-2</v>
      </c>
      <c r="K28" s="121">
        <f t="shared" si="3"/>
        <v>-30.600000000000364</v>
      </c>
      <c r="L28" s="130"/>
      <c r="M28" s="261">
        <f>MIN($F28:$K28)</f>
        <v>-140</v>
      </c>
      <c r="N28" s="261">
        <f>MAX($F28:$K28)</f>
        <v>19</v>
      </c>
      <c r="P28" s="261">
        <f>_xlfn.MINIFS($F28:$K28,$F28:$K28,"&lt;0")</f>
        <v>-140</v>
      </c>
      <c r="Q28" s="261">
        <f>_xlfn.MAXIFS($F28:$K28,$F28:$K28,"&lt;0")</f>
        <v>-2</v>
      </c>
      <c r="R28" s="261"/>
      <c r="S28" s="261">
        <f>_xlfn.MINIFS($F28:$K28,$F28:$K28,"&gt;0")</f>
        <v>19</v>
      </c>
      <c r="T28" s="261">
        <f>_xlfn.MAXIFS($F28:$K28,$F28:$K28,"&gt;0")</f>
        <v>19</v>
      </c>
      <c r="U28" s="130"/>
      <c r="V28" s="130"/>
      <c r="W28" s="130"/>
    </row>
    <row r="29" spans="3:23" x14ac:dyDescent="0.25">
      <c r="C29" t="s">
        <v>696</v>
      </c>
      <c r="D29" t="s">
        <v>92</v>
      </c>
      <c r="E29" t="s">
        <v>697</v>
      </c>
      <c r="F29" s="121">
        <f t="shared" ref="F29:K29" si="4">F21-F13</f>
        <v>-11</v>
      </c>
      <c r="G29" s="121">
        <f t="shared" si="4"/>
        <v>26</v>
      </c>
      <c r="H29" s="121">
        <f t="shared" si="4"/>
        <v>19</v>
      </c>
      <c r="I29" s="121">
        <f t="shared" si="4"/>
        <v>3</v>
      </c>
      <c r="J29" s="121">
        <f t="shared" si="4"/>
        <v>8</v>
      </c>
      <c r="K29" s="121">
        <f t="shared" si="4"/>
        <v>9</v>
      </c>
      <c r="L29" s="130"/>
      <c r="M29" s="261">
        <f>MIN($F29:$K29)</f>
        <v>-11</v>
      </c>
      <c r="N29" s="261">
        <f>MAX($F29:$K29)</f>
        <v>26</v>
      </c>
      <c r="P29" s="261">
        <f>_xlfn.MINIFS($F29:$K29,$F29:$K29,"&lt;0")</f>
        <v>-11</v>
      </c>
      <c r="Q29" s="261">
        <f>_xlfn.MAXIFS($F29:$K29,$F29:$K29,"&lt;0")</f>
        <v>-11</v>
      </c>
      <c r="R29" s="261"/>
      <c r="S29" s="261">
        <f>_xlfn.MINIFS($F29:$K29,$F29:$K29,"&gt;0")</f>
        <v>3</v>
      </c>
      <c r="T29" s="261">
        <f>_xlfn.MAXIFS($F29:$K29,$F29:$K29,"&gt;0")</f>
        <v>26</v>
      </c>
      <c r="U29" s="130"/>
      <c r="V29" s="130"/>
      <c r="W29" s="130"/>
    </row>
    <row r="30" spans="3:23" x14ac:dyDescent="0.25">
      <c r="C30" s="130"/>
      <c r="D30" s="130"/>
      <c r="E30" s="130"/>
      <c r="F30" s="130"/>
      <c r="G30" s="130"/>
      <c r="H30" s="130"/>
      <c r="I30" s="130"/>
      <c r="J30" s="130"/>
      <c r="K30" s="130"/>
      <c r="L30" s="130"/>
      <c r="M30" s="130"/>
      <c r="N30" s="130"/>
      <c r="O30" s="130"/>
      <c r="P30" s="130"/>
      <c r="Q30" s="130"/>
      <c r="R30" s="130"/>
      <c r="S30" s="130"/>
      <c r="T30" s="130"/>
      <c r="U30" s="130"/>
      <c r="V30" s="130"/>
      <c r="W30" s="130"/>
    </row>
    <row r="31" spans="3:23" ht="15.75" x14ac:dyDescent="0.25">
      <c r="C31" s="29" t="s">
        <v>699</v>
      </c>
      <c r="L31" s="130"/>
      <c r="M31" s="130" t="s">
        <v>458</v>
      </c>
      <c r="N31" s="130"/>
      <c r="O31" s="130"/>
      <c r="P31" s="130" t="s">
        <v>700</v>
      </c>
      <c r="Q31" s="130"/>
      <c r="R31" s="130"/>
      <c r="S31" s="130" t="s">
        <v>701</v>
      </c>
      <c r="T31" s="130"/>
      <c r="U31" s="130"/>
      <c r="V31" s="130"/>
      <c r="W31" s="130"/>
    </row>
    <row r="32" spans="3:23" ht="15.75" x14ac:dyDescent="0.25">
      <c r="C32" s="167" t="s">
        <v>698</v>
      </c>
      <c r="D32" s="167" t="s">
        <v>91</v>
      </c>
      <c r="E32" s="167" t="s">
        <v>454</v>
      </c>
      <c r="F32" s="197" t="s">
        <v>268</v>
      </c>
      <c r="G32" s="167" t="s">
        <v>269</v>
      </c>
      <c r="H32" s="167" t="s">
        <v>270</v>
      </c>
      <c r="I32" s="167" t="s">
        <v>271</v>
      </c>
      <c r="J32" s="167" t="s">
        <v>272</v>
      </c>
      <c r="K32" s="167" t="s">
        <v>447</v>
      </c>
      <c r="L32" s="130"/>
      <c r="M32" s="42" t="s">
        <v>455</v>
      </c>
      <c r="N32" s="42" t="s">
        <v>456</v>
      </c>
      <c r="P32" s="42" t="s">
        <v>455</v>
      </c>
      <c r="Q32" s="42" t="s">
        <v>456</v>
      </c>
      <c r="R32" s="130"/>
      <c r="S32" s="42" t="s">
        <v>455</v>
      </c>
      <c r="T32" s="42" t="s">
        <v>456</v>
      </c>
      <c r="U32" s="130"/>
      <c r="V32" s="130"/>
      <c r="W32" s="130"/>
    </row>
    <row r="33" spans="1:52" x14ac:dyDescent="0.25">
      <c r="C33" t="s">
        <v>689</v>
      </c>
      <c r="D33" t="s">
        <v>92</v>
      </c>
      <c r="E33" t="s">
        <v>556</v>
      </c>
      <c r="F33" s="263">
        <f>F25/F9</f>
        <v>-4.5841519318926003E-3</v>
      </c>
      <c r="G33" s="263">
        <f t="shared" ref="G33:K33" si="5">G25/G9</f>
        <v>1.7898832684824902E-2</v>
      </c>
      <c r="H33" s="263">
        <f t="shared" si="5"/>
        <v>1.1295180722891566E-2</v>
      </c>
      <c r="I33" s="263">
        <f t="shared" si="5"/>
        <v>5.8055152394775036E-3</v>
      </c>
      <c r="J33" s="263">
        <f t="shared" si="5"/>
        <v>3.90625E-3</v>
      </c>
      <c r="K33" s="263">
        <f t="shared" si="5"/>
        <v>6.4724919093852471E-3</v>
      </c>
      <c r="L33" s="264"/>
      <c r="M33" s="262">
        <f>MIN($F33:$K33)</f>
        <v>-4.5841519318926003E-3</v>
      </c>
      <c r="N33" s="262">
        <f>MAX($F33:$K33)</f>
        <v>1.7898832684824902E-2</v>
      </c>
      <c r="O33" s="262"/>
      <c r="P33" s="262">
        <f>_xlfn.MINIFS($F33:$K33,$F33:$K33,"&lt;0")</f>
        <v>-4.5841519318926003E-3</v>
      </c>
      <c r="Q33" s="262">
        <f>_xlfn.MAXIFS($F33:$K33,$F33:$K33,"&lt;0")</f>
        <v>-4.5841519318926003E-3</v>
      </c>
      <c r="R33" s="262"/>
      <c r="S33" s="262">
        <f>_xlfn.MINIFS($F33:$K33,$F33:$K33,"&gt;0")</f>
        <v>3.90625E-3</v>
      </c>
      <c r="T33" s="262">
        <f>_xlfn.MAXIFS($F33:$K33,$F33:$K33,"&gt;0")</f>
        <v>1.7898832684824902E-2</v>
      </c>
      <c r="U33" s="264"/>
      <c r="V33" s="264"/>
      <c r="W33" s="130"/>
    </row>
    <row r="34" spans="1:52" x14ac:dyDescent="0.25">
      <c r="C34" t="s">
        <v>690</v>
      </c>
      <c r="D34" t="s">
        <v>93</v>
      </c>
      <c r="E34" t="s">
        <v>556</v>
      </c>
      <c r="F34" s="263">
        <f t="shared" ref="F34:K34" si="6">F26/F10</f>
        <v>4.8613096940234484E-3</v>
      </c>
      <c r="G34" s="263">
        <f t="shared" si="6"/>
        <v>-1.6677089847821555E-3</v>
      </c>
      <c r="H34" s="263">
        <f t="shared" si="6"/>
        <v>9.4989756006705166E-3</v>
      </c>
      <c r="I34" s="263">
        <f t="shared" si="6"/>
        <v>3.9635354736424893E-4</v>
      </c>
      <c r="J34" s="263">
        <f t="shared" si="6"/>
        <v>1.4391447368421052E-3</v>
      </c>
      <c r="K34" s="263">
        <f t="shared" si="6"/>
        <v>3.1769486516438528E-3</v>
      </c>
      <c r="L34" s="264"/>
      <c r="M34" s="262">
        <f>MIN($F34:$K34)</f>
        <v>-1.6677089847821555E-3</v>
      </c>
      <c r="N34" s="262">
        <f>MAX($F34:$K34)</f>
        <v>9.4989756006705166E-3</v>
      </c>
      <c r="O34" s="262"/>
      <c r="P34" s="262">
        <f>_xlfn.MINIFS($F34:$K34,$F34:$K34,"&lt;0")</f>
        <v>-1.6677089847821555E-3</v>
      </c>
      <c r="Q34" s="262">
        <f>_xlfn.MAXIFS($F34:$K34,$F34:$K34,"&lt;0")</f>
        <v>-1.6677089847821555E-3</v>
      </c>
      <c r="R34" s="262"/>
      <c r="S34" s="262">
        <f>_xlfn.MINIFS($F34:$K34,$F34:$K34,"&gt;0")</f>
        <v>3.9635354736424893E-4</v>
      </c>
      <c r="T34" s="262">
        <f>_xlfn.MAXIFS($F34:$K34,$F34:$K34,"&gt;0")</f>
        <v>9.4989756006705166E-3</v>
      </c>
      <c r="U34" s="264"/>
      <c r="V34" s="264"/>
      <c r="W34" s="130"/>
    </row>
    <row r="35" spans="1:52" x14ac:dyDescent="0.25">
      <c r="C35" t="s">
        <v>686</v>
      </c>
      <c r="D35" t="s">
        <v>92</v>
      </c>
      <c r="E35" t="s">
        <v>556</v>
      </c>
      <c r="F35" s="263">
        <f t="shared" ref="F35:K35" si="7">F27/F11</f>
        <v>-2.9675638371290544E-2</v>
      </c>
      <c r="G35" s="263">
        <f t="shared" si="7"/>
        <v>1.4843749999999999E-2</v>
      </c>
      <c r="H35" s="263">
        <f t="shared" si="7"/>
        <v>-1.6759776536312849E-2</v>
      </c>
      <c r="I35" s="263">
        <f t="shared" si="7"/>
        <v>1.4641288433382138E-3</v>
      </c>
      <c r="J35" s="263">
        <f t="shared" si="7"/>
        <v>2.3566378633150041E-3</v>
      </c>
      <c r="K35" s="263">
        <f t="shared" si="7"/>
        <v>-6.0413834768161907E-3</v>
      </c>
      <c r="L35" s="264"/>
      <c r="M35" s="262">
        <f>MIN($F35:$K35)</f>
        <v>-2.9675638371290544E-2</v>
      </c>
      <c r="N35" s="262">
        <f>MAX($F35:$K35)</f>
        <v>1.4843749999999999E-2</v>
      </c>
      <c r="O35" s="262"/>
      <c r="P35" s="262">
        <f>_xlfn.MINIFS($F35:$K35,$F35:$K35,"&lt;0")</f>
        <v>-2.9675638371290544E-2</v>
      </c>
      <c r="Q35" s="262">
        <f>_xlfn.MAXIFS($F35:$K35,$F35:$K35,"&lt;0")</f>
        <v>-6.0413834768161907E-3</v>
      </c>
      <c r="R35" s="262"/>
      <c r="S35" s="262">
        <f>_xlfn.MINIFS($F35:$K35,$F35:$K35,"&gt;0")</f>
        <v>1.4641288433382138E-3</v>
      </c>
      <c r="T35" s="262">
        <f>_xlfn.MAXIFS($F35:$K35,$F35:$K35,"&gt;0")</f>
        <v>1.4843749999999999E-2</v>
      </c>
      <c r="U35" s="264"/>
      <c r="V35" s="264"/>
      <c r="W35" s="130"/>
    </row>
    <row r="36" spans="1:52" x14ac:dyDescent="0.25">
      <c r="C36" t="s">
        <v>687</v>
      </c>
      <c r="D36" t="s">
        <v>93</v>
      </c>
      <c r="E36" t="s">
        <v>556</v>
      </c>
      <c r="F36" s="263">
        <f t="shared" ref="F36:K36" si="8">F28/F12</f>
        <v>-2.6061057334326135E-2</v>
      </c>
      <c r="G36" s="263">
        <f t="shared" si="8"/>
        <v>-4.0314025037131336E-3</v>
      </c>
      <c r="H36" s="263">
        <f t="shared" si="8"/>
        <v>3.8492706645056724E-3</v>
      </c>
      <c r="I36" s="263">
        <f t="shared" si="8"/>
        <v>-2.2195318805488299E-3</v>
      </c>
      <c r="J36" s="263">
        <f t="shared" si="8"/>
        <v>-4.1823504809703052E-4</v>
      </c>
      <c r="K36" s="263">
        <f t="shared" si="8"/>
        <v>-6.1795710650673213E-3</v>
      </c>
      <c r="L36" s="264"/>
      <c r="M36" s="262">
        <f>MIN($F36:$K36)</f>
        <v>-2.6061057334326135E-2</v>
      </c>
      <c r="N36" s="262">
        <f>MAX($F36:$K36)</f>
        <v>3.8492706645056724E-3</v>
      </c>
      <c r="O36" s="262"/>
      <c r="P36" s="262">
        <f>_xlfn.MINIFS($F36:$K36,$F36:$K36,"&lt;0")</f>
        <v>-2.6061057334326135E-2</v>
      </c>
      <c r="Q36" s="262">
        <f>_xlfn.MAXIFS($F36:$K36,$F36:$K36,"&lt;0")</f>
        <v>-4.1823504809703052E-4</v>
      </c>
      <c r="R36" s="262"/>
      <c r="S36" s="262">
        <f>_xlfn.MINIFS($F36:$K36,$F36:$K36,"&gt;0")</f>
        <v>3.8492706645056724E-3</v>
      </c>
      <c r="T36" s="262">
        <f>_xlfn.MAXIFS($F36:$K36,$F36:$K36,"&gt;0")</f>
        <v>3.8492706645056724E-3</v>
      </c>
      <c r="U36" s="264"/>
      <c r="V36" s="264"/>
      <c r="W36" s="130"/>
    </row>
    <row r="37" spans="1:52" x14ac:dyDescent="0.25">
      <c r="C37" t="s">
        <v>696</v>
      </c>
      <c r="D37" t="s">
        <v>92</v>
      </c>
      <c r="E37" t="s">
        <v>697</v>
      </c>
      <c r="F37" s="263">
        <f t="shared" ref="F37:K37" si="9">F29/F13</f>
        <v>-5.795574288724974E-3</v>
      </c>
      <c r="G37" s="263">
        <f t="shared" si="9"/>
        <v>1.6341923318667503E-2</v>
      </c>
      <c r="H37" s="263">
        <f t="shared" si="9"/>
        <v>1.1336515513126491E-2</v>
      </c>
      <c r="I37" s="263">
        <f t="shared" si="9"/>
        <v>1.7657445556209534E-3</v>
      </c>
      <c r="J37" s="263">
        <f t="shared" si="9"/>
        <v>5.0156739811912229E-3</v>
      </c>
      <c r="K37" s="263">
        <f t="shared" si="9"/>
        <v>5.3197777515072708E-3</v>
      </c>
      <c r="L37" s="264"/>
      <c r="M37" s="262">
        <f>MIN($F37:$K37)</f>
        <v>-5.795574288724974E-3</v>
      </c>
      <c r="N37" s="262">
        <f>MAX($F37:$K37)</f>
        <v>1.6341923318667503E-2</v>
      </c>
      <c r="O37" s="262"/>
      <c r="P37" s="262">
        <f>_xlfn.MINIFS($F37:$K37,$F37:$K37,"&lt;0")</f>
        <v>-5.795574288724974E-3</v>
      </c>
      <c r="Q37" s="262">
        <f>_xlfn.MAXIFS($F37:$K37,$F37:$K37,"&lt;0")</f>
        <v>-5.795574288724974E-3</v>
      </c>
      <c r="R37" s="262"/>
      <c r="S37" s="262">
        <f>_xlfn.MINIFS($F37:$K37,$F37:$K37,"&gt;0")</f>
        <v>1.7657445556209534E-3</v>
      </c>
      <c r="T37" s="262">
        <f>_xlfn.MAXIFS($F37:$K37,$F37:$K37,"&gt;0")</f>
        <v>1.6341923318667503E-2</v>
      </c>
      <c r="U37" s="264"/>
      <c r="V37" s="264"/>
      <c r="W37" s="130"/>
    </row>
    <row r="38" spans="1:52" x14ac:dyDescent="0.25">
      <c r="C38" s="130"/>
      <c r="D38" s="130"/>
      <c r="E38" s="130"/>
      <c r="F38" s="130"/>
      <c r="G38" s="130"/>
      <c r="H38" s="130"/>
      <c r="I38" s="130"/>
      <c r="J38" s="130"/>
      <c r="K38" s="130"/>
      <c r="L38" s="130"/>
      <c r="M38" s="130"/>
      <c r="N38" s="130"/>
      <c r="O38" s="130"/>
      <c r="P38" s="130"/>
      <c r="Q38" s="130"/>
      <c r="R38" s="130"/>
      <c r="S38" s="130"/>
      <c r="T38" s="130"/>
      <c r="U38" s="130"/>
      <c r="V38" s="130"/>
      <c r="W38" s="130"/>
    </row>
    <row r="39" spans="1:52" x14ac:dyDescent="0.25">
      <c r="C39" s="130"/>
      <c r="D39" s="130"/>
      <c r="E39" s="130"/>
      <c r="F39" s="130"/>
      <c r="G39" s="130"/>
      <c r="H39" s="130"/>
      <c r="I39" s="130"/>
      <c r="J39" s="130"/>
      <c r="K39" s="130"/>
      <c r="L39" s="130"/>
      <c r="M39" s="130"/>
      <c r="N39" s="130"/>
      <c r="O39" s="130"/>
      <c r="P39" s="130"/>
      <c r="Q39" s="130"/>
      <c r="R39" s="130"/>
      <c r="S39" s="130"/>
      <c r="T39" s="130"/>
      <c r="U39" s="130"/>
      <c r="V39" s="130"/>
      <c r="W39" s="130"/>
    </row>
    <row r="40" spans="1:52" x14ac:dyDescent="0.25">
      <c r="C40" s="130"/>
      <c r="D40" s="130"/>
      <c r="E40" s="130"/>
      <c r="F40" s="130"/>
      <c r="G40" s="130"/>
      <c r="H40" s="130"/>
      <c r="I40" s="130"/>
      <c r="J40" s="130"/>
      <c r="K40" s="130"/>
      <c r="L40" s="130"/>
      <c r="M40" s="130"/>
      <c r="N40" s="130"/>
      <c r="O40" s="130"/>
      <c r="P40" s="130"/>
      <c r="Q40" s="130"/>
      <c r="R40" s="130"/>
      <c r="S40" s="130"/>
      <c r="T40" s="130"/>
      <c r="U40" s="130"/>
      <c r="V40" s="130"/>
      <c r="W40" s="130"/>
    </row>
    <row r="41" spans="1:52" x14ac:dyDescent="0.25">
      <c r="C41" s="130"/>
      <c r="D41" s="130"/>
      <c r="E41" s="130"/>
      <c r="F41" s="130"/>
      <c r="G41" s="130"/>
      <c r="H41" s="130"/>
      <c r="I41" s="130"/>
      <c r="J41" s="130"/>
      <c r="K41" s="130"/>
      <c r="L41" s="130"/>
      <c r="M41" s="130"/>
      <c r="N41" s="130"/>
      <c r="O41" s="130"/>
      <c r="P41" s="130"/>
      <c r="Q41" s="130"/>
      <c r="R41" s="130"/>
      <c r="S41" s="130"/>
      <c r="T41" s="130"/>
      <c r="U41" s="130"/>
      <c r="V41" s="130"/>
      <c r="W41" s="130"/>
    </row>
    <row r="42" spans="1:52" ht="16.5" thickBot="1" x14ac:dyDescent="0.3">
      <c r="A42" s="1" t="s">
        <v>23</v>
      </c>
      <c r="B42" s="9">
        <f ca="1">MAX(B$3:B6)+0.1</f>
        <v>19.200000000000003</v>
      </c>
      <c r="C42" s="28" t="s">
        <v>437</v>
      </c>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row>
    <row r="43" spans="1:52" x14ac:dyDescent="0.25">
      <c r="C43" s="130"/>
      <c r="D43" s="130"/>
      <c r="E43" s="130"/>
      <c r="F43" s="130"/>
      <c r="G43" s="130"/>
      <c r="H43" s="130"/>
      <c r="I43" s="130"/>
      <c r="J43" s="130"/>
      <c r="K43" s="130"/>
      <c r="L43" s="130"/>
      <c r="M43" s="130"/>
      <c r="N43" s="130"/>
      <c r="O43" s="130"/>
      <c r="P43" s="130"/>
      <c r="Q43" s="130"/>
      <c r="R43" s="130"/>
      <c r="S43" s="130"/>
      <c r="T43" s="130"/>
      <c r="U43" s="130"/>
      <c r="V43" s="130"/>
      <c r="W43" s="130"/>
    </row>
    <row r="44" spans="1:52" x14ac:dyDescent="0.25">
      <c r="C44" s="130"/>
      <c r="D44" s="130"/>
      <c r="E44" s="130"/>
      <c r="F44" s="130"/>
      <c r="G44" s="130"/>
      <c r="H44" s="130"/>
      <c r="I44" s="130"/>
      <c r="J44" s="130"/>
      <c r="K44" s="130"/>
      <c r="L44" s="130"/>
      <c r="M44" s="130"/>
      <c r="N44" s="130"/>
      <c r="O44" s="130"/>
      <c r="P44" s="130"/>
      <c r="Q44" s="130"/>
      <c r="R44" s="130"/>
      <c r="S44" s="130"/>
      <c r="T44" s="130"/>
      <c r="U44" s="130"/>
      <c r="V44" s="130"/>
      <c r="W44" s="130"/>
    </row>
    <row r="45" spans="1:52" x14ac:dyDescent="0.25">
      <c r="C45" s="130"/>
      <c r="D45" s="130"/>
      <c r="E45" s="130"/>
      <c r="F45" s="130"/>
      <c r="G45" s="130"/>
      <c r="H45" s="130"/>
      <c r="I45" s="130"/>
      <c r="J45" s="130"/>
      <c r="K45" s="130"/>
      <c r="L45" s="130"/>
      <c r="M45" s="130"/>
      <c r="N45" s="130"/>
      <c r="O45" s="130"/>
      <c r="P45" s="130"/>
      <c r="Q45" s="130"/>
      <c r="R45" s="130"/>
      <c r="S45" s="130"/>
      <c r="T45" s="130"/>
      <c r="U45" s="130"/>
      <c r="V45" s="130"/>
      <c r="W45" s="130"/>
    </row>
    <row r="46" spans="1:52" x14ac:dyDescent="0.25">
      <c r="C46" s="130"/>
      <c r="D46" s="130"/>
      <c r="E46" s="130"/>
      <c r="F46" s="130"/>
      <c r="G46" s="130"/>
      <c r="H46" s="130"/>
      <c r="I46" s="130"/>
      <c r="J46" s="130"/>
      <c r="K46" s="130"/>
      <c r="L46" s="130"/>
      <c r="M46" s="130"/>
      <c r="N46" s="130"/>
      <c r="O46" s="130"/>
      <c r="P46" s="130"/>
      <c r="Q46" s="130"/>
      <c r="R46" s="130"/>
      <c r="S46" s="130"/>
      <c r="T46" s="130"/>
      <c r="U46" s="130"/>
      <c r="V46" s="130"/>
      <c r="W46" s="130"/>
    </row>
    <row r="47" spans="1:52" x14ac:dyDescent="0.25">
      <c r="C47" s="130"/>
      <c r="D47" s="130"/>
      <c r="E47" s="130"/>
      <c r="F47" s="130"/>
      <c r="G47" s="130"/>
      <c r="H47" s="130"/>
      <c r="I47" s="130"/>
      <c r="J47" s="130"/>
      <c r="K47" s="130"/>
      <c r="L47" s="130"/>
      <c r="M47" s="130"/>
      <c r="N47" s="130"/>
      <c r="O47" s="130"/>
      <c r="P47" s="130"/>
      <c r="Q47" s="130"/>
      <c r="R47" s="130"/>
      <c r="S47" s="130"/>
      <c r="T47" s="130"/>
      <c r="U47" s="130"/>
      <c r="V47" s="130"/>
      <c r="W47" s="130"/>
    </row>
    <row r="48" spans="1:52" x14ac:dyDescent="0.25">
      <c r="C48" s="130"/>
      <c r="D48" s="130"/>
      <c r="E48" s="130"/>
      <c r="F48" s="130"/>
      <c r="G48" s="130"/>
      <c r="H48" s="130"/>
      <c r="I48" s="130"/>
      <c r="J48" s="130"/>
      <c r="K48" s="130"/>
      <c r="L48" s="130"/>
      <c r="M48" s="130"/>
      <c r="N48" s="130"/>
      <c r="O48" s="130"/>
      <c r="P48" s="130"/>
      <c r="Q48" s="130"/>
      <c r="R48" s="130"/>
      <c r="S48" s="130"/>
      <c r="T48" s="130"/>
      <c r="U48" s="130"/>
      <c r="V48" s="130"/>
      <c r="W48" s="130"/>
    </row>
    <row r="49" spans="3:23" x14ac:dyDescent="0.25">
      <c r="C49" s="130"/>
      <c r="D49" s="130"/>
      <c r="E49" s="130"/>
      <c r="F49" s="130"/>
      <c r="G49" s="130"/>
      <c r="H49" s="130"/>
      <c r="I49" s="130"/>
      <c r="J49" s="130"/>
      <c r="K49" s="130"/>
      <c r="L49" s="130"/>
      <c r="M49" s="130"/>
      <c r="N49" s="130"/>
      <c r="O49" s="130"/>
      <c r="P49" s="130"/>
      <c r="Q49" s="130"/>
      <c r="R49" s="130"/>
      <c r="S49" s="130"/>
      <c r="T49" s="130"/>
      <c r="U49" s="130"/>
      <c r="V49" s="130"/>
      <c r="W49" s="130"/>
    </row>
    <row r="50" spans="3:23" x14ac:dyDescent="0.25">
      <c r="C50" s="130"/>
      <c r="D50" s="130"/>
      <c r="E50" s="130"/>
      <c r="F50" s="130"/>
      <c r="G50" s="130"/>
      <c r="H50" s="130"/>
      <c r="I50" s="130"/>
      <c r="J50" s="130"/>
      <c r="K50" s="130"/>
      <c r="L50" s="130"/>
      <c r="M50" s="130"/>
      <c r="N50" s="130"/>
      <c r="O50" s="130"/>
      <c r="P50" s="130"/>
      <c r="Q50" s="130"/>
      <c r="R50" s="130"/>
      <c r="S50" s="130"/>
      <c r="T50" s="130"/>
      <c r="U50" s="130"/>
      <c r="V50" s="130"/>
      <c r="W50" s="130"/>
    </row>
    <row r="51" spans="3:23" x14ac:dyDescent="0.25">
      <c r="C51" s="130"/>
      <c r="D51" s="130"/>
      <c r="E51" s="130"/>
      <c r="F51" s="130"/>
      <c r="G51" s="130"/>
      <c r="H51" s="130"/>
      <c r="I51" s="130"/>
      <c r="J51" s="130"/>
      <c r="K51" s="130"/>
      <c r="L51" s="130"/>
      <c r="M51" s="130"/>
      <c r="N51" s="130"/>
      <c r="O51" s="130"/>
      <c r="P51" s="130"/>
      <c r="Q51" s="130"/>
      <c r="R51" s="130"/>
      <c r="S51" s="130"/>
      <c r="T51" s="130"/>
      <c r="U51" s="130"/>
      <c r="V51" s="130"/>
      <c r="W51" s="130"/>
    </row>
    <row r="52" spans="3:23" x14ac:dyDescent="0.25">
      <c r="C52" s="130"/>
      <c r="D52" s="130"/>
      <c r="E52" s="130"/>
      <c r="F52" s="130"/>
      <c r="G52" s="130"/>
      <c r="H52" s="130"/>
      <c r="I52" s="130"/>
      <c r="J52" s="130"/>
      <c r="K52" s="130"/>
      <c r="L52" s="130"/>
      <c r="M52" s="130"/>
      <c r="N52" s="130"/>
      <c r="O52" s="130"/>
      <c r="P52" s="130"/>
      <c r="Q52" s="130"/>
      <c r="R52" s="130"/>
      <c r="S52" s="130"/>
      <c r="T52" s="130"/>
      <c r="U52" s="130"/>
      <c r="V52" s="130"/>
      <c r="W52" s="130"/>
    </row>
    <row r="53" spans="3:23" x14ac:dyDescent="0.25">
      <c r="C53" s="130"/>
      <c r="D53" s="130"/>
      <c r="E53" s="130"/>
      <c r="F53" s="130"/>
      <c r="G53" s="130"/>
      <c r="H53" s="130"/>
      <c r="I53" s="130"/>
      <c r="J53" s="130"/>
      <c r="K53" s="130"/>
      <c r="L53" s="130"/>
      <c r="M53" s="130"/>
      <c r="N53" s="130"/>
      <c r="O53" s="130"/>
      <c r="P53" s="130"/>
      <c r="Q53" s="130"/>
      <c r="R53" s="130"/>
      <c r="S53" s="130"/>
      <c r="T53" s="130"/>
      <c r="U53" s="130"/>
      <c r="V53" s="130"/>
      <c r="W53" s="130"/>
    </row>
    <row r="54" spans="3:23" x14ac:dyDescent="0.25">
      <c r="C54" s="130"/>
      <c r="D54" s="130"/>
      <c r="E54" s="130"/>
      <c r="F54" s="130"/>
      <c r="G54" s="130"/>
      <c r="H54" s="130"/>
      <c r="I54" s="130"/>
      <c r="J54" s="130"/>
      <c r="K54" s="130"/>
      <c r="L54" s="130"/>
      <c r="M54" s="130"/>
      <c r="N54" s="130"/>
      <c r="O54" s="130"/>
      <c r="P54" s="130"/>
      <c r="Q54" s="130"/>
      <c r="R54" s="130"/>
      <c r="S54" s="130"/>
      <c r="T54" s="130"/>
      <c r="U54" s="130"/>
      <c r="V54" s="130"/>
      <c r="W54" s="130"/>
    </row>
    <row r="55" spans="3:23" x14ac:dyDescent="0.25">
      <c r="C55" s="130"/>
      <c r="D55" s="130"/>
      <c r="E55" s="130"/>
      <c r="F55" s="130"/>
      <c r="G55" s="130"/>
      <c r="H55" s="130"/>
      <c r="I55" s="130"/>
      <c r="J55" s="130"/>
      <c r="K55" s="130"/>
      <c r="L55" s="130"/>
      <c r="M55" s="130"/>
      <c r="N55" s="130"/>
      <c r="O55" s="130"/>
      <c r="P55" s="130"/>
      <c r="Q55" s="130"/>
      <c r="R55" s="130"/>
      <c r="S55" s="130"/>
      <c r="T55" s="130"/>
      <c r="U55" s="130"/>
      <c r="V55" s="130"/>
      <c r="W55" s="130"/>
    </row>
    <row r="56" spans="3:23" x14ac:dyDescent="0.25">
      <c r="C56" s="130"/>
      <c r="D56" s="130"/>
      <c r="E56" s="130"/>
      <c r="F56" s="130"/>
      <c r="G56" s="130"/>
      <c r="H56" s="130"/>
      <c r="I56" s="130"/>
      <c r="J56" s="130"/>
      <c r="K56" s="130"/>
      <c r="L56" s="130"/>
      <c r="M56" s="130"/>
      <c r="N56" s="130"/>
      <c r="O56" s="130"/>
      <c r="P56" s="130"/>
      <c r="Q56" s="130"/>
      <c r="R56" s="130"/>
      <c r="S56" s="130"/>
      <c r="T56" s="130"/>
      <c r="U56" s="130"/>
      <c r="V56" s="130"/>
      <c r="W56" s="130"/>
    </row>
    <row r="57" spans="3:23" x14ac:dyDescent="0.25">
      <c r="C57" s="130"/>
      <c r="D57" s="130"/>
      <c r="E57" s="130"/>
      <c r="F57" s="130"/>
      <c r="G57" s="130"/>
      <c r="H57" s="130"/>
      <c r="I57" s="130"/>
      <c r="J57" s="130"/>
      <c r="K57" s="130"/>
      <c r="L57" s="130"/>
      <c r="M57" s="130"/>
      <c r="N57" s="130"/>
      <c r="O57" s="130"/>
      <c r="P57" s="130"/>
      <c r="Q57" s="130"/>
      <c r="R57" s="130"/>
      <c r="S57" s="130"/>
      <c r="T57" s="130"/>
      <c r="U57" s="130"/>
      <c r="V57" s="130"/>
      <c r="W57" s="130"/>
    </row>
    <row r="58" spans="3:23" x14ac:dyDescent="0.25">
      <c r="C58" s="130"/>
      <c r="D58" s="130"/>
      <c r="E58" s="130"/>
      <c r="F58" s="130"/>
      <c r="G58" s="130"/>
      <c r="H58" s="130"/>
      <c r="I58" s="130"/>
      <c r="J58" s="130"/>
      <c r="K58" s="130"/>
      <c r="L58" s="130"/>
      <c r="M58" s="130"/>
      <c r="N58" s="130"/>
      <c r="O58" s="130"/>
      <c r="P58" s="130"/>
      <c r="Q58" s="130"/>
      <c r="R58" s="130"/>
      <c r="S58" s="130"/>
      <c r="T58" s="130"/>
      <c r="U58" s="130"/>
      <c r="V58" s="130"/>
      <c r="W58" s="130"/>
    </row>
    <row r="59" spans="3:23" x14ac:dyDescent="0.25">
      <c r="C59" s="130"/>
      <c r="D59" s="130"/>
      <c r="E59" s="130"/>
      <c r="F59" s="130"/>
      <c r="G59" s="130"/>
      <c r="H59" s="130"/>
      <c r="I59" s="130"/>
      <c r="J59" s="130"/>
      <c r="K59" s="130"/>
      <c r="L59" s="130"/>
      <c r="M59" s="130"/>
      <c r="N59" s="130"/>
      <c r="O59" s="130"/>
      <c r="P59" s="130"/>
      <c r="Q59" s="130"/>
      <c r="R59" s="130"/>
      <c r="S59" s="130"/>
      <c r="T59" s="130"/>
      <c r="U59" s="130"/>
      <c r="V59" s="130"/>
      <c r="W59" s="130"/>
    </row>
    <row r="60" spans="3:23" x14ac:dyDescent="0.25">
      <c r="C60" s="130"/>
      <c r="D60" s="130"/>
      <c r="E60" s="130"/>
      <c r="F60" s="130"/>
      <c r="G60" s="130"/>
      <c r="H60" s="130"/>
      <c r="I60" s="130"/>
      <c r="J60" s="130"/>
      <c r="K60" s="130"/>
      <c r="L60" s="130"/>
      <c r="M60" s="130"/>
      <c r="N60" s="130"/>
      <c r="O60" s="130"/>
      <c r="P60" s="130"/>
      <c r="Q60" s="130"/>
      <c r="R60" s="130"/>
      <c r="S60" s="130"/>
      <c r="T60" s="130"/>
      <c r="U60" s="130"/>
      <c r="V60" s="130"/>
      <c r="W60" s="130"/>
    </row>
    <row r="61" spans="3:23" x14ac:dyDescent="0.25">
      <c r="C61" s="130"/>
      <c r="D61" s="130"/>
      <c r="E61" s="130"/>
      <c r="F61" s="130"/>
      <c r="G61" s="130"/>
      <c r="H61" s="130"/>
      <c r="I61" s="130"/>
      <c r="J61" s="130"/>
      <c r="K61" s="130"/>
      <c r="L61" s="130"/>
      <c r="M61" s="130"/>
      <c r="N61" s="130"/>
      <c r="O61" s="130"/>
      <c r="P61" s="130"/>
      <c r="Q61" s="130"/>
      <c r="R61" s="130"/>
      <c r="S61" s="130"/>
      <c r="T61" s="130"/>
      <c r="U61" s="130"/>
      <c r="V61" s="130"/>
      <c r="W61" s="130"/>
    </row>
    <row r="62" spans="3:23" x14ac:dyDescent="0.25">
      <c r="C62" s="130"/>
      <c r="D62" s="130"/>
      <c r="E62" s="130"/>
      <c r="F62" s="130"/>
      <c r="G62" s="130"/>
      <c r="H62" s="130"/>
      <c r="I62" s="130"/>
      <c r="J62" s="130"/>
      <c r="K62" s="130"/>
      <c r="L62" s="130"/>
      <c r="M62" s="130"/>
      <c r="N62" s="130"/>
      <c r="O62" s="130"/>
      <c r="P62" s="130"/>
      <c r="Q62" s="130"/>
      <c r="R62" s="130"/>
      <c r="S62" s="130"/>
      <c r="T62" s="130"/>
      <c r="U62" s="130"/>
      <c r="V62" s="130"/>
      <c r="W62" s="130"/>
    </row>
    <row r="63" spans="3:23" x14ac:dyDescent="0.25">
      <c r="C63" s="130"/>
      <c r="D63" s="130"/>
      <c r="E63" s="130"/>
      <c r="F63" s="130"/>
      <c r="G63" s="130"/>
      <c r="H63" s="130"/>
      <c r="I63" s="130"/>
      <c r="J63" s="130"/>
      <c r="K63" s="130"/>
      <c r="L63" s="130"/>
      <c r="M63" s="130"/>
      <c r="N63" s="130"/>
      <c r="O63" s="130"/>
      <c r="P63" s="130"/>
      <c r="Q63" s="130"/>
      <c r="R63" s="130"/>
      <c r="S63" s="130"/>
      <c r="T63" s="130"/>
      <c r="U63" s="130"/>
      <c r="V63" s="130"/>
      <c r="W63" s="130"/>
    </row>
    <row r="64" spans="3:23" x14ac:dyDescent="0.25">
      <c r="C64" s="130"/>
      <c r="D64" s="130"/>
      <c r="E64" s="130"/>
      <c r="F64" s="130"/>
      <c r="G64" s="130"/>
      <c r="H64" s="130"/>
      <c r="I64" s="130"/>
      <c r="J64" s="130"/>
      <c r="K64" s="130"/>
      <c r="L64" s="130"/>
      <c r="M64" s="130"/>
      <c r="N64" s="130"/>
      <c r="O64" s="130"/>
      <c r="P64" s="130"/>
      <c r="Q64" s="130"/>
      <c r="R64" s="130"/>
      <c r="S64" s="130"/>
      <c r="T64" s="130"/>
      <c r="U64" s="130"/>
      <c r="V64" s="130"/>
      <c r="W64" s="130"/>
    </row>
    <row r="65" spans="3:23" x14ac:dyDescent="0.25">
      <c r="C65" s="130"/>
      <c r="D65" s="130"/>
      <c r="E65" s="130"/>
      <c r="F65" s="130"/>
      <c r="G65" s="130"/>
      <c r="H65" s="130"/>
      <c r="I65" s="130"/>
      <c r="J65" s="130"/>
      <c r="K65" s="130"/>
      <c r="L65" s="130"/>
      <c r="M65" s="130"/>
      <c r="N65" s="130"/>
      <c r="O65" s="130"/>
      <c r="P65" s="130"/>
      <c r="Q65" s="130"/>
      <c r="R65" s="130"/>
      <c r="S65" s="130"/>
      <c r="T65" s="130"/>
      <c r="U65" s="130"/>
      <c r="V65" s="130"/>
      <c r="W65" s="130"/>
    </row>
    <row r="66" spans="3:23" x14ac:dyDescent="0.25">
      <c r="C66" s="130"/>
      <c r="D66" s="130"/>
      <c r="E66" s="130"/>
      <c r="F66" s="130"/>
      <c r="G66" s="130"/>
      <c r="H66" s="130"/>
      <c r="I66" s="130"/>
      <c r="J66" s="130"/>
      <c r="K66" s="130"/>
      <c r="L66" s="130"/>
      <c r="M66" s="130"/>
      <c r="N66" s="130"/>
      <c r="O66" s="130"/>
      <c r="P66" s="130"/>
      <c r="Q66" s="130"/>
      <c r="R66" s="130"/>
      <c r="S66" s="130"/>
      <c r="T66" s="130"/>
      <c r="U66" s="130"/>
      <c r="V66" s="130"/>
      <c r="W66" s="130"/>
    </row>
    <row r="67" spans="3:23" x14ac:dyDescent="0.25">
      <c r="C67" s="130"/>
      <c r="D67" s="130"/>
      <c r="E67" s="130"/>
      <c r="F67" s="130"/>
      <c r="G67" s="130"/>
      <c r="H67" s="130"/>
      <c r="I67" s="130"/>
      <c r="J67" s="130"/>
      <c r="K67" s="130"/>
      <c r="L67" s="130"/>
      <c r="M67" s="130"/>
      <c r="N67" s="130"/>
      <c r="O67" s="130"/>
      <c r="P67" s="130"/>
      <c r="Q67" s="130"/>
      <c r="R67" s="130"/>
      <c r="S67" s="130"/>
      <c r="T67" s="130"/>
      <c r="U67" s="130"/>
      <c r="V67" s="130"/>
      <c r="W67" s="130"/>
    </row>
    <row r="68" spans="3:23" x14ac:dyDescent="0.25">
      <c r="C68" s="130"/>
      <c r="D68" s="130"/>
      <c r="E68" s="130"/>
      <c r="F68" s="130"/>
      <c r="G68" s="130"/>
      <c r="H68" s="130"/>
      <c r="I68" s="130"/>
      <c r="J68" s="130"/>
      <c r="K68" s="130"/>
      <c r="L68" s="130"/>
      <c r="M68" s="130"/>
      <c r="N68" s="130"/>
      <c r="O68" s="130"/>
      <c r="P68" s="130"/>
      <c r="Q68" s="130"/>
      <c r="R68" s="130"/>
      <c r="S68" s="130"/>
      <c r="T68" s="130"/>
      <c r="U68" s="130"/>
      <c r="V68" s="130"/>
      <c r="W68" s="130"/>
    </row>
    <row r="69" spans="3:23" x14ac:dyDescent="0.25">
      <c r="C69" s="130"/>
      <c r="D69" s="130"/>
      <c r="E69" s="130"/>
      <c r="F69" s="130"/>
      <c r="G69" s="130"/>
      <c r="H69" s="130"/>
      <c r="I69" s="130"/>
      <c r="J69" s="130"/>
      <c r="K69" s="130"/>
      <c r="L69" s="130"/>
      <c r="M69" s="130"/>
      <c r="N69" s="130"/>
      <c r="O69" s="130"/>
      <c r="P69" s="130"/>
      <c r="Q69" s="130"/>
      <c r="R69" s="130"/>
      <c r="S69" s="130"/>
      <c r="T69" s="130"/>
      <c r="U69" s="130"/>
      <c r="V69" s="130"/>
      <c r="W69" s="130"/>
    </row>
    <row r="70" spans="3:23" x14ac:dyDescent="0.25">
      <c r="C70" s="130"/>
      <c r="D70" s="130"/>
      <c r="E70" s="130"/>
      <c r="F70" s="130"/>
      <c r="G70" s="130"/>
      <c r="H70" s="130"/>
      <c r="I70" s="130"/>
      <c r="J70" s="130"/>
      <c r="K70" s="130"/>
      <c r="L70" s="130"/>
      <c r="M70" s="130"/>
      <c r="N70" s="130"/>
      <c r="O70" s="130"/>
      <c r="P70" s="130"/>
      <c r="Q70" s="130"/>
      <c r="R70" s="130"/>
      <c r="S70" s="130"/>
      <c r="T70" s="130"/>
      <c r="U70" s="130"/>
      <c r="V70" s="130"/>
      <c r="W70" s="130"/>
    </row>
    <row r="71" spans="3:23" x14ac:dyDescent="0.25">
      <c r="C71" s="130"/>
      <c r="D71" s="130"/>
      <c r="E71" s="130"/>
      <c r="F71" s="130"/>
      <c r="G71" s="130"/>
      <c r="H71" s="130"/>
      <c r="I71" s="130"/>
      <c r="J71" s="130"/>
      <c r="K71" s="130"/>
      <c r="L71" s="130"/>
      <c r="M71" s="130"/>
      <c r="N71" s="130"/>
      <c r="O71" s="130"/>
      <c r="P71" s="130"/>
      <c r="Q71" s="130"/>
      <c r="R71" s="130"/>
      <c r="S71" s="130"/>
      <c r="T71" s="130"/>
      <c r="U71" s="130"/>
      <c r="V71" s="130"/>
      <c r="W71" s="130"/>
    </row>
    <row r="72" spans="3:23" x14ac:dyDescent="0.25">
      <c r="C72" s="130"/>
      <c r="D72" s="130"/>
      <c r="E72" s="130"/>
      <c r="F72" s="130"/>
      <c r="G72" s="130"/>
      <c r="H72" s="130"/>
      <c r="I72" s="130"/>
      <c r="J72" s="130"/>
      <c r="K72" s="130"/>
      <c r="L72" s="130"/>
      <c r="M72" s="130"/>
      <c r="N72" s="130"/>
      <c r="O72" s="130"/>
      <c r="P72" s="130"/>
      <c r="Q72" s="130"/>
      <c r="R72" s="130"/>
      <c r="S72" s="130"/>
      <c r="T72" s="130"/>
      <c r="U72" s="130"/>
      <c r="V72" s="130"/>
      <c r="W72" s="130"/>
    </row>
    <row r="73" spans="3:23" x14ac:dyDescent="0.25">
      <c r="C73" s="130"/>
      <c r="D73" s="130"/>
      <c r="E73" s="130"/>
      <c r="F73" s="130"/>
      <c r="G73" s="130"/>
      <c r="H73" s="130"/>
      <c r="I73" s="130"/>
      <c r="J73" s="130"/>
      <c r="K73" s="130"/>
      <c r="L73" s="130"/>
      <c r="M73" s="130"/>
      <c r="N73" s="130"/>
      <c r="O73" s="130"/>
      <c r="P73" s="130"/>
      <c r="Q73" s="130"/>
      <c r="R73" s="130"/>
      <c r="S73" s="130"/>
      <c r="T73" s="130"/>
      <c r="U73" s="130"/>
      <c r="V73" s="130"/>
      <c r="W73" s="130"/>
    </row>
    <row r="74" spans="3:23" x14ac:dyDescent="0.25">
      <c r="C74" s="130"/>
      <c r="D74" s="130"/>
      <c r="E74" s="130"/>
      <c r="F74" s="130"/>
      <c r="G74" s="130"/>
      <c r="H74" s="130"/>
      <c r="I74" s="130"/>
      <c r="J74" s="130"/>
      <c r="K74" s="130"/>
      <c r="L74" s="130"/>
      <c r="M74" s="130"/>
      <c r="N74" s="130"/>
      <c r="O74" s="130"/>
      <c r="P74" s="130"/>
      <c r="Q74" s="130"/>
      <c r="R74" s="130"/>
      <c r="S74" s="130"/>
      <c r="T74" s="130"/>
      <c r="U74" s="130"/>
      <c r="V74" s="130"/>
      <c r="W74" s="130"/>
    </row>
    <row r="75" spans="3:23" x14ac:dyDescent="0.25">
      <c r="C75" s="130"/>
      <c r="D75" s="130"/>
      <c r="E75" s="130"/>
      <c r="F75" s="130"/>
      <c r="G75" s="130"/>
      <c r="H75" s="130"/>
      <c r="I75" s="130"/>
      <c r="J75" s="130"/>
      <c r="K75" s="130"/>
      <c r="L75" s="130"/>
      <c r="M75" s="130"/>
      <c r="N75" s="130"/>
      <c r="O75" s="130"/>
      <c r="P75" s="130"/>
      <c r="Q75" s="130"/>
      <c r="R75" s="130"/>
      <c r="S75" s="130"/>
      <c r="T75" s="130"/>
      <c r="U75" s="130"/>
      <c r="V75" s="130"/>
      <c r="W75" s="130"/>
    </row>
    <row r="76" spans="3:23" x14ac:dyDescent="0.25">
      <c r="C76" s="130"/>
      <c r="D76" s="130"/>
      <c r="E76" s="130"/>
      <c r="F76" s="130"/>
      <c r="G76" s="130"/>
      <c r="H76" s="130"/>
      <c r="I76" s="130"/>
      <c r="J76" s="130"/>
      <c r="K76" s="130"/>
      <c r="L76" s="130"/>
      <c r="M76" s="130"/>
      <c r="N76" s="130"/>
      <c r="O76" s="130"/>
      <c r="P76" s="130"/>
      <c r="Q76" s="130"/>
      <c r="R76" s="130"/>
      <c r="S76" s="130"/>
      <c r="T76" s="130"/>
      <c r="U76" s="130"/>
      <c r="V76" s="130"/>
      <c r="W76" s="130"/>
    </row>
    <row r="77" spans="3:23" x14ac:dyDescent="0.25">
      <c r="C77" s="130"/>
      <c r="D77" s="130"/>
      <c r="E77" s="130"/>
      <c r="F77" s="130"/>
      <c r="G77" s="130"/>
      <c r="H77" s="130"/>
      <c r="I77" s="130"/>
      <c r="J77" s="130"/>
      <c r="K77" s="130"/>
      <c r="L77" s="130"/>
      <c r="M77" s="130"/>
      <c r="N77" s="130"/>
      <c r="O77" s="130"/>
      <c r="P77" s="130"/>
      <c r="Q77" s="130"/>
      <c r="R77" s="130"/>
      <c r="S77" s="130"/>
      <c r="T77" s="130"/>
      <c r="U77" s="130"/>
      <c r="V77" s="130"/>
      <c r="W77" s="130"/>
    </row>
    <row r="78" spans="3:23" x14ac:dyDescent="0.25">
      <c r="C78" s="130"/>
      <c r="D78" s="130"/>
      <c r="E78" s="130"/>
      <c r="F78" s="130"/>
      <c r="G78" s="130"/>
      <c r="H78" s="130"/>
      <c r="I78" s="130"/>
      <c r="J78" s="130"/>
      <c r="K78" s="130"/>
      <c r="L78" s="130"/>
      <c r="M78" s="130"/>
      <c r="N78" s="130"/>
      <c r="O78" s="130"/>
      <c r="P78" s="130"/>
      <c r="Q78" s="130"/>
      <c r="R78" s="130"/>
      <c r="S78" s="130"/>
      <c r="T78" s="130"/>
      <c r="U78" s="130"/>
      <c r="V78" s="130"/>
      <c r="W78" s="130"/>
    </row>
    <row r="79" spans="3:23" x14ac:dyDescent="0.25">
      <c r="C79" s="130"/>
      <c r="D79" s="130"/>
      <c r="E79" s="130"/>
      <c r="F79" s="130"/>
      <c r="G79" s="130"/>
      <c r="H79" s="130"/>
      <c r="I79" s="130"/>
      <c r="J79" s="130"/>
      <c r="K79" s="130"/>
      <c r="L79" s="130"/>
      <c r="M79" s="130"/>
      <c r="N79" s="130"/>
      <c r="O79" s="130"/>
      <c r="P79" s="130"/>
      <c r="Q79" s="130"/>
      <c r="R79" s="130"/>
      <c r="S79" s="130"/>
      <c r="T79" s="130"/>
      <c r="U79" s="130"/>
      <c r="V79" s="130"/>
      <c r="W79" s="130"/>
    </row>
    <row r="80" spans="3:23" x14ac:dyDescent="0.25">
      <c r="C80" s="130"/>
      <c r="D80" s="130"/>
      <c r="E80" s="130"/>
      <c r="F80" s="130"/>
      <c r="G80" s="130"/>
      <c r="H80" s="130"/>
      <c r="I80" s="130"/>
      <c r="J80" s="130"/>
      <c r="K80" s="130"/>
      <c r="L80" s="130"/>
      <c r="M80" s="130"/>
      <c r="N80" s="130"/>
      <c r="O80" s="130"/>
      <c r="P80" s="130"/>
      <c r="Q80" s="130"/>
      <c r="R80" s="130"/>
      <c r="S80" s="130"/>
      <c r="T80" s="130"/>
      <c r="U80" s="130"/>
      <c r="V80" s="130"/>
      <c r="W80" s="130"/>
    </row>
    <row r="81" spans="2:52" ht="15.75" x14ac:dyDescent="0.25">
      <c r="C81" s="149" t="s">
        <v>423</v>
      </c>
      <c r="D81" s="130"/>
      <c r="E81" s="130"/>
      <c r="F81" s="130"/>
      <c r="G81" s="130"/>
      <c r="H81" s="130"/>
      <c r="I81" s="130"/>
      <c r="J81" s="130"/>
      <c r="K81" s="130"/>
      <c r="L81" s="130"/>
      <c r="M81" s="130"/>
      <c r="N81" s="130"/>
      <c r="O81" s="130"/>
      <c r="P81" s="130"/>
      <c r="Q81" s="130"/>
      <c r="R81" s="130"/>
      <c r="T81" s="130"/>
      <c r="U81" s="130"/>
      <c r="V81" s="130"/>
      <c r="W81" s="130"/>
    </row>
    <row r="82" spans="2:52" x14ac:dyDescent="0.25">
      <c r="C82" s="130"/>
      <c r="D82" s="384" t="s">
        <v>448</v>
      </c>
      <c r="E82" s="384"/>
      <c r="F82" s="384"/>
      <c r="G82" s="134"/>
      <c r="H82" s="384" t="s">
        <v>269</v>
      </c>
      <c r="I82" s="384"/>
      <c r="J82" s="384"/>
      <c r="K82" s="134"/>
      <c r="L82" s="384" t="s">
        <v>270</v>
      </c>
      <c r="M82" s="384"/>
      <c r="N82" s="384"/>
      <c r="O82" s="134"/>
      <c r="P82" s="384" t="s">
        <v>271</v>
      </c>
      <c r="Q82" s="384"/>
      <c r="R82" s="384"/>
      <c r="T82" s="384" t="s">
        <v>272</v>
      </c>
      <c r="U82" s="384"/>
      <c r="V82" s="384"/>
      <c r="X82" s="384" t="s">
        <v>447</v>
      </c>
      <c r="Y82" s="384"/>
      <c r="Z82" s="384"/>
    </row>
    <row r="83" spans="2:52" s="138" customFormat="1" x14ac:dyDescent="0.25">
      <c r="B83" s="139"/>
      <c r="C83" s="140"/>
      <c r="D83" s="140" t="s">
        <v>492</v>
      </c>
      <c r="E83" s="140" t="s">
        <v>506</v>
      </c>
      <c r="F83" s="140" t="s">
        <v>702</v>
      </c>
      <c r="G83" s="140"/>
      <c r="H83" s="140" t="s">
        <v>492</v>
      </c>
      <c r="I83" s="140" t="s">
        <v>494</v>
      </c>
      <c r="J83" s="140" t="s">
        <v>495</v>
      </c>
      <c r="K83" s="140"/>
      <c r="L83" s="140" t="s">
        <v>492</v>
      </c>
      <c r="M83" s="140" t="s">
        <v>494</v>
      </c>
      <c r="N83" s="140" t="s">
        <v>495</v>
      </c>
      <c r="O83" s="140"/>
      <c r="P83" s="140" t="s">
        <v>492</v>
      </c>
      <c r="Q83" s="140" t="s">
        <v>494</v>
      </c>
      <c r="R83" s="140" t="s">
        <v>495</v>
      </c>
      <c r="T83" s="140" t="s">
        <v>492</v>
      </c>
      <c r="U83" s="140" t="s">
        <v>494</v>
      </c>
      <c r="V83" s="140" t="s">
        <v>495</v>
      </c>
      <c r="X83" s="140" t="s">
        <v>492</v>
      </c>
      <c r="Y83" s="140" t="s">
        <v>494</v>
      </c>
      <c r="Z83" s="140" t="s">
        <v>495</v>
      </c>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row>
    <row r="84" spans="2:52" x14ac:dyDescent="0.25">
      <c r="C84" s="130" t="s">
        <v>501</v>
      </c>
      <c r="D84" s="131">
        <f>F9</f>
        <v>1527</v>
      </c>
      <c r="E84" s="131" t="e">
        <f>#REF!</f>
        <v>#REF!</v>
      </c>
      <c r="F84" s="131" t="e">
        <f>#REF!</f>
        <v>#REF!</v>
      </c>
      <c r="G84" s="131"/>
      <c r="H84" s="131" t="e">
        <f>#REF!</f>
        <v>#REF!</v>
      </c>
      <c r="I84" s="131" t="e">
        <f>#REF!</f>
        <v>#REF!</v>
      </c>
      <c r="J84" s="131" t="e">
        <f>#REF!</f>
        <v>#REF!</v>
      </c>
      <c r="K84" s="131"/>
      <c r="L84" s="131" t="e">
        <f>#REF!</f>
        <v>#REF!</v>
      </c>
      <c r="M84" s="131" t="e">
        <f>#REF!</f>
        <v>#REF!</v>
      </c>
      <c r="N84" s="131" t="e">
        <f>#REF!</f>
        <v>#REF!</v>
      </c>
      <c r="O84" s="131"/>
      <c r="P84" s="131" t="e">
        <f>#REF!</f>
        <v>#REF!</v>
      </c>
      <c r="Q84" s="131" t="e">
        <f>#REF!</f>
        <v>#REF!</v>
      </c>
      <c r="R84" s="131" t="e">
        <f>#REF!</f>
        <v>#REF!</v>
      </c>
      <c r="T84" s="131" t="e">
        <f>#REF!</f>
        <v>#REF!</v>
      </c>
      <c r="U84" s="131" t="e">
        <f>#REF!</f>
        <v>#REF!</v>
      </c>
      <c r="V84" s="131" t="e">
        <f>#REF!</f>
        <v>#REF!</v>
      </c>
      <c r="X84" s="131" t="e">
        <f>#REF!</f>
        <v>#REF!</v>
      </c>
      <c r="Y84" s="131" t="e">
        <f>#REF!</f>
        <v>#REF!</v>
      </c>
      <c r="Z84" s="131" t="e">
        <f>#REF!</f>
        <v>#REF!</v>
      </c>
      <c r="AA84" s="131"/>
      <c r="AB84" s="131"/>
      <c r="AC84" s="131"/>
      <c r="AD84" s="131"/>
      <c r="AE84" s="131"/>
      <c r="AF84" s="131"/>
      <c r="AG84" s="131"/>
      <c r="AH84" s="131"/>
      <c r="AI84" s="131"/>
      <c r="AJ84" s="131"/>
      <c r="AK84" s="131"/>
      <c r="AL84" s="131"/>
      <c r="AM84" s="131"/>
      <c r="AN84" s="131"/>
      <c r="AO84" s="131"/>
      <c r="AP84" s="131"/>
      <c r="AQ84" s="131"/>
      <c r="AR84" s="131"/>
      <c r="AS84" s="131"/>
      <c r="AT84" s="131"/>
      <c r="AU84" s="131"/>
      <c r="AV84" s="131"/>
      <c r="AW84" s="131"/>
      <c r="AX84" s="131"/>
      <c r="AY84" s="131"/>
      <c r="AZ84" s="131"/>
    </row>
    <row r="85" spans="2:52" x14ac:dyDescent="0.25">
      <c r="C85" s="130"/>
      <c r="D85" s="131"/>
      <c r="E85" s="132" t="e">
        <f>ABS(E84-D84)</f>
        <v>#REF!</v>
      </c>
      <c r="F85" s="132" t="e">
        <f>ABS(F84-D84)</f>
        <v>#REF!</v>
      </c>
      <c r="G85" s="132"/>
      <c r="H85" s="130"/>
      <c r="I85" s="132" t="e">
        <f>ABS(I86)</f>
        <v>#REF!</v>
      </c>
      <c r="J85" s="132" t="e">
        <f>ABS(J86)</f>
        <v>#REF!</v>
      </c>
      <c r="K85" s="132"/>
      <c r="L85" s="130"/>
      <c r="M85" s="132" t="e">
        <f>ABS(M86)</f>
        <v>#REF!</v>
      </c>
      <c r="N85" s="132" t="e">
        <f>ABS(N86)</f>
        <v>#REF!</v>
      </c>
      <c r="O85" s="132"/>
      <c r="P85" s="130"/>
      <c r="Q85" s="132" t="e">
        <f>ABS(Q86)</f>
        <v>#REF!</v>
      </c>
      <c r="R85" s="132" t="e">
        <f>ABS(R86)</f>
        <v>#REF!</v>
      </c>
      <c r="T85" s="130"/>
      <c r="U85" s="132" t="e">
        <f>ABS(U86)</f>
        <v>#REF!</v>
      </c>
      <c r="V85" s="132" t="e">
        <f>ABS(V86)</f>
        <v>#REF!</v>
      </c>
      <c r="X85" s="130"/>
      <c r="Y85" s="132" t="e">
        <f>ABS(Y86)</f>
        <v>#REF!</v>
      </c>
      <c r="Z85" s="132" t="e">
        <f>ABS(Z86)</f>
        <v>#REF!</v>
      </c>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row>
    <row r="86" spans="2:52" x14ac:dyDescent="0.25">
      <c r="C86" s="130"/>
      <c r="D86" s="131"/>
      <c r="E86" s="133" t="e">
        <f>E84-D84</f>
        <v>#REF!</v>
      </c>
      <c r="F86" s="133" t="e">
        <f>F84-D84</f>
        <v>#REF!</v>
      </c>
      <c r="G86" s="133"/>
      <c r="H86" s="131"/>
      <c r="I86" s="133" t="e">
        <f>I84-H84</f>
        <v>#REF!</v>
      </c>
      <c r="J86" s="133" t="e">
        <f>J84-H84</f>
        <v>#REF!</v>
      </c>
      <c r="K86" s="133"/>
      <c r="L86" s="131"/>
      <c r="M86" s="133" t="e">
        <f>M84-L84</f>
        <v>#REF!</v>
      </c>
      <c r="N86" s="133" t="e">
        <f>N84-L84</f>
        <v>#REF!</v>
      </c>
      <c r="O86" s="133"/>
      <c r="P86" s="131"/>
      <c r="Q86" s="133" t="e">
        <f>Q84-P84</f>
        <v>#REF!</v>
      </c>
      <c r="R86" s="133" t="e">
        <f>R84-P84</f>
        <v>#REF!</v>
      </c>
      <c r="T86" s="131"/>
      <c r="U86" s="133" t="e">
        <f>U84-T84</f>
        <v>#REF!</v>
      </c>
      <c r="V86" s="133" t="e">
        <f>V84-T84</f>
        <v>#REF!</v>
      </c>
      <c r="X86" s="131"/>
      <c r="Y86" s="133" t="e">
        <f>Y84-X84</f>
        <v>#REF!</v>
      </c>
      <c r="Z86" s="133" t="e">
        <f>Z84-X84</f>
        <v>#REF!</v>
      </c>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row>
    <row r="87" spans="2:52" x14ac:dyDescent="0.25">
      <c r="C87" s="130" t="s">
        <v>502</v>
      </c>
      <c r="D87" s="131" t="e">
        <f>#REF!</f>
        <v>#REF!</v>
      </c>
      <c r="E87" s="131" t="e">
        <f>#REF!</f>
        <v>#REF!</v>
      </c>
      <c r="F87" s="131" t="e">
        <f>#REF!</f>
        <v>#REF!</v>
      </c>
      <c r="G87" s="131"/>
      <c r="H87" s="131" t="e">
        <f>#REF!</f>
        <v>#REF!</v>
      </c>
      <c r="I87" s="131" t="e">
        <f>#REF!</f>
        <v>#REF!</v>
      </c>
      <c r="J87" s="131" t="e">
        <f>#REF!</f>
        <v>#REF!</v>
      </c>
      <c r="K87" s="131"/>
      <c r="L87" s="131" t="e">
        <f>#REF!</f>
        <v>#REF!</v>
      </c>
      <c r="M87" s="131" t="e">
        <f>#REF!</f>
        <v>#REF!</v>
      </c>
      <c r="N87" s="131" t="e">
        <f>#REF!</f>
        <v>#REF!</v>
      </c>
      <c r="O87" s="131"/>
      <c r="P87" s="131" t="e">
        <f>#REF!</f>
        <v>#REF!</v>
      </c>
      <c r="Q87" s="131" t="e">
        <f>#REF!</f>
        <v>#REF!</v>
      </c>
      <c r="R87" s="131" t="e">
        <f>#REF!</f>
        <v>#REF!</v>
      </c>
      <c r="T87" s="131" t="e">
        <f>#REF!</f>
        <v>#REF!</v>
      </c>
      <c r="U87" s="131" t="e">
        <f>#REF!</f>
        <v>#REF!</v>
      </c>
      <c r="V87" s="131" t="e">
        <f>#REF!</f>
        <v>#REF!</v>
      </c>
      <c r="X87" s="131" t="e">
        <f>#REF!</f>
        <v>#REF!</v>
      </c>
      <c r="Y87" s="131" t="e">
        <f>#REF!</f>
        <v>#REF!</v>
      </c>
      <c r="Z87" s="131" t="e">
        <f>#REF!</f>
        <v>#REF!</v>
      </c>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row>
    <row r="88" spans="2:52" x14ac:dyDescent="0.25">
      <c r="C88" s="130"/>
      <c r="D88" s="131"/>
      <c r="E88" s="132" t="e">
        <f>ABS(E87-D87)</f>
        <v>#REF!</v>
      </c>
      <c r="F88" s="132" t="e">
        <f>ABS(F87-D87)</f>
        <v>#REF!</v>
      </c>
      <c r="G88" s="132"/>
      <c r="H88" s="130"/>
      <c r="I88" s="132" t="e">
        <f>ABS(I89)</f>
        <v>#REF!</v>
      </c>
      <c r="J88" s="132" t="e">
        <f>ABS(J89)</f>
        <v>#REF!</v>
      </c>
      <c r="K88" s="132"/>
      <c r="L88" s="130"/>
      <c r="M88" s="132" t="e">
        <f>ABS(M89)</f>
        <v>#REF!</v>
      </c>
      <c r="N88" s="132" t="e">
        <f>ABS(N89)</f>
        <v>#REF!</v>
      </c>
      <c r="O88" s="132"/>
      <c r="P88" s="130"/>
      <c r="Q88" s="132" t="e">
        <f>ABS(Q89)</f>
        <v>#REF!</v>
      </c>
      <c r="R88" s="132" t="e">
        <f>ABS(R89)</f>
        <v>#REF!</v>
      </c>
      <c r="T88" s="130"/>
      <c r="U88" s="132" t="e">
        <f>ABS(U89)</f>
        <v>#REF!</v>
      </c>
      <c r="V88" s="132" t="e">
        <f>ABS(V89)</f>
        <v>#REF!</v>
      </c>
      <c r="X88" s="130"/>
      <c r="Y88" s="132" t="e">
        <f>ABS(Y89)</f>
        <v>#REF!</v>
      </c>
      <c r="Z88" s="132" t="e">
        <f>ABS(Z89)</f>
        <v>#REF!</v>
      </c>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row>
    <row r="89" spans="2:52" x14ac:dyDescent="0.25">
      <c r="C89" s="130"/>
      <c r="D89" s="131"/>
      <c r="E89" s="133" t="e">
        <f>E87-D87</f>
        <v>#REF!</v>
      </c>
      <c r="F89" s="133" t="e">
        <f>F87-D87</f>
        <v>#REF!</v>
      </c>
      <c r="G89" s="133"/>
      <c r="H89" s="131"/>
      <c r="I89" s="133" t="e">
        <f>I87-H87</f>
        <v>#REF!</v>
      </c>
      <c r="J89" s="133" t="e">
        <f>J87-H87</f>
        <v>#REF!</v>
      </c>
      <c r="K89" s="133"/>
      <c r="L89" s="131"/>
      <c r="M89" s="133" t="e">
        <f>M87-L87</f>
        <v>#REF!</v>
      </c>
      <c r="N89" s="133" t="e">
        <f>N87-L87</f>
        <v>#REF!</v>
      </c>
      <c r="O89" s="133"/>
      <c r="P89" s="131"/>
      <c r="Q89" s="133" t="e">
        <f>Q87-P87</f>
        <v>#REF!</v>
      </c>
      <c r="R89" s="133" t="e">
        <f>R87-P87</f>
        <v>#REF!</v>
      </c>
      <c r="T89" s="131"/>
      <c r="U89" s="133" t="e">
        <f>U87-T87</f>
        <v>#REF!</v>
      </c>
      <c r="V89" s="133" t="e">
        <f>V87-T87</f>
        <v>#REF!</v>
      </c>
      <c r="X89" s="131"/>
      <c r="Y89" s="133" t="e">
        <f>Y87-X87</f>
        <v>#REF!</v>
      </c>
      <c r="Z89" s="133" t="e">
        <f>Z87-X87</f>
        <v>#REF!</v>
      </c>
      <c r="AA89" s="133"/>
      <c r="AB89" s="133"/>
      <c r="AC89" s="133"/>
      <c r="AD89" s="133"/>
      <c r="AE89" s="133"/>
      <c r="AF89" s="133"/>
      <c r="AG89" s="133"/>
      <c r="AH89" s="133"/>
      <c r="AI89" s="133"/>
      <c r="AJ89" s="133"/>
      <c r="AK89" s="133"/>
      <c r="AL89" s="133"/>
      <c r="AM89" s="133"/>
      <c r="AN89" s="133"/>
      <c r="AO89" s="133"/>
      <c r="AP89" s="133"/>
      <c r="AQ89" s="133"/>
      <c r="AR89" s="133"/>
      <c r="AS89" s="133"/>
      <c r="AT89" s="133"/>
      <c r="AU89" s="133"/>
      <c r="AV89" s="133"/>
      <c r="AW89" s="133"/>
      <c r="AX89" s="133"/>
      <c r="AY89" s="133"/>
      <c r="AZ89" s="133"/>
    </row>
    <row r="90" spans="2:52" x14ac:dyDescent="0.25">
      <c r="C90" s="130"/>
      <c r="D90" s="130"/>
      <c r="E90" s="130"/>
      <c r="F90" s="130"/>
      <c r="G90" s="130"/>
      <c r="H90" s="130"/>
      <c r="I90" s="130"/>
      <c r="J90" s="130"/>
      <c r="K90" s="130"/>
      <c r="L90" s="130"/>
      <c r="M90" s="130"/>
      <c r="N90" s="130"/>
      <c r="O90" s="130"/>
      <c r="P90" s="130"/>
      <c r="Q90" s="130"/>
      <c r="R90" s="130"/>
      <c r="S90" s="130"/>
      <c r="T90" s="130"/>
      <c r="U90" s="130"/>
      <c r="V90" s="130"/>
      <c r="W90" s="130"/>
    </row>
    <row r="91" spans="2:52" ht="15.75" x14ac:dyDescent="0.25">
      <c r="C91" s="29" t="s">
        <v>695</v>
      </c>
      <c r="D91" s="130"/>
      <c r="E91" s="130"/>
      <c r="F91" s="130"/>
      <c r="G91" s="130"/>
      <c r="H91" s="130"/>
      <c r="I91" s="130"/>
      <c r="J91" s="130"/>
      <c r="K91" s="130"/>
      <c r="L91" s="130"/>
      <c r="M91" s="130"/>
      <c r="N91" s="130"/>
      <c r="O91" s="130"/>
      <c r="P91" s="130"/>
      <c r="Q91" s="130"/>
      <c r="R91" s="130"/>
      <c r="S91" s="130"/>
      <c r="T91" s="130"/>
      <c r="U91" s="130"/>
      <c r="V91" s="130"/>
      <c r="W91" s="130"/>
    </row>
    <row r="92" spans="2:52" ht="15.75" x14ac:dyDescent="0.25">
      <c r="C92" s="168" t="s">
        <v>331</v>
      </c>
      <c r="D92" s="168" t="s">
        <v>103</v>
      </c>
      <c r="E92" s="168" t="s">
        <v>587</v>
      </c>
      <c r="F92" s="168" t="s">
        <v>91</v>
      </c>
      <c r="G92" s="168" t="s">
        <v>454</v>
      </c>
      <c r="H92" s="169" t="s">
        <v>268</v>
      </c>
      <c r="I92" s="169" t="s">
        <v>269</v>
      </c>
      <c r="J92" s="169" t="s">
        <v>270</v>
      </c>
      <c r="K92" s="169" t="s">
        <v>271</v>
      </c>
      <c r="L92" s="169" t="s">
        <v>272</v>
      </c>
      <c r="M92" s="258" t="s">
        <v>692</v>
      </c>
      <c r="N92" s="169" t="s">
        <v>693</v>
      </c>
      <c r="O92" s="169" t="s">
        <v>694</v>
      </c>
    </row>
    <row r="93" spans="2:52" x14ac:dyDescent="0.25">
      <c r="C93" s="23" t="s">
        <v>550</v>
      </c>
      <c r="D93" s="23" t="s">
        <v>109</v>
      </c>
      <c r="E93" s="23" t="s">
        <v>410</v>
      </c>
      <c r="F93" s="23" t="s">
        <v>92</v>
      </c>
      <c r="G93" s="23" t="s">
        <v>556</v>
      </c>
      <c r="H93" s="209">
        <f>IF($E93="VDO 2021 - Variation Final",
IF($F93="Residential",
INDEX(OP_TotalRates_RES_1[],MATCH($C93,OP_TotalRates_RES_1[Rate name],0),MATCH(H$92,OP_TotalRates_RES_1[#Headers],0)),
INDEX(OP_TotalRates_SME_1[],MATCH($C93,OP_TotalRates_SME_1[Rate name],0),MATCH(H$92,OP_TotalRates_SME_1[#Headers],0))),
IF($F93="Residential",
INDEX(OP_TotalRates_RES_2[],MATCH($C93,OP_TotalRates_RES_2[Rate name],0),MATCH(H$92,OP_TotalRates_RES_2[#Headers],0)),
INDEX(OP_TotalRates_SME_2[],MATCH($C93,OP_TotalRates_SME_2[Rate name],0),MATCH(H$92,OP_TotalRates_SME_2[#Headers],0))))</f>
        <v>1.2310000000000001</v>
      </c>
      <c r="I93" s="209">
        <f>IF($E93="VDO 2021 - Variation Final",
IF($F93="Residential",
INDEX(OP_TotalRates_RES_1[],MATCH($C93,OP_TotalRates_RES_1[Rate name],0),MATCH(I$92,OP_TotalRates_RES_1[#Headers],0)),
INDEX(OP_TotalRates_SME_1[],MATCH($C93,OP_TotalRates_SME_1[Rate name],0),MATCH(I$92,OP_TotalRates_SME_1[#Headers],0))),
IF($F93="Residential",
INDEX(OP_TotalRates_RES_2[],MATCH($C93,OP_TotalRates_RES_2[Rate name],0),MATCH(I$92,OP_TotalRates_RES_2[#Headers],0)),
INDEX(OP_TotalRates_SME_2[],MATCH($C93,OP_TotalRates_SME_2[Rate name],0),MATCH(I$92,OP_TotalRates_SME_2[#Headers],0))))</f>
        <v>1.1303000000000001</v>
      </c>
      <c r="J93" s="209">
        <f>IF($E93="VDO 2021 - Variation Final",
IF($F93="Residential",
INDEX(OP_TotalRates_RES_1[],MATCH($C93,OP_TotalRates_RES_1[Rate name],0),MATCH(J$92,OP_TotalRates_RES_1[#Headers],0)),
INDEX(OP_TotalRates_SME_1[],MATCH($C93,OP_TotalRates_SME_1[Rate name],0),MATCH(J$92,OP_TotalRates_SME_1[#Headers],0))),
IF($F93="Residential",
INDEX(OP_TotalRates_RES_2[],MATCH($C93,OP_TotalRates_RES_2[Rate name],0),MATCH(J$92,OP_TotalRates_RES_2[#Headers],0)),
INDEX(OP_TotalRates_SME_2[],MATCH($C93,OP_TotalRates_SME_2[Rate name],0),MATCH(J$92,OP_TotalRates_SME_2[#Headers],0))))</f>
        <v>1.0840000000000001</v>
      </c>
      <c r="K93" s="209">
        <f>IF($E93="VDO 2021 - Variation Final",
IF($F93="Residential",
INDEX(OP_TotalRates_RES_1[],MATCH($C93,OP_TotalRates_RES_1[Rate name],0),MATCH(K$92,OP_TotalRates_RES_1[#Headers],0)),
INDEX(OP_TotalRates_SME_1[],MATCH($C93,OP_TotalRates_SME_1[Rate name],0),MATCH(K$92,OP_TotalRates_SME_1[#Headers],0))),
IF($F93="Residential",
INDEX(OP_TotalRates_RES_2[],MATCH($C93,OP_TotalRates_RES_2[Rate name],0),MATCH(K$92,OP_TotalRates_RES_2[#Headers],0)),
INDEX(OP_TotalRates_SME_2[],MATCH($C93,OP_TotalRates_SME_2[Rate name],0),MATCH(K$92,OP_TotalRates_SME_2[#Headers],0))))</f>
        <v>1.2801</v>
      </c>
      <c r="L93" s="209">
        <f>IF($E93="VDO 2021 - Variation Final",
IF($F93="Residential",
INDEX(OP_TotalRates_RES_1[],MATCH($C93,OP_TotalRates_RES_1[Rate name],0),MATCH(L$92,OP_TotalRates_RES_1[#Headers],0)),
INDEX(OP_TotalRates_SME_1[],MATCH($C93,OP_TotalRates_SME_1[Rate name],0),MATCH(L$92,OP_TotalRates_SME_1[#Headers],0))),
IF($F93="Residential",
INDEX(OP_TotalRates_RES_2[],MATCH($C93,OP_TotalRates_RES_2[Rate name],0),MATCH(L$92,OP_TotalRates_RES_2[#Headers],0)),
INDEX(OP_TotalRates_SME_2[],MATCH($C93,OP_TotalRates_SME_2[Rate name],0),MATCH(L$92,OP_TotalRates_SME_2[#Headers],0))))</f>
        <v>1.0386</v>
      </c>
      <c r="M93" s="180"/>
      <c r="N93" s="259" t="s">
        <v>427</v>
      </c>
      <c r="O93" s="257">
        <f>IF(CH_BITariff[[#This Row],[Usage unit]]="Days",DiY,SUMIFS(INDEX(Input_Usage[[F-PreviousVDO_Input]:[F-CurrentVDO_Input]],0,MATCH(CH_BITariff[[#This Row],[Decision]],Inputs!$I$134:$M$134,0)),Input_Usage[Usage type],CH_BITariff[[#This Row],[Rate name]],Input_Usage[Profile name],CH_BITariff[[#This Row],[Customer type]]&amp;" - medium"))</f>
        <v>365</v>
      </c>
    </row>
    <row r="94" spans="2:52" x14ac:dyDescent="0.25">
      <c r="C94" s="23" t="s">
        <v>221</v>
      </c>
      <c r="D94" s="23" t="s">
        <v>282</v>
      </c>
      <c r="E94" s="23" t="s">
        <v>410</v>
      </c>
      <c r="F94" s="23" t="s">
        <v>92</v>
      </c>
      <c r="G94" s="23" t="s">
        <v>556</v>
      </c>
      <c r="H94" s="209">
        <f>IF($E94="VDO 2021 - Variation Final",
IF($F94="Residential",
INDEX(OP_TotalRates_RES_1[],MATCH($C94,OP_TotalRates_RES_1[Rate name],0),MATCH(H$92,OP_TotalRates_RES_1[#Headers],0)),
INDEX(OP_TotalRates_SME_1[],MATCH($C94,OP_TotalRates_SME_1[Rate name],0),MATCH(H$92,OP_TotalRates_SME_1[#Headers],0))),
IF($F94="Residential",
INDEX(OP_TotalRates_RES_2[],MATCH($C94,OP_TotalRates_RES_2[Rate name],0),MATCH(H$92,OP_TotalRates_RES_2[#Headers],0)),
INDEX(OP_TotalRates_SME_2[],MATCH($C94,OP_TotalRates_SME_2[Rate name],0),MATCH(H$92,OP_TotalRates_SME_2[#Headers],0))))</f>
        <v>0.26919999999999999</v>
      </c>
      <c r="I94" s="209">
        <f>IF($E94="VDO 2021 - Variation Final",
IF($F94="Residential",
INDEX(OP_TotalRates_RES_1[],MATCH($C94,OP_TotalRates_RES_1[Rate name],0),MATCH(I$92,OP_TotalRates_RES_1[#Headers],0)),
INDEX(OP_TotalRates_SME_1[],MATCH($C94,OP_TotalRates_SME_1[Rate name],0),MATCH(I$92,OP_TotalRates_SME_1[#Headers],0))),
IF($F94="Residential",
INDEX(OP_TotalRates_RES_2[],MATCH($C94,OP_TotalRates_RES_2[Rate name],0),MATCH(I$92,OP_TotalRates_RES_2[#Headers],0)),
INDEX(OP_TotalRates_SME_2[],MATCH($C94,OP_TotalRates_SME_2[Rate name],0),MATCH(I$92,OP_TotalRates_SME_2[#Headers],0))))</f>
        <v>0</v>
      </c>
      <c r="J94" s="209">
        <f>IF($E94="VDO 2021 - Variation Final",
IF($F94="Residential",
INDEX(OP_TotalRates_RES_1[],MATCH($C94,OP_TotalRates_RES_1[Rate name],0),MATCH(J$92,OP_TotalRates_RES_1[#Headers],0)),
INDEX(OP_TotalRates_SME_1[],MATCH($C94,OP_TotalRates_SME_1[Rate name],0),MATCH(J$92,OP_TotalRates_SME_1[#Headers],0))),
IF($F94="Residential",
INDEX(OP_TotalRates_RES_2[],MATCH($C94,OP_TotalRates_RES_2[Rate name],0),MATCH(J$92,OP_TotalRates_RES_2[#Headers],0)),
INDEX(OP_TotalRates_SME_2[],MATCH($C94,OP_TotalRates_SME_2[Rate name],0),MATCH(J$92,OP_TotalRates_SME_2[#Headers],0))))</f>
        <v>0</v>
      </c>
      <c r="K94" s="209">
        <f>IF($E94="VDO 2021 - Variation Final",
IF($F94="Residential",
INDEX(OP_TotalRates_RES_1[],MATCH($C94,OP_TotalRates_RES_1[Rate name],0),MATCH(K$92,OP_TotalRates_RES_1[#Headers],0)),
INDEX(OP_TotalRates_SME_1[],MATCH($C94,OP_TotalRates_SME_1[Rate name],0),MATCH(K$92,OP_TotalRates_SME_1[#Headers],0))),
IF($F94="Residential",
INDEX(OP_TotalRates_RES_2[],MATCH($C94,OP_TotalRates_RES_2[Rate name],0),MATCH(K$92,OP_TotalRates_RES_2[#Headers],0)),
INDEX(OP_TotalRates_SME_2[],MATCH($C94,OP_TotalRates_SME_2[Rate name],0),MATCH(K$92,OP_TotalRates_SME_2[#Headers],0))))</f>
        <v>0</v>
      </c>
      <c r="L94" s="209">
        <f>IF($E94="VDO 2021 - Variation Final",
IF($F94="Residential",
INDEX(OP_TotalRates_RES_1[],MATCH($C94,OP_TotalRates_RES_1[Rate name],0),MATCH(L$92,OP_TotalRates_RES_1[#Headers],0)),
INDEX(OP_TotalRates_SME_1[],MATCH($C94,OP_TotalRates_SME_1[Rate name],0),MATCH(L$92,OP_TotalRates_SME_1[#Headers],0))),
IF($F94="Residential",
INDEX(OP_TotalRates_RES_2[],MATCH($C94,OP_TotalRates_RES_2[Rate name],0),MATCH(L$92,OP_TotalRates_RES_2[#Headers],0)),
INDEX(OP_TotalRates_SME_2[],MATCH($C94,OP_TotalRates_SME_2[Rate name],0),MATCH(L$92,OP_TotalRates_SME_2[#Headers],0))))</f>
        <v>0</v>
      </c>
      <c r="M94" s="180"/>
      <c r="N94" s="259" t="s">
        <v>691</v>
      </c>
      <c r="O94" s="257">
        <f>IF(CH_BITariff[[#This Row],[Usage unit]]="Days",DiY,SUMIFS(INDEX(Input_Usage[[F-PreviousVDO_Input]:[F-CurrentVDO_Input]],0,MATCH(CH_BITariff[[#This Row],[Decision]],Inputs!$I$134:$M$134,0)),Input_Usage[Usage type],CH_BITariff[[#This Row],[Rate name]],Input_Usage[Profile name],CH_BITariff[[#This Row],[Customer type]]&amp;" - medium"))</f>
        <v>4000</v>
      </c>
    </row>
    <row r="95" spans="2:52" x14ac:dyDescent="0.25">
      <c r="C95" s="23" t="s">
        <v>228</v>
      </c>
      <c r="D95" s="23" t="s">
        <v>282</v>
      </c>
      <c r="E95" s="23" t="s">
        <v>410</v>
      </c>
      <c r="F95" s="23" t="s">
        <v>92</v>
      </c>
      <c r="G95" s="23" t="s">
        <v>556</v>
      </c>
      <c r="H95" s="209">
        <f>IF($E95="VDO 2021 - Variation Final",
IF($F95="Residential",
INDEX(OP_TotalRates_RES_1[],MATCH($C95,OP_TotalRates_RES_1[Rate name],0),MATCH(H$92,OP_TotalRates_RES_1[#Headers],0)),
INDEX(OP_TotalRates_SME_1[],MATCH($C95,OP_TotalRates_SME_1[Rate name],0),MATCH(H$92,OP_TotalRates_SME_1[#Headers],0))),
IF($F95="Residential",
INDEX(OP_TotalRates_RES_2[],MATCH($C95,OP_TotalRates_RES_2[Rate name],0),MATCH(H$92,OP_TotalRates_RES_2[#Headers],0)),
INDEX(OP_TotalRates_SME_2[],MATCH($C95,OP_TotalRates_SME_2[Rate name],0),MATCH(H$92,OP_TotalRates_SME_2[#Headers],0))))</f>
        <v>0.28539999999999999</v>
      </c>
      <c r="I95" s="209">
        <f>IF($E95="VDO 2021 - Variation Final",
IF($F95="Residential",
INDEX(OP_TotalRates_RES_1[],MATCH($C95,OP_TotalRates_RES_1[Rate name],0),MATCH(I$92,OP_TotalRates_RES_1[#Headers],0)),
INDEX(OP_TotalRates_SME_1[],MATCH($C95,OP_TotalRates_SME_1[Rate name],0),MATCH(I$92,OP_TotalRates_SME_1[#Headers],0))),
IF($F95="Residential",
INDEX(OP_TotalRates_RES_2[],MATCH($C95,OP_TotalRates_RES_2[Rate name],0),MATCH(I$92,OP_TotalRates_RES_2[#Headers],0)),
INDEX(OP_TotalRates_SME_2[],MATCH($C95,OP_TotalRates_SME_2[Rate name],0),MATCH(I$92,OP_TotalRates_SME_2[#Headers],0))))</f>
        <v>0</v>
      </c>
      <c r="J95" s="209">
        <f>IF($E95="VDO 2021 - Variation Final",
IF($F95="Residential",
INDEX(OP_TotalRates_RES_1[],MATCH($C95,OP_TotalRates_RES_1[Rate name],0),MATCH(J$92,OP_TotalRates_RES_1[#Headers],0)),
INDEX(OP_TotalRates_SME_1[],MATCH($C95,OP_TotalRates_SME_1[Rate name],0),MATCH(J$92,OP_TotalRates_SME_1[#Headers],0))),
IF($F95="Residential",
INDEX(OP_TotalRates_RES_2[],MATCH($C95,OP_TotalRates_RES_2[Rate name],0),MATCH(J$92,OP_TotalRates_RES_2[#Headers],0)),
INDEX(OP_TotalRates_SME_2[],MATCH($C95,OP_TotalRates_SME_2[Rate name],0),MATCH(J$92,OP_TotalRates_SME_2[#Headers],0))))</f>
        <v>0</v>
      </c>
      <c r="K95" s="209">
        <f>IF($E95="VDO 2021 - Variation Final",
IF($F95="Residential",
INDEX(OP_TotalRates_RES_1[],MATCH($C95,OP_TotalRates_RES_1[Rate name],0),MATCH(K$92,OP_TotalRates_RES_1[#Headers],0)),
INDEX(OP_TotalRates_SME_1[],MATCH($C95,OP_TotalRates_SME_1[Rate name],0),MATCH(K$92,OP_TotalRates_SME_1[#Headers],0))),
IF($F95="Residential",
INDEX(OP_TotalRates_RES_2[],MATCH($C95,OP_TotalRates_RES_2[Rate name],0),MATCH(K$92,OP_TotalRates_RES_2[#Headers],0)),
INDEX(OP_TotalRates_SME_2[],MATCH($C95,OP_TotalRates_SME_2[Rate name],0),MATCH(K$92,OP_TotalRates_SME_2[#Headers],0))))</f>
        <v>0</v>
      </c>
      <c r="L95" s="209">
        <f>IF($E95="VDO 2021 - Variation Final",
IF($F95="Residential",
INDEX(OP_TotalRates_RES_1[],MATCH($C95,OP_TotalRates_RES_1[Rate name],0),MATCH(L$92,OP_TotalRates_RES_1[#Headers],0)),
INDEX(OP_TotalRates_SME_1[],MATCH($C95,OP_TotalRates_SME_1[Rate name],0),MATCH(L$92,OP_TotalRates_SME_1[#Headers],0))),
IF($F95="Residential",
INDEX(OP_TotalRates_RES_2[],MATCH($C95,OP_TotalRates_RES_2[Rate name],0),MATCH(L$92,OP_TotalRates_RES_2[#Headers],0)),
INDEX(OP_TotalRates_SME_2[],MATCH($C95,OP_TotalRates_SME_2[Rate name],0),MATCH(L$92,OP_TotalRates_SME_2[#Headers],0))))</f>
        <v>0</v>
      </c>
      <c r="M95" s="180"/>
      <c r="N95" s="259" t="s">
        <v>691</v>
      </c>
      <c r="O95" s="257">
        <f>IF(CH_BITariff[[#This Row],[Usage unit]]="Days",DiY,SUMIFS(INDEX(Input_Usage[[F-PreviousVDO_Input]:[F-CurrentVDO_Input]],0,MATCH(CH_BITariff[[#This Row],[Decision]],Inputs!$I$134:$M$134,0)),Input_Usage[Usage type],CH_BITariff[[#This Row],[Rate name]],Input_Usage[Profile name],CH_BITariff[[#This Row],[Customer type]]&amp;" - medium"))</f>
        <v>0</v>
      </c>
    </row>
    <row r="96" spans="2:52" x14ac:dyDescent="0.25">
      <c r="C96" s="23" t="s">
        <v>549</v>
      </c>
      <c r="D96" s="23" t="s">
        <v>282</v>
      </c>
      <c r="E96" s="23" t="s">
        <v>410</v>
      </c>
      <c r="F96" s="23" t="s">
        <v>92</v>
      </c>
      <c r="G96" s="23" t="s">
        <v>556</v>
      </c>
      <c r="H96" s="209">
        <f>IF($E96="VDO 2021 - Variation Final",
IF($F96="Residential",
INDEX(OP_TotalRates_RES_1[],MATCH($C96,OP_TotalRates_RES_1[Rate name],0),MATCH(H$92,OP_TotalRates_RES_1[#Headers],0)),
INDEX(OP_TotalRates_SME_1[],MATCH($C96,OP_TotalRates_SME_1[Rate name],0),MATCH(H$92,OP_TotalRates_SME_1[#Headers],0))),
IF($F96="Residential",
INDEX(OP_TotalRates_RES_2[],MATCH($C96,OP_TotalRates_RES_2[Rate name],0),MATCH(H$92,OP_TotalRates_RES_2[#Headers],0)),
INDEX(OP_TotalRates_SME_2[],MATCH($C96,OP_TotalRates_SME_2[Rate name],0),MATCH(H$92,OP_TotalRates_SME_2[#Headers],0))))</f>
        <v>0</v>
      </c>
      <c r="I96" s="209">
        <f>IF($E96="VDO 2021 - Variation Final",
IF($F96="Residential",
INDEX(OP_TotalRates_RES_1[],MATCH($C96,OP_TotalRates_RES_1[Rate name],0),MATCH(I$92,OP_TotalRates_RES_1[#Headers],0)),
INDEX(OP_TotalRates_SME_1[],MATCH($C96,OP_TotalRates_SME_1[Rate name],0),MATCH(I$92,OP_TotalRates_SME_1[#Headers],0))),
IF($F96="Residential",
INDEX(OP_TotalRates_RES_2[],MATCH($C96,OP_TotalRates_RES_2[Rate name],0),MATCH(I$92,OP_TotalRates_RES_2[#Headers],0)),
INDEX(OP_TotalRates_SME_2[],MATCH($C96,OP_TotalRates_SME_2[Rate name],0),MATCH(I$92,OP_TotalRates_SME_2[#Headers],0))))</f>
        <v>0.218</v>
      </c>
      <c r="J96" s="209">
        <f>IF($E96="VDO 2021 - Variation Final",
IF($F96="Residential",
INDEX(OP_TotalRates_RES_1[],MATCH($C96,OP_TotalRates_RES_1[Rate name],0),MATCH(J$92,OP_TotalRates_RES_1[#Headers],0)),
INDEX(OP_TotalRates_SME_1[],MATCH($C96,OP_TotalRates_SME_1[Rate name],0),MATCH(J$92,OP_TotalRates_SME_1[#Headers],0))),
IF($F96="Residential",
INDEX(OP_TotalRates_RES_2[],MATCH($C96,OP_TotalRates_RES_2[Rate name],0),MATCH(J$92,OP_TotalRates_RES_2[#Headers],0)),
INDEX(OP_TotalRates_SME_2[],MATCH($C96,OP_TotalRates_SME_2[Rate name],0),MATCH(J$92,OP_TotalRates_SME_2[#Headers],0))))</f>
        <v>0.23300000000000001</v>
      </c>
      <c r="K96" s="209">
        <f>IF($E96="VDO 2021 - Variation Final",
IF($F96="Residential",
INDEX(OP_TotalRates_RES_1[],MATCH($C96,OP_TotalRates_RES_1[Rate name],0),MATCH(K$92,OP_TotalRates_RES_1[#Headers],0)),
INDEX(OP_TotalRates_SME_1[],MATCH($C96,OP_TotalRates_SME_1[Rate name],0),MATCH(K$92,OP_TotalRates_SME_1[#Headers],0))),
IF($F96="Residential",
INDEX(OP_TotalRates_RES_2[],MATCH($C96,OP_TotalRates_RES_2[Rate name],0),MATCH(K$92,OP_TotalRates_RES_2[#Headers],0)),
INDEX(OP_TotalRates_SME_2[],MATCH($C96,OP_TotalRates_SME_2[Rate name],0),MATCH(K$92,OP_TotalRates_SME_2[#Headers],0))))</f>
        <v>0.2276</v>
      </c>
      <c r="L96" s="209">
        <f>IF($E96="VDO 2021 - Variation Final",
IF($F96="Residential",
INDEX(OP_TotalRates_RES_1[],MATCH($C96,OP_TotalRates_RES_1[Rate name],0),MATCH(L$92,OP_TotalRates_RES_1[#Headers],0)),
INDEX(OP_TotalRates_SME_1[],MATCH($C96,OP_TotalRates_SME_1[Rate name],0),MATCH(L$92,OP_TotalRates_SME_1[#Headers],0))),
IF($F96="Residential",
INDEX(OP_TotalRates_RES_2[],MATCH($C96,OP_TotalRates_RES_2[Rate name],0),MATCH(L$92,OP_TotalRates_RES_2[#Headers],0)),
INDEX(OP_TotalRates_SME_2[],MATCH($C96,OP_TotalRates_SME_2[Rate name],0),MATCH(L$92,OP_TotalRates_SME_2[#Headers],0))))</f>
        <v>0.22500000000000001</v>
      </c>
      <c r="M96" s="180"/>
      <c r="N96" s="259" t="s">
        <v>691</v>
      </c>
      <c r="O96" s="257">
        <f>IF(CH_BITariff[[#This Row],[Usage unit]]="Days",DiY,SUMIFS(INDEX(Input_Usage[[F-PreviousVDO_Input]:[F-CurrentVDO_Input]],0,MATCH(CH_BITariff[[#This Row],[Decision]],Inputs!$I$134:$M$134,0)),Input_Usage[Usage type],CH_BITariff[[#This Row],[Rate name]],Input_Usage[Profile name],CH_BITariff[[#This Row],[Customer type]]&amp;" - medium"))</f>
        <v>4000</v>
      </c>
    </row>
    <row r="97" spans="3:15" x14ac:dyDescent="0.25">
      <c r="C97" s="23" t="s">
        <v>551</v>
      </c>
      <c r="D97" s="23" t="s">
        <v>109</v>
      </c>
      <c r="E97" s="23" t="s">
        <v>410</v>
      </c>
      <c r="F97" s="23" t="s">
        <v>92</v>
      </c>
      <c r="G97" s="23" t="s">
        <v>557</v>
      </c>
      <c r="H97" s="209">
        <f>IF($E97="VDO 2021 - Variation Final",
IF($F97="Residential",
INDEX(OP_TotalRates_RES_1[],MATCH($C97,OP_TotalRates_RES_1[Rate name],0),MATCH(H$92,OP_TotalRates_RES_1[#Headers],0)),
INDEX(OP_TotalRates_SME_1[],MATCH($C97,OP_TotalRates_SME_1[Rate name],0),MATCH(H$92,OP_TotalRates_SME_1[#Headers],0))),
IF($F97="Residential",
INDEX(OP_TotalRates_RES_2[],MATCH($C97,OP_TotalRates_RES_2[Rate name],0),MATCH(H$92,OP_TotalRates_RES_2[#Headers],0)),
INDEX(OP_TotalRates_SME_2[],MATCH($C97,OP_TotalRates_SME_2[Rate name],0),MATCH(H$92,OP_TotalRates_SME_2[#Headers],0))))</f>
        <v>1.2310000000000001</v>
      </c>
      <c r="I97" s="209">
        <f>IF($E97="VDO 2021 - Variation Final",
IF($F97="Residential",
INDEX(OP_TotalRates_RES_1[],MATCH($C97,OP_TotalRates_RES_1[Rate name],0),MATCH(I$92,OP_TotalRates_RES_1[#Headers],0)),
INDEX(OP_TotalRates_SME_1[],MATCH($C97,OP_TotalRates_SME_1[Rate name],0),MATCH(I$92,OP_TotalRates_SME_1[#Headers],0))),
IF($F97="Residential",
INDEX(OP_TotalRates_RES_2[],MATCH($C97,OP_TotalRates_RES_2[Rate name],0),MATCH(I$92,OP_TotalRates_RES_2[#Headers],0)),
INDEX(OP_TotalRates_SME_2[],MATCH($C97,OP_TotalRates_SME_2[Rate name],0),MATCH(I$92,OP_TotalRates_SME_2[#Headers],0))))</f>
        <v>1.1303000000000001</v>
      </c>
      <c r="J97" s="209">
        <f>IF($E97="VDO 2021 - Variation Final",
IF($F97="Residential",
INDEX(OP_TotalRates_RES_1[],MATCH($C97,OP_TotalRates_RES_1[Rate name],0),MATCH(J$92,OP_TotalRates_RES_1[#Headers],0)),
INDEX(OP_TotalRates_SME_1[],MATCH($C97,OP_TotalRates_SME_1[Rate name],0),MATCH(J$92,OP_TotalRates_SME_1[#Headers],0))),
IF($F97="Residential",
INDEX(OP_TotalRates_RES_2[],MATCH($C97,OP_TotalRates_RES_2[Rate name],0),MATCH(J$92,OP_TotalRates_RES_2[#Headers],0)),
INDEX(OP_TotalRates_SME_2[],MATCH($C97,OP_TotalRates_SME_2[Rate name],0),MATCH(J$92,OP_TotalRates_SME_2[#Headers],0))))</f>
        <v>1.0840000000000001</v>
      </c>
      <c r="K97" s="209">
        <f>IF($E97="VDO 2021 - Variation Final",
IF($F97="Residential",
INDEX(OP_TotalRates_RES_1[],MATCH($C97,OP_TotalRates_RES_1[Rate name],0),MATCH(K$92,OP_TotalRates_RES_1[#Headers],0)),
INDEX(OP_TotalRates_SME_1[],MATCH($C97,OP_TotalRates_SME_1[Rate name],0),MATCH(K$92,OP_TotalRates_SME_1[#Headers],0))),
IF($F97="Residential",
INDEX(OP_TotalRates_RES_2[],MATCH($C97,OP_TotalRates_RES_2[Rate name],0),MATCH(K$92,OP_TotalRates_RES_2[#Headers],0)),
INDEX(OP_TotalRates_SME_2[],MATCH($C97,OP_TotalRates_SME_2[Rate name],0),MATCH(K$92,OP_TotalRates_SME_2[#Headers],0))))</f>
        <v>1.2801</v>
      </c>
      <c r="L97" s="209">
        <f>IF($E97="VDO 2021 - Variation Final",
IF($F97="Residential",
INDEX(OP_TotalRates_RES_1[],MATCH($C97,OP_TotalRates_RES_1[Rate name],0),MATCH(L$92,OP_TotalRates_RES_1[#Headers],0)),
INDEX(OP_TotalRates_SME_1[],MATCH($C97,OP_TotalRates_SME_1[Rate name],0),MATCH(L$92,OP_TotalRates_SME_1[#Headers],0))),
IF($F97="Residential",
INDEX(OP_TotalRates_RES_2[],MATCH($C97,OP_TotalRates_RES_2[Rate name],0),MATCH(L$92,OP_TotalRates_RES_2[#Headers],0)),
INDEX(OP_TotalRates_SME_2[],MATCH($C97,OP_TotalRates_SME_2[Rate name],0),MATCH(L$92,OP_TotalRates_SME_2[#Headers],0))))</f>
        <v>1.0386</v>
      </c>
      <c r="M97" s="180"/>
      <c r="N97" s="259" t="s">
        <v>427</v>
      </c>
      <c r="O97" s="257">
        <f>IF(CH_BITariff[[#This Row],[Usage unit]]="Days",DiY,SUMIFS(INDEX(Input_Usage[[F-PreviousVDO_Input]:[F-CurrentVDO_Input]],0,MATCH(CH_BITariff[[#This Row],[Decision]],Inputs!$I$134:$M$134,0)),Input_Usage[Usage type],CH_BITariff[[#This Row],[Rate name]],Input_Usage[Profile name],CH_BITariff[[#This Row],[Customer type]]&amp;" - medium"))</f>
        <v>365</v>
      </c>
    </row>
    <row r="98" spans="3:15" x14ac:dyDescent="0.25">
      <c r="C98" s="23" t="s">
        <v>230</v>
      </c>
      <c r="D98" s="23" t="s">
        <v>282</v>
      </c>
      <c r="E98" s="23" t="s">
        <v>410</v>
      </c>
      <c r="F98" s="23" t="s">
        <v>92</v>
      </c>
      <c r="G98" s="23" t="s">
        <v>557</v>
      </c>
      <c r="H98" s="209">
        <f>IF($E98="VDO 2021 - Variation Final",
IF($F98="Residential",
INDEX(OP_TotalRates_RES_1[],MATCH($C98,OP_TotalRates_RES_1[Rate name],0),MATCH(H$92,OP_TotalRates_RES_1[#Headers],0)),
INDEX(OP_TotalRates_SME_1[],MATCH($C98,OP_TotalRates_SME_1[Rate name],0),MATCH(H$92,OP_TotalRates_SME_1[#Headers],0))),
IF($F98="Residential",
INDEX(OP_TotalRates_RES_2[],MATCH($C98,OP_TotalRates_RES_2[Rate name],0),MATCH(H$92,OP_TotalRates_RES_2[#Headers],0)),
INDEX(OP_TotalRates_SME_2[],MATCH($C98,OP_TotalRates_SME_2[Rate name],0),MATCH(H$92,OP_TotalRates_SME_2[#Headers],0))))</f>
        <v>0.37890000000000001</v>
      </c>
      <c r="I98" s="209">
        <f>IF($E98="VDO 2021 - Variation Final",
IF($F98="Residential",
INDEX(OP_TotalRates_RES_1[],MATCH($C98,OP_TotalRates_RES_1[Rate name],0),MATCH(I$92,OP_TotalRates_RES_1[#Headers],0)),
INDEX(OP_TotalRates_SME_1[],MATCH($C98,OP_TotalRates_SME_1[Rate name],0),MATCH(I$92,OP_TotalRates_SME_1[#Headers],0))),
IF($F98="Residential",
INDEX(OP_TotalRates_RES_2[],MATCH($C98,OP_TotalRates_RES_2[Rate name],0),MATCH(I$92,OP_TotalRates_RES_2[#Headers],0)),
INDEX(OP_TotalRates_SME_2[],MATCH($C98,OP_TotalRates_SME_2[Rate name],0),MATCH(I$92,OP_TotalRates_SME_2[#Headers],0))))</f>
        <v>0.31009999999999999</v>
      </c>
      <c r="J98" s="209">
        <f>IF($E98="VDO 2021 - Variation Final",
IF($F98="Residential",
INDEX(OP_TotalRates_RES_1[],MATCH($C98,OP_TotalRates_RES_1[Rate name],0),MATCH(J$92,OP_TotalRates_RES_1[#Headers],0)),
INDEX(OP_TotalRates_SME_1[],MATCH($C98,OP_TotalRates_SME_1[Rate name],0),MATCH(J$92,OP_TotalRates_SME_1[#Headers],0))),
IF($F98="Residential",
INDEX(OP_TotalRates_RES_2[],MATCH($C98,OP_TotalRates_RES_2[Rate name],0),MATCH(J$92,OP_TotalRates_RES_2[#Headers],0)),
INDEX(OP_TotalRates_SME_2[],MATCH($C98,OP_TotalRates_SME_2[Rate name],0),MATCH(J$92,OP_TotalRates_SME_2[#Headers],0))))</f>
        <v>0.28920000000000001</v>
      </c>
      <c r="K98" s="209">
        <f>IF($E98="VDO 2021 - Variation Final",
IF($F98="Residential",
INDEX(OP_TotalRates_RES_1[],MATCH($C98,OP_TotalRates_RES_1[Rate name],0),MATCH(K$92,OP_TotalRates_RES_1[#Headers],0)),
INDEX(OP_TotalRates_SME_1[],MATCH($C98,OP_TotalRates_SME_1[Rate name],0),MATCH(K$92,OP_TotalRates_SME_1[#Headers],0))),
IF($F98="Residential",
INDEX(OP_TotalRates_RES_2[],MATCH($C98,OP_TotalRates_RES_2[Rate name],0),MATCH(K$92,OP_TotalRates_RES_2[#Headers],0)),
INDEX(OP_TotalRates_SME_2[],MATCH($C98,OP_TotalRates_SME_2[Rate name],0),MATCH(K$92,OP_TotalRates_SME_2[#Headers],0))))</f>
        <v>0.31759999999999999</v>
      </c>
      <c r="L98" s="209">
        <f>IF($E98="VDO 2021 - Variation Final",
IF($F98="Residential",
INDEX(OP_TotalRates_RES_1[],MATCH($C98,OP_TotalRates_RES_1[Rate name],0),MATCH(L$92,OP_TotalRates_RES_1[#Headers],0)),
INDEX(OP_TotalRates_SME_1[],MATCH($C98,OP_TotalRates_SME_1[Rate name],0),MATCH(L$92,OP_TotalRates_SME_1[#Headers],0))),
IF($F98="Residential",
INDEX(OP_TotalRates_RES_2[],MATCH($C98,OP_TotalRates_RES_2[Rate name],0),MATCH(L$92,OP_TotalRates_RES_2[#Headers],0)),
INDEX(OP_TotalRates_SME_2[],MATCH($C98,OP_TotalRates_SME_2[Rate name],0),MATCH(L$92,OP_TotalRates_SME_2[#Headers],0))))</f>
        <v>0.316</v>
      </c>
      <c r="M98" s="180"/>
      <c r="N98" s="259" t="s">
        <v>691</v>
      </c>
      <c r="O98" s="257">
        <f>IF(CH_BITariff[[#This Row],[Usage unit]]="Days",DiY,SUMIFS(INDEX(Input_Usage[[F-PreviousVDO_Input]:[F-CurrentVDO_Input]],0,MATCH(CH_BITariff[[#This Row],[Decision]],Inputs!$I$134:$M$134,0)),Input_Usage[Usage type],CH_BITariff[[#This Row],[Rate name]],Input_Usage[Profile name],CH_BITariff[[#This Row],[Customer type]]&amp;" - medium"))</f>
        <v>1320</v>
      </c>
    </row>
    <row r="99" spans="3:15" x14ac:dyDescent="0.25">
      <c r="C99" s="23" t="s">
        <v>609</v>
      </c>
      <c r="D99" s="23" t="s">
        <v>282</v>
      </c>
      <c r="E99" s="23" t="s">
        <v>410</v>
      </c>
      <c r="F99" s="23" t="s">
        <v>92</v>
      </c>
      <c r="G99" s="23" t="s">
        <v>557</v>
      </c>
      <c r="H99" s="209">
        <f>IF($E99="VDO 2021 - Variation Final",
IF($F99="Residential",
INDEX(OP_TotalRates_RES_1[],MATCH($C99,OP_TotalRates_RES_1[Rate name],0),MATCH(H$92,OP_TotalRates_RES_1[#Headers],0)),
INDEX(OP_TotalRates_SME_1[],MATCH($C99,OP_TotalRates_SME_1[Rate name],0),MATCH(H$92,OP_TotalRates_SME_1[#Headers],0))),
IF($F99="Residential",
INDEX(OP_TotalRates_RES_2[],MATCH($C99,OP_TotalRates_RES_2[Rate name],0),MATCH(H$92,OP_TotalRates_RES_2[#Headers],0)),
INDEX(OP_TotalRates_SME_2[],MATCH($C99,OP_TotalRates_SME_2[Rate name],0),MATCH(H$92,OP_TotalRates_SME_2[#Headers],0))))</f>
        <v>0.18629999999999999</v>
      </c>
      <c r="I99" s="209">
        <f>IF($E99="VDO 2021 - Variation Final",
IF($F99="Residential",
INDEX(OP_TotalRates_RES_1[],MATCH($C99,OP_TotalRates_RES_1[Rate name],0),MATCH(I$92,OP_TotalRates_RES_1[#Headers],0)),
INDEX(OP_TotalRates_SME_1[],MATCH($C99,OP_TotalRates_SME_1[Rate name],0),MATCH(I$92,OP_TotalRates_SME_1[#Headers],0))),
IF($F99="Residential",
INDEX(OP_TotalRates_RES_2[],MATCH($C99,OP_TotalRates_RES_2[Rate name],0),MATCH(I$92,OP_TotalRates_RES_2[#Headers],0)),
INDEX(OP_TotalRates_SME_2[],MATCH($C99,OP_TotalRates_SME_2[Rate name],0),MATCH(I$92,OP_TotalRates_SME_2[#Headers],0))))</f>
        <v>0.1706</v>
      </c>
      <c r="J99" s="209">
        <f>IF($E99="VDO 2021 - Variation Final",
IF($F99="Residential",
INDEX(OP_TotalRates_RES_1[],MATCH($C99,OP_TotalRates_RES_1[Rate name],0),MATCH(J$92,OP_TotalRates_RES_1[#Headers],0)),
INDEX(OP_TotalRates_SME_1[],MATCH($C99,OP_TotalRates_SME_1[Rate name],0),MATCH(J$92,OP_TotalRates_SME_1[#Headers],0))),
IF($F99="Residential",
INDEX(OP_TotalRates_RES_2[],MATCH($C99,OP_TotalRates_RES_2[Rate name],0),MATCH(J$92,OP_TotalRates_RES_2[#Headers],0)),
INDEX(OP_TotalRates_SME_2[],MATCH($C99,OP_TotalRates_SME_2[Rate name],0),MATCH(J$92,OP_TotalRates_SME_2[#Headers],0))))</f>
        <v>0.1772</v>
      </c>
      <c r="K99" s="209">
        <f>IF($E99="VDO 2021 - Variation Final",
IF($F99="Residential",
INDEX(OP_TotalRates_RES_1[],MATCH($C99,OP_TotalRates_RES_1[Rate name],0),MATCH(K$92,OP_TotalRates_RES_1[#Headers],0)),
INDEX(OP_TotalRates_SME_1[],MATCH($C99,OP_TotalRates_SME_1[Rate name],0),MATCH(K$92,OP_TotalRates_SME_1[#Headers],0))),
IF($F99="Residential",
INDEX(OP_TotalRates_RES_2[],MATCH($C99,OP_TotalRates_RES_2[Rate name],0),MATCH(K$92,OP_TotalRates_RES_2[#Headers],0)),
INDEX(OP_TotalRates_SME_2[],MATCH($C99,OP_TotalRates_SME_2[Rate name],0),MATCH(K$92,OP_TotalRates_SME_2[#Headers],0))))</f>
        <v>0.1787</v>
      </c>
      <c r="L99" s="209">
        <f>IF($E99="VDO 2021 - Variation Final",
IF($F99="Residential",
INDEX(OP_TotalRates_RES_1[],MATCH($C99,OP_TotalRates_RES_1[Rate name],0),MATCH(L$92,OP_TotalRates_RES_1[#Headers],0)),
INDEX(OP_TotalRates_SME_1[],MATCH($C99,OP_TotalRates_SME_1[Rate name],0),MATCH(L$92,OP_TotalRates_SME_1[#Headers],0))),
IF($F99="Residential",
INDEX(OP_TotalRates_RES_2[],MATCH($C99,OP_TotalRates_RES_2[Rate name],0),MATCH(L$92,OP_TotalRates_RES_2[#Headers],0)),
INDEX(OP_TotalRates_SME_2[],MATCH($C99,OP_TotalRates_SME_2[Rate name],0),MATCH(L$92,OP_TotalRates_SME_2[#Headers],0))))</f>
        <v>0.1779</v>
      </c>
      <c r="M99" s="180"/>
      <c r="N99" s="259" t="s">
        <v>691</v>
      </c>
      <c r="O99" s="257">
        <f>IF(CH_BITariff[[#This Row],[Usage unit]]="Days",DiY,SUMIFS(INDEX(Input_Usage[[F-PreviousVDO_Input]:[F-CurrentVDO_Input]],0,MATCH(CH_BITariff[[#This Row],[Decision]],Inputs!$I$134:$M$134,0)),Input_Usage[Usage type],CH_BITariff[[#This Row],[Rate name]],Input_Usage[Profile name],CH_BITariff[[#This Row],[Customer type]]&amp;" - medium"))</f>
        <v>2680</v>
      </c>
    </row>
    <row r="100" spans="3:15" x14ac:dyDescent="0.25">
      <c r="C100" s="23" t="s">
        <v>287</v>
      </c>
      <c r="D100" s="23" t="s">
        <v>282</v>
      </c>
      <c r="E100" s="23" t="s">
        <v>410</v>
      </c>
      <c r="F100" s="23" t="s">
        <v>92</v>
      </c>
      <c r="G100" s="23" t="s">
        <v>697</v>
      </c>
      <c r="H100" s="209">
        <f>IF($E100="VDO 2021 - Variation Final",
IF($F100="Residential",
INDEX(OP_TotalRates_RES_1[],MATCH($C100,OP_TotalRates_RES_1[Rate name],0),MATCH(H$92,OP_TotalRates_RES_1[#Headers],0)),
INDEX(OP_TotalRates_SME_1[],MATCH($C100,OP_TotalRates_SME_1[Rate name],0),MATCH(H$92,OP_TotalRates_SME_1[#Headers],0))),
IF($F100="Residential",
INDEX(OP_TotalRates_RES_2[],MATCH($C100,OP_TotalRates_RES_2[Rate name],0),MATCH(H$92,OP_TotalRates_RES_2[#Headers],0)),
INDEX(OP_TotalRates_SME_2[],MATCH($C100,OP_TotalRates_SME_2[Rate name],0),MATCH(H$92,OP_TotalRates_SME_2[#Headers],0))))</f>
        <v>0.18529999999999999</v>
      </c>
      <c r="I100" s="209">
        <f>IF($E100="VDO 2021 - Variation Final",
IF($F100="Residential",
INDEX(OP_TotalRates_RES_1[],MATCH($C100,OP_TotalRates_RES_1[Rate name],0),MATCH(I$92,OP_TotalRates_RES_1[#Headers],0)),
INDEX(OP_TotalRates_SME_1[],MATCH($C100,OP_TotalRates_SME_1[Rate name],0),MATCH(I$92,OP_TotalRates_SME_1[#Headers],0))),
IF($F100="Residential",
INDEX(OP_TotalRates_RES_2[],MATCH($C100,OP_TotalRates_RES_2[Rate name],0),MATCH(I$92,OP_TotalRates_RES_2[#Headers],0)),
INDEX(OP_TotalRates_SME_2[],MATCH($C100,OP_TotalRates_SME_2[Rate name],0),MATCH(I$92,OP_TotalRates_SME_2[#Headers],0))))</f>
        <v>0.153</v>
      </c>
      <c r="J100" s="209">
        <f>IF($E100="VDO 2021 - Variation Final",
IF($F100="Residential",
INDEX(OP_TotalRates_RES_1[],MATCH($C100,OP_TotalRates_RES_1[Rate name],0),MATCH(J$92,OP_TotalRates_RES_1[#Headers],0)),
INDEX(OP_TotalRates_SME_1[],MATCH($C100,OP_TotalRates_SME_1[Rate name],0),MATCH(J$92,OP_TotalRates_SME_1[#Headers],0))),
IF($F100="Residential",
INDEX(OP_TotalRates_RES_2[],MATCH($C100,OP_TotalRates_RES_2[Rate name],0),MATCH(J$92,OP_TotalRates_RES_2[#Headers],0)),
INDEX(OP_TotalRates_SME_2[],MATCH($C100,OP_TotalRates_SME_2[Rate name],0),MATCH(J$92,OP_TotalRates_SME_2[#Headers],0))))</f>
        <v>0.1739</v>
      </c>
      <c r="K100" s="209">
        <f>IF($E100="VDO 2021 - Variation Final",
IF($F100="Residential",
INDEX(OP_TotalRates_RES_1[],MATCH($C100,OP_TotalRates_RES_1[Rate name],0),MATCH(K$92,OP_TotalRates_RES_1[#Headers],0)),
INDEX(OP_TotalRates_SME_1[],MATCH($C100,OP_TotalRates_SME_1[Rate name],0),MATCH(K$92,OP_TotalRates_SME_1[#Headers],0))),
IF($F100="Residential",
INDEX(OP_TotalRates_RES_2[],MATCH($C100,OP_TotalRates_RES_2[Rate name],0),MATCH(K$92,OP_TotalRates_RES_2[#Headers],0)),
INDEX(OP_TotalRates_SME_2[],MATCH($C100,OP_TotalRates_SME_2[Rate name],0),MATCH(K$92,OP_TotalRates_SME_2[#Headers],0))))</f>
        <v>0.16039999999999999</v>
      </c>
      <c r="L100" s="209">
        <f>IF($E100="VDO 2021 - Variation Final",
IF($F100="Residential",
INDEX(OP_TotalRates_RES_1[],MATCH($C100,OP_TotalRates_RES_1[Rate name],0),MATCH(L$92,OP_TotalRates_RES_1[#Headers],0)),
INDEX(OP_TotalRates_SME_1[],MATCH($C100,OP_TotalRates_SME_1[Rate name],0),MATCH(L$92,OP_TotalRates_SME_1[#Headers],0))),
IF($F100="Residential",
INDEX(OP_TotalRates_RES_2[],MATCH($C100,OP_TotalRates_RES_2[Rate name],0),MATCH(L$92,OP_TotalRates_RES_2[#Headers],0)),
INDEX(OP_TotalRates_SME_2[],MATCH($C100,OP_TotalRates_SME_2[Rate name],0),MATCH(L$92,OP_TotalRates_SME_2[#Headers],0))))</f>
        <v>0.15709999999999999</v>
      </c>
      <c r="M100" s="180"/>
      <c r="N100" s="259" t="s">
        <v>691</v>
      </c>
      <c r="O100" s="257">
        <f>IF(CH_BITariff[[#This Row],[Usage unit]]="Days",DiY,SUMIFS(INDEX(Input_Usage[[F-PreviousVDO_Input]:[F-CurrentVDO_Input]],0,MATCH(CH_BITariff[[#This Row],[Decision]],Inputs!$I$134:$M$134,0)),Input_Usage[Usage type],CH_BITariff[[#This Row],[Rate name]],Input_Usage[Profile name],CH_BITariff[[#This Row],[Customer type]]&amp;" - medium"))</f>
        <v>2000</v>
      </c>
    </row>
    <row r="101" spans="3:15" x14ac:dyDescent="0.25">
      <c r="C101" s="23" t="s">
        <v>550</v>
      </c>
      <c r="D101" s="23" t="s">
        <v>109</v>
      </c>
      <c r="E101" s="23" t="s">
        <v>410</v>
      </c>
      <c r="F101" s="23" t="s">
        <v>93</v>
      </c>
      <c r="G101" s="23" t="s">
        <v>556</v>
      </c>
      <c r="H101" s="209">
        <f>IF($E101="VDO 2021 - Variation Final",
IF($F101="Residential",
INDEX(OP_TotalRates_RES_1[],MATCH($C101,OP_TotalRates_RES_1[Rate name],0),MATCH(H$92,OP_TotalRates_RES_1[#Headers],0)),
INDEX(OP_TotalRates_SME_1[],MATCH($C101,OP_TotalRates_SME_1[Rate name],0),MATCH(H$92,OP_TotalRates_SME_1[#Headers],0))),
IF($F101="Residential",
INDEX(OP_TotalRates_RES_2[],MATCH($C101,OP_TotalRates_RES_2[Rate name],0),MATCH(H$92,OP_TotalRates_RES_2[#Headers],0)),
INDEX(OP_TotalRates_SME_2[],MATCH($C101,OP_TotalRates_SME_2[Rate name],0),MATCH(H$92,OP_TotalRates_SME_2[#Headers],0))))</f>
        <v>1.2310000000000001</v>
      </c>
      <c r="I101" s="209">
        <f>IF($E101="VDO 2021 - Variation Final",
IF($F101="Residential",
INDEX(OP_TotalRates_RES_1[],MATCH($C101,OP_TotalRates_RES_1[Rate name],0),MATCH(I$92,OP_TotalRates_RES_1[#Headers],0)),
INDEX(OP_TotalRates_SME_1[],MATCH($C101,OP_TotalRates_SME_1[Rate name],0),MATCH(I$92,OP_TotalRates_SME_1[#Headers],0))),
IF($F101="Residential",
INDEX(OP_TotalRates_RES_2[],MATCH($C101,OP_TotalRates_RES_2[Rate name],0),MATCH(I$92,OP_TotalRates_RES_2[#Headers],0)),
INDEX(OP_TotalRates_SME_2[],MATCH($C101,OP_TotalRates_SME_2[Rate name],0),MATCH(I$92,OP_TotalRates_SME_2[#Headers],0))))</f>
        <v>1.3541000000000001</v>
      </c>
      <c r="J101" s="209">
        <f>IF($E101="VDO 2021 - Variation Final",
IF($F101="Residential",
INDEX(OP_TotalRates_RES_1[],MATCH($C101,OP_TotalRates_RES_1[Rate name],0),MATCH(J$92,OP_TotalRates_RES_1[#Headers],0)),
INDEX(OP_TotalRates_SME_1[],MATCH($C101,OP_TotalRates_SME_1[Rate name],0),MATCH(J$92,OP_TotalRates_SME_1[#Headers],0))),
IF($F101="Residential",
INDEX(OP_TotalRates_RES_2[],MATCH($C101,OP_TotalRates_RES_2[Rate name],0),MATCH(J$92,OP_TotalRates_RES_2[#Headers],0)),
INDEX(OP_TotalRates_SME_2[],MATCH($C101,OP_TotalRates_SME_2[Rate name],0),MATCH(J$92,OP_TotalRates_SME_2[#Headers],0))))</f>
        <v>1.2509999999999999</v>
      </c>
      <c r="K101" s="209">
        <f>IF($E101="VDO 2021 - Variation Final",
IF($F101="Residential",
INDEX(OP_TotalRates_RES_1[],MATCH($C101,OP_TotalRates_RES_1[Rate name],0),MATCH(K$92,OP_TotalRates_RES_1[#Headers],0)),
INDEX(OP_TotalRates_SME_1[],MATCH($C101,OP_TotalRates_SME_1[Rate name],0),MATCH(K$92,OP_TotalRates_SME_1[#Headers],0))),
IF($F101="Residential",
INDEX(OP_TotalRates_RES_2[],MATCH($C101,OP_TotalRates_RES_2[Rate name],0),MATCH(K$92,OP_TotalRates_RES_2[#Headers],0)),
INDEX(OP_TotalRates_SME_2[],MATCH($C101,OP_TotalRates_SME_2[Rate name],0),MATCH(K$92,OP_TotalRates_SME_2[#Headers],0))))</f>
        <v>1.4078999999999999</v>
      </c>
      <c r="L101" s="209">
        <f>IF($E101="VDO 2021 - Variation Final",
IF($F101="Residential",
INDEX(OP_TotalRates_RES_1[],MATCH($C101,OP_TotalRates_RES_1[Rate name],0),MATCH(L$92,OP_TotalRates_RES_1[#Headers],0)),
INDEX(OP_TotalRates_SME_1[],MATCH($C101,OP_TotalRates_SME_1[Rate name],0),MATCH(L$92,OP_TotalRates_SME_1[#Headers],0))),
IF($F101="Residential",
INDEX(OP_TotalRates_RES_2[],MATCH($C101,OP_TotalRates_RES_2[Rate name],0),MATCH(L$92,OP_TotalRates_RES_2[#Headers],0)),
INDEX(OP_TotalRates_SME_2[],MATCH($C101,OP_TotalRates_SME_2[Rate name],0),MATCH(L$92,OP_TotalRates_SME_2[#Headers],0))))</f>
        <v>1.1664000000000001</v>
      </c>
      <c r="M101" s="180"/>
      <c r="N101" s="259" t="s">
        <v>427</v>
      </c>
      <c r="O101" s="257">
        <f>IF(CH_BITariff[[#This Row],[Usage unit]]="Days",DiY,SUMIFS(INDEX(Input_Usage[[F-PreviousVDO_Input]:[F-CurrentVDO_Input]],0,MATCH(CH_BITariff[[#This Row],[Decision]],Inputs!$I$134:$M$134,0)),Input_Usage[Usage type],CH_BITariff[[#This Row],[Rate name]],Input_Usage[Profile name],CH_BITariff[[#This Row],[Customer type]]&amp;" - medium"))</f>
        <v>365</v>
      </c>
    </row>
    <row r="102" spans="3:15" x14ac:dyDescent="0.25">
      <c r="C102" s="23" t="s">
        <v>221</v>
      </c>
      <c r="D102" s="23" t="s">
        <v>282</v>
      </c>
      <c r="E102" s="23" t="s">
        <v>410</v>
      </c>
      <c r="F102" s="23" t="s">
        <v>93</v>
      </c>
      <c r="G102" s="23" t="s">
        <v>556</v>
      </c>
      <c r="H102" s="209">
        <f>IF($E102="VDO 2021 - Variation Final",
IF($F102="Residential",
INDEX(OP_TotalRates_RES_1[],MATCH($C102,OP_TotalRates_RES_1[Rate name],0),MATCH(H$92,OP_TotalRates_RES_1[#Headers],0)),
INDEX(OP_TotalRates_SME_1[],MATCH($C102,OP_TotalRates_SME_1[Rate name],0),MATCH(H$92,OP_TotalRates_SME_1[#Headers],0))),
IF($F102="Residential",
INDEX(OP_TotalRates_RES_2[],MATCH($C102,OP_TotalRates_RES_2[Rate name],0),MATCH(H$92,OP_TotalRates_RES_2[#Headers],0)),
INDEX(OP_TotalRates_SME_2[],MATCH($C102,OP_TotalRates_SME_2[Rate name],0),MATCH(H$92,OP_TotalRates_SME_2[#Headers],0))))</f>
        <v>0.3019</v>
      </c>
      <c r="I102" s="209">
        <f>IF($E102="VDO 2021 - Variation Final",
IF($F102="Residential",
INDEX(OP_TotalRates_RES_1[],MATCH($C102,OP_TotalRates_RES_1[Rate name],0),MATCH(I$92,OP_TotalRates_RES_1[#Headers],0)),
INDEX(OP_TotalRates_SME_1[],MATCH($C102,OP_TotalRates_SME_1[Rate name],0),MATCH(I$92,OP_TotalRates_SME_1[#Headers],0))),
IF($F102="Residential",
INDEX(OP_TotalRates_RES_2[],MATCH($C102,OP_TotalRates_RES_2[Rate name],0),MATCH(I$92,OP_TotalRates_RES_2[#Headers],0)),
INDEX(OP_TotalRates_SME_2[],MATCH($C102,OP_TotalRates_SME_2[Rate name],0),MATCH(I$92,OP_TotalRates_SME_2[#Headers],0))))</f>
        <v>0</v>
      </c>
      <c r="J102" s="209">
        <f>IF($E102="VDO 2021 - Variation Final",
IF($F102="Residential",
INDEX(OP_TotalRates_RES_1[],MATCH($C102,OP_TotalRates_RES_1[Rate name],0),MATCH(J$92,OP_TotalRates_RES_1[#Headers],0)),
INDEX(OP_TotalRates_SME_1[],MATCH($C102,OP_TotalRates_SME_1[Rate name],0),MATCH(J$92,OP_TotalRates_SME_1[#Headers],0))),
IF($F102="Residential",
INDEX(OP_TotalRates_RES_2[],MATCH($C102,OP_TotalRates_RES_2[Rate name],0),MATCH(J$92,OP_TotalRates_RES_2[#Headers],0)),
INDEX(OP_TotalRates_SME_2[],MATCH($C102,OP_TotalRates_SME_2[Rate name],0),MATCH(J$92,OP_TotalRates_SME_2[#Headers],0))))</f>
        <v>0</v>
      </c>
      <c r="K102" s="209">
        <f>IF($E102="VDO 2021 - Variation Final",
IF($F102="Residential",
INDEX(OP_TotalRates_RES_1[],MATCH($C102,OP_TotalRates_RES_1[Rate name],0),MATCH(K$92,OP_TotalRates_RES_1[#Headers],0)),
INDEX(OP_TotalRates_SME_1[],MATCH($C102,OP_TotalRates_SME_1[Rate name],0),MATCH(K$92,OP_TotalRates_SME_1[#Headers],0))),
IF($F102="Residential",
INDEX(OP_TotalRates_RES_2[],MATCH($C102,OP_TotalRates_RES_2[Rate name],0),MATCH(K$92,OP_TotalRates_RES_2[#Headers],0)),
INDEX(OP_TotalRates_SME_2[],MATCH($C102,OP_TotalRates_SME_2[Rate name],0),MATCH(K$92,OP_TotalRates_SME_2[#Headers],0))))</f>
        <v>0</v>
      </c>
      <c r="L102" s="209">
        <f>IF($E102="VDO 2021 - Variation Final",
IF($F102="Residential",
INDEX(OP_TotalRates_RES_1[],MATCH($C102,OP_TotalRates_RES_1[Rate name],0),MATCH(L$92,OP_TotalRates_RES_1[#Headers],0)),
INDEX(OP_TotalRates_SME_1[],MATCH($C102,OP_TotalRates_SME_1[Rate name],0),MATCH(L$92,OP_TotalRates_SME_1[#Headers],0))),
IF($F102="Residential",
INDEX(OP_TotalRates_RES_2[],MATCH($C102,OP_TotalRates_RES_2[Rate name],0),MATCH(L$92,OP_TotalRates_RES_2[#Headers],0)),
INDEX(OP_TotalRates_SME_2[],MATCH($C102,OP_TotalRates_SME_2[Rate name],0),MATCH(L$92,OP_TotalRates_SME_2[#Headers],0))))</f>
        <v>0</v>
      </c>
      <c r="M102" s="180"/>
      <c r="N102" s="259" t="s">
        <v>691</v>
      </c>
      <c r="O102" s="257">
        <f>IF(CH_BITariff[[#This Row],[Usage unit]]="Days",DiY,SUMIFS(INDEX(Input_Usage[[F-PreviousVDO_Input]:[F-CurrentVDO_Input]],0,MATCH(CH_BITariff[[#This Row],[Decision]],Inputs!$I$134:$M$134,0)),Input_Usage[Usage type],CH_BITariff[[#This Row],[Rate name]],Input_Usage[Profile name],CH_BITariff[[#This Row],[Customer type]]&amp;" - medium"))</f>
        <v>4080</v>
      </c>
    </row>
    <row r="103" spans="3:15" x14ac:dyDescent="0.25">
      <c r="C103" s="23" t="s">
        <v>228</v>
      </c>
      <c r="D103" s="23" t="s">
        <v>282</v>
      </c>
      <c r="E103" s="23" t="s">
        <v>410</v>
      </c>
      <c r="F103" s="23" t="s">
        <v>93</v>
      </c>
      <c r="G103" s="23" t="s">
        <v>556</v>
      </c>
      <c r="H103" s="209">
        <f>IF($E103="VDO 2021 - Variation Final",
IF($F103="Residential",
INDEX(OP_TotalRates_RES_1[],MATCH($C103,OP_TotalRates_RES_1[Rate name],0),MATCH(H$92,OP_TotalRates_RES_1[#Headers],0)),
INDEX(OP_TotalRates_SME_1[],MATCH($C103,OP_TotalRates_SME_1[Rate name],0),MATCH(H$92,OP_TotalRates_SME_1[#Headers],0))),
IF($F103="Residential",
INDEX(OP_TotalRates_RES_2[],MATCH($C103,OP_TotalRates_RES_2[Rate name],0),MATCH(H$92,OP_TotalRates_RES_2[#Headers],0)),
INDEX(OP_TotalRates_SME_2[],MATCH($C103,OP_TotalRates_SME_2[Rate name],0),MATCH(H$92,OP_TotalRates_SME_2[#Headers],0))))</f>
        <v>0.3337</v>
      </c>
      <c r="I103" s="209">
        <f>IF($E103="VDO 2021 - Variation Final",
IF($F103="Residential",
INDEX(OP_TotalRates_RES_1[],MATCH($C103,OP_TotalRates_RES_1[Rate name],0),MATCH(I$92,OP_TotalRates_RES_1[#Headers],0)),
INDEX(OP_TotalRates_SME_1[],MATCH($C103,OP_TotalRates_SME_1[Rate name],0),MATCH(I$92,OP_TotalRates_SME_1[#Headers],0))),
IF($F103="Residential",
INDEX(OP_TotalRates_RES_2[],MATCH($C103,OP_TotalRates_RES_2[Rate name],0),MATCH(I$92,OP_TotalRates_RES_2[#Headers],0)),
INDEX(OP_TotalRates_SME_2[],MATCH($C103,OP_TotalRates_SME_2[Rate name],0),MATCH(I$92,OP_TotalRates_SME_2[#Headers],0))))</f>
        <v>0</v>
      </c>
      <c r="J103" s="209">
        <f>IF($E103="VDO 2021 - Variation Final",
IF($F103="Residential",
INDEX(OP_TotalRates_RES_1[],MATCH($C103,OP_TotalRates_RES_1[Rate name],0),MATCH(J$92,OP_TotalRates_RES_1[#Headers],0)),
INDEX(OP_TotalRates_SME_1[],MATCH($C103,OP_TotalRates_SME_1[Rate name],0),MATCH(J$92,OP_TotalRates_SME_1[#Headers],0))),
IF($F103="Residential",
INDEX(OP_TotalRates_RES_2[],MATCH($C103,OP_TotalRates_RES_2[Rate name],0),MATCH(J$92,OP_TotalRates_RES_2[#Headers],0)),
INDEX(OP_TotalRates_SME_2[],MATCH($C103,OP_TotalRates_SME_2[Rate name],0),MATCH(J$92,OP_TotalRates_SME_2[#Headers],0))))</f>
        <v>0</v>
      </c>
      <c r="K103" s="209">
        <f>IF($E103="VDO 2021 - Variation Final",
IF($F103="Residential",
INDEX(OP_TotalRates_RES_1[],MATCH($C103,OP_TotalRates_RES_1[Rate name],0),MATCH(K$92,OP_TotalRates_RES_1[#Headers],0)),
INDEX(OP_TotalRates_SME_1[],MATCH($C103,OP_TotalRates_SME_1[Rate name],0),MATCH(K$92,OP_TotalRates_SME_1[#Headers],0))),
IF($F103="Residential",
INDEX(OP_TotalRates_RES_2[],MATCH($C103,OP_TotalRates_RES_2[Rate name],0),MATCH(K$92,OP_TotalRates_RES_2[#Headers],0)),
INDEX(OP_TotalRates_SME_2[],MATCH($C103,OP_TotalRates_SME_2[Rate name],0),MATCH(K$92,OP_TotalRates_SME_2[#Headers],0))))</f>
        <v>0</v>
      </c>
      <c r="L103" s="209">
        <f>IF($E103="VDO 2021 - Variation Final",
IF($F103="Residential",
INDEX(OP_TotalRates_RES_1[],MATCH($C103,OP_TotalRates_RES_1[Rate name],0),MATCH(L$92,OP_TotalRates_RES_1[#Headers],0)),
INDEX(OP_TotalRates_SME_1[],MATCH($C103,OP_TotalRates_SME_1[Rate name],0),MATCH(L$92,OP_TotalRates_SME_1[#Headers],0))),
IF($F103="Residential",
INDEX(OP_TotalRates_RES_2[],MATCH($C103,OP_TotalRates_RES_2[Rate name],0),MATCH(L$92,OP_TotalRates_RES_2[#Headers],0)),
INDEX(OP_TotalRates_SME_2[],MATCH($C103,OP_TotalRates_SME_2[Rate name],0),MATCH(L$92,OP_TotalRates_SME_2[#Headers],0))))</f>
        <v>0</v>
      </c>
      <c r="M103" s="180"/>
      <c r="N103" s="259" t="s">
        <v>691</v>
      </c>
      <c r="O103" s="257">
        <f>IF(CH_BITariff[[#This Row],[Usage unit]]="Days",DiY,SUMIFS(INDEX(Input_Usage[[F-PreviousVDO_Input]:[F-CurrentVDO_Input]],0,MATCH(CH_BITariff[[#This Row],[Decision]],Inputs!$I$134:$M$134,0)),Input_Usage[Usage type],CH_BITariff[[#This Row],[Rate name]],Input_Usage[Profile name],CH_BITariff[[#This Row],[Customer type]]&amp;" - medium"))</f>
        <v>15920</v>
      </c>
    </row>
    <row r="104" spans="3:15" x14ac:dyDescent="0.25">
      <c r="C104" s="23" t="s">
        <v>549</v>
      </c>
      <c r="D104" s="23" t="s">
        <v>282</v>
      </c>
      <c r="E104" s="23" t="s">
        <v>410</v>
      </c>
      <c r="F104" s="23" t="s">
        <v>93</v>
      </c>
      <c r="G104" s="23" t="s">
        <v>556</v>
      </c>
      <c r="H104" s="209">
        <f>IF($E104="VDO 2021 - Variation Final",
IF($F104="Residential",
INDEX(OP_TotalRates_RES_1[],MATCH($C104,OP_TotalRates_RES_1[Rate name],0),MATCH(H$92,OP_TotalRates_RES_1[#Headers],0)),
INDEX(OP_TotalRates_SME_1[],MATCH($C104,OP_TotalRates_SME_1[Rate name],0),MATCH(H$92,OP_TotalRates_SME_1[#Headers],0))),
IF($F104="Residential",
INDEX(OP_TotalRates_RES_2[],MATCH($C104,OP_TotalRates_RES_2[Rate name],0),MATCH(H$92,OP_TotalRates_RES_2[#Headers],0)),
INDEX(OP_TotalRates_SME_2[],MATCH($C104,OP_TotalRates_SME_2[Rate name],0),MATCH(H$92,OP_TotalRates_SME_2[#Headers],0))))</f>
        <v>0</v>
      </c>
      <c r="I104" s="209">
        <f>IF($E104="VDO 2021 - Variation Final",
IF($F104="Residential",
INDEX(OP_TotalRates_RES_1[],MATCH($C104,OP_TotalRates_RES_1[Rate name],0),MATCH(I$92,OP_TotalRates_RES_1[#Headers],0)),
INDEX(OP_TotalRates_SME_1[],MATCH($C104,OP_TotalRates_SME_1[Rate name],0),MATCH(I$92,OP_TotalRates_SME_1[#Headers],0))),
IF($F104="Residential",
INDEX(OP_TotalRates_RES_2[],MATCH($C104,OP_TotalRates_RES_2[Rate name],0),MATCH(I$92,OP_TotalRates_RES_2[#Headers],0)),
INDEX(OP_TotalRates_SME_2[],MATCH($C104,OP_TotalRates_SME_2[Rate name],0),MATCH(I$92,OP_TotalRates_SME_2[#Headers],0))))</f>
        <v>0.21510000000000001</v>
      </c>
      <c r="J104" s="209">
        <f>IF($E104="VDO 2021 - Variation Final",
IF($F104="Residential",
INDEX(OP_TotalRates_RES_1[],MATCH($C104,OP_TotalRates_RES_1[Rate name],0),MATCH(J$92,OP_TotalRates_RES_1[#Headers],0)),
INDEX(OP_TotalRates_SME_1[],MATCH($C104,OP_TotalRates_SME_1[Rate name],0),MATCH(J$92,OP_TotalRates_SME_1[#Headers],0))),
IF($F104="Residential",
INDEX(OP_TotalRates_RES_2[],MATCH($C104,OP_TotalRates_RES_2[Rate name],0),MATCH(J$92,OP_TotalRates_RES_2[#Headers],0)),
INDEX(OP_TotalRates_SME_2[],MATCH($C104,OP_TotalRates_SME_2[Rate name],0),MATCH(J$92,OP_TotalRates_SME_2[#Headers],0))))</f>
        <v>0.24560000000000001</v>
      </c>
      <c r="K104" s="209">
        <f>IF($E104="VDO 2021 - Variation Final",
IF($F104="Residential",
INDEX(OP_TotalRates_RES_1[],MATCH($C104,OP_TotalRates_RES_1[Rate name],0),MATCH(K$92,OP_TotalRates_RES_1[#Headers],0)),
INDEX(OP_TotalRates_SME_1[],MATCH($C104,OP_TotalRates_SME_1[Rate name],0),MATCH(K$92,OP_TotalRates_SME_1[#Headers],0))),
IF($F104="Residential",
INDEX(OP_TotalRates_RES_2[],MATCH($C104,OP_TotalRates_RES_2[Rate name],0),MATCH(K$92,OP_TotalRates_RES_2[#Headers],0)),
INDEX(OP_TotalRates_SME_2[],MATCH($C104,OP_TotalRates_SME_2[Rate name],0),MATCH(K$92,OP_TotalRates_SME_2[#Headers],0))))</f>
        <v>0.2266</v>
      </c>
      <c r="L104" s="209">
        <f>IF($E104="VDO 2021 - Variation Final",
IF($F104="Residential",
INDEX(OP_TotalRates_RES_1[],MATCH($C104,OP_TotalRates_RES_1[Rate name],0),MATCH(L$92,OP_TotalRates_RES_1[#Headers],0)),
INDEX(OP_TotalRates_SME_1[],MATCH($C104,OP_TotalRates_SME_1[Rate name],0),MATCH(L$92,OP_TotalRates_SME_1[#Headers],0))),
IF($F104="Residential",
INDEX(OP_TotalRates_RES_2[],MATCH($C104,OP_TotalRates_RES_2[Rate name],0),MATCH(L$92,OP_TotalRates_RES_2[#Headers],0)),
INDEX(OP_TotalRates_SME_2[],MATCH($C104,OP_TotalRates_SME_2[Rate name],0),MATCH(L$92,OP_TotalRates_SME_2[#Headers],0))))</f>
        <v>0.22189999999999999</v>
      </c>
      <c r="M104" s="180"/>
      <c r="N104" s="259" t="s">
        <v>691</v>
      </c>
      <c r="O104" s="257">
        <f>IF(CH_BITariff[[#This Row],[Usage unit]]="Days",DiY,SUMIFS(INDEX(Input_Usage[[F-PreviousVDO_Input]:[F-CurrentVDO_Input]],0,MATCH(CH_BITariff[[#This Row],[Decision]],Inputs!$I$134:$M$134,0)),Input_Usage[Usage type],CH_BITariff[[#This Row],[Rate name]],Input_Usage[Profile name],CH_BITariff[[#This Row],[Customer type]]&amp;" - medium"))</f>
        <v>20000</v>
      </c>
    </row>
    <row r="105" spans="3:15" x14ac:dyDescent="0.25">
      <c r="C105" s="23" t="s">
        <v>551</v>
      </c>
      <c r="D105" s="23" t="s">
        <v>109</v>
      </c>
      <c r="E105" s="23" t="s">
        <v>410</v>
      </c>
      <c r="F105" s="23" t="s">
        <v>93</v>
      </c>
      <c r="G105" s="23" t="s">
        <v>557</v>
      </c>
      <c r="H105" s="209">
        <f>IF($E105="VDO 2021 - Variation Final",
IF($F105="Residential",
INDEX(OP_TotalRates_RES_1[],MATCH($C105,OP_TotalRates_RES_1[Rate name],0),MATCH(H$92,OP_TotalRates_RES_1[#Headers],0)),
INDEX(OP_TotalRates_SME_1[],MATCH($C105,OP_TotalRates_SME_1[Rate name],0),MATCH(H$92,OP_TotalRates_SME_1[#Headers],0))),
IF($F105="Residential",
INDEX(OP_TotalRates_RES_2[],MATCH($C105,OP_TotalRates_RES_2[Rate name],0),MATCH(H$92,OP_TotalRates_RES_2[#Headers],0)),
INDEX(OP_TotalRates_SME_2[],MATCH($C105,OP_TotalRates_SME_2[Rate name],0),MATCH(H$92,OP_TotalRates_SME_2[#Headers],0))))</f>
        <v>1.2310000000000001</v>
      </c>
      <c r="I105" s="209">
        <f>IF($E105="VDO 2021 - Variation Final",
IF($F105="Residential",
INDEX(OP_TotalRates_RES_1[],MATCH($C105,OP_TotalRates_RES_1[Rate name],0),MATCH(I$92,OP_TotalRates_RES_1[#Headers],0)),
INDEX(OP_TotalRates_SME_1[],MATCH($C105,OP_TotalRates_SME_1[Rate name],0),MATCH(I$92,OP_TotalRates_SME_1[#Headers],0))),
IF($F105="Residential",
INDEX(OP_TotalRates_RES_2[],MATCH($C105,OP_TotalRates_RES_2[Rate name],0),MATCH(I$92,OP_TotalRates_RES_2[#Headers],0)),
INDEX(OP_TotalRates_SME_2[],MATCH($C105,OP_TotalRates_SME_2[Rate name],0),MATCH(I$92,OP_TotalRates_SME_2[#Headers],0))))</f>
        <v>1.3541000000000001</v>
      </c>
      <c r="J105" s="209">
        <f>IF($E105="VDO 2021 - Variation Final",
IF($F105="Residential",
INDEX(OP_TotalRates_RES_1[],MATCH($C105,OP_TotalRates_RES_1[Rate name],0),MATCH(J$92,OP_TotalRates_RES_1[#Headers],0)),
INDEX(OP_TotalRates_SME_1[],MATCH($C105,OP_TotalRates_SME_1[Rate name],0),MATCH(J$92,OP_TotalRates_SME_1[#Headers],0))),
IF($F105="Residential",
INDEX(OP_TotalRates_RES_2[],MATCH($C105,OP_TotalRates_RES_2[Rate name],0),MATCH(J$92,OP_TotalRates_RES_2[#Headers],0)),
INDEX(OP_TotalRates_SME_2[],MATCH($C105,OP_TotalRates_SME_2[Rate name],0),MATCH(J$92,OP_TotalRates_SME_2[#Headers],0))))</f>
        <v>1.5951</v>
      </c>
      <c r="K105" s="209">
        <f>IF($E105="VDO 2021 - Variation Final",
IF($F105="Residential",
INDEX(OP_TotalRates_RES_1[],MATCH($C105,OP_TotalRates_RES_1[Rate name],0),MATCH(K$92,OP_TotalRates_RES_1[#Headers],0)),
INDEX(OP_TotalRates_SME_1[],MATCH($C105,OP_TotalRates_SME_1[Rate name],0),MATCH(K$92,OP_TotalRates_SME_1[#Headers],0))),
IF($F105="Residential",
INDEX(OP_TotalRates_RES_2[],MATCH($C105,OP_TotalRates_RES_2[Rate name],0),MATCH(K$92,OP_TotalRates_RES_2[#Headers],0)),
INDEX(OP_TotalRates_SME_2[],MATCH($C105,OP_TotalRates_SME_2[Rate name],0),MATCH(K$92,OP_TotalRates_SME_2[#Headers],0))))</f>
        <v>1.4078999999999999</v>
      </c>
      <c r="L105" s="209">
        <f>IF($E105="VDO 2021 - Variation Final",
IF($F105="Residential",
INDEX(OP_TotalRates_RES_1[],MATCH($C105,OP_TotalRates_RES_1[Rate name],0),MATCH(L$92,OP_TotalRates_RES_1[#Headers],0)),
INDEX(OP_TotalRates_SME_1[],MATCH($C105,OP_TotalRates_SME_1[Rate name],0),MATCH(L$92,OP_TotalRates_SME_1[#Headers],0))),
IF($F105="Residential",
INDEX(OP_TotalRates_RES_2[],MATCH($C105,OP_TotalRates_RES_2[Rate name],0),MATCH(L$92,OP_TotalRates_RES_2[#Headers],0)),
INDEX(OP_TotalRates_SME_2[],MATCH($C105,OP_TotalRates_SME_2[Rate name],0),MATCH(L$92,OP_TotalRates_SME_2[#Headers],0))))</f>
        <v>1.1664000000000001</v>
      </c>
      <c r="M105" s="180"/>
      <c r="N105" s="259" t="s">
        <v>427</v>
      </c>
      <c r="O105" s="257">
        <f>IF(CH_BITariff[[#This Row],[Usage unit]]="Days",DiY,SUMIFS(INDEX(Input_Usage[[F-PreviousVDO_Input]:[F-CurrentVDO_Input]],0,MATCH(CH_BITariff[[#This Row],[Decision]],Inputs!$I$134:$M$134,0)),Input_Usage[Usage type],CH_BITariff[[#This Row],[Rate name]],Input_Usage[Profile name],CH_BITariff[[#This Row],[Customer type]]&amp;" - medium"))</f>
        <v>365</v>
      </c>
    </row>
    <row r="106" spans="3:15" x14ac:dyDescent="0.25">
      <c r="C106" s="23" t="s">
        <v>230</v>
      </c>
      <c r="D106" s="23" t="s">
        <v>282</v>
      </c>
      <c r="E106" s="23" t="s">
        <v>410</v>
      </c>
      <c r="F106" s="23" t="s">
        <v>93</v>
      </c>
      <c r="G106" s="23" t="s">
        <v>557</v>
      </c>
      <c r="H106" s="209">
        <f>IF($E106="VDO 2021 - Variation Final",
IF($F106="Residential",
INDEX(OP_TotalRates_RES_1[],MATCH($C106,OP_TotalRates_RES_1[Rate name],0),MATCH(H$92,OP_TotalRates_RES_1[#Headers],0)),
INDEX(OP_TotalRates_SME_1[],MATCH($C106,OP_TotalRates_SME_1[Rate name],0),MATCH(H$92,OP_TotalRates_SME_1[#Headers],0))),
IF($F106="Residential",
INDEX(OP_TotalRates_RES_2[],MATCH($C106,OP_TotalRates_RES_2[Rate name],0),MATCH(H$92,OP_TotalRates_RES_2[#Headers],0)),
INDEX(OP_TotalRates_SME_2[],MATCH($C106,OP_TotalRates_SME_2[Rate name],0),MATCH(H$92,OP_TotalRates_SME_2[#Headers],0))))</f>
        <v>0.32490000000000002</v>
      </c>
      <c r="I106" s="209">
        <f>IF($E106="VDO 2021 - Variation Final",
IF($F106="Residential",
INDEX(OP_TotalRates_RES_1[],MATCH($C106,OP_TotalRates_RES_1[Rate name],0),MATCH(I$92,OP_TotalRates_RES_1[#Headers],0)),
INDEX(OP_TotalRates_SME_1[],MATCH($C106,OP_TotalRates_SME_1[Rate name],0),MATCH(I$92,OP_TotalRates_SME_1[#Headers],0))),
IF($F106="Residential",
INDEX(OP_TotalRates_RES_2[],MATCH($C106,OP_TotalRates_RES_2[Rate name],0),MATCH(I$92,OP_TotalRates_RES_2[#Headers],0)),
INDEX(OP_TotalRates_SME_2[],MATCH($C106,OP_TotalRates_SME_2[Rate name],0),MATCH(I$92,OP_TotalRates_SME_2[#Headers],0))))</f>
        <v>0.2712</v>
      </c>
      <c r="J106" s="209">
        <f>IF($E106="VDO 2021 - Variation Final",
IF($F106="Residential",
INDEX(OP_TotalRates_RES_1[],MATCH($C106,OP_TotalRates_RES_1[Rate name],0),MATCH(J$92,OP_TotalRates_RES_1[#Headers],0)),
INDEX(OP_TotalRates_SME_1[],MATCH($C106,OP_TotalRates_SME_1[Rate name],0),MATCH(J$92,OP_TotalRates_SME_1[#Headers],0))),
IF($F106="Residential",
INDEX(OP_TotalRates_RES_2[],MATCH($C106,OP_TotalRates_RES_2[Rate name],0),MATCH(J$92,OP_TotalRates_RES_2[#Headers],0)),
INDEX(OP_TotalRates_SME_2[],MATCH($C106,OP_TotalRates_SME_2[Rate name],0),MATCH(J$92,OP_TotalRates_SME_2[#Headers],0))))</f>
        <v>0.2848</v>
      </c>
      <c r="K106" s="209">
        <f>IF($E106="VDO 2021 - Variation Final",
IF($F106="Residential",
INDEX(OP_TotalRates_RES_1[],MATCH($C106,OP_TotalRates_RES_1[Rate name],0),MATCH(K$92,OP_TotalRates_RES_1[#Headers],0)),
INDEX(OP_TotalRates_SME_1[],MATCH($C106,OP_TotalRates_SME_1[Rate name],0),MATCH(K$92,OP_TotalRates_SME_1[#Headers],0))),
IF($F106="Residential",
INDEX(OP_TotalRates_RES_2[],MATCH($C106,OP_TotalRates_RES_2[Rate name],0),MATCH(K$92,OP_TotalRates_RES_2[#Headers],0)),
INDEX(OP_TotalRates_SME_2[],MATCH($C106,OP_TotalRates_SME_2[Rate name],0),MATCH(K$92,OP_TotalRates_SME_2[#Headers],0))))</f>
        <v>0.2903</v>
      </c>
      <c r="L106" s="209">
        <f>IF($E106="VDO 2021 - Variation Final",
IF($F106="Residential",
INDEX(OP_TotalRates_RES_1[],MATCH($C106,OP_TotalRates_RES_1[Rate name],0),MATCH(L$92,OP_TotalRates_RES_1[#Headers],0)),
INDEX(OP_TotalRates_SME_1[],MATCH($C106,OP_TotalRates_SME_1[Rate name],0),MATCH(L$92,OP_TotalRates_SME_1[#Headers],0))),
IF($F106="Residential",
INDEX(OP_TotalRates_RES_2[],MATCH($C106,OP_TotalRates_RES_2[Rate name],0),MATCH(L$92,OP_TotalRates_RES_2[#Headers],0)),
INDEX(OP_TotalRates_SME_2[],MATCH($C106,OP_TotalRates_SME_2[Rate name],0),MATCH(L$92,OP_TotalRates_SME_2[#Headers],0))))</f>
        <v>0.28249999999999997</v>
      </c>
      <c r="M106" s="180"/>
      <c r="N106" s="259" t="s">
        <v>691</v>
      </c>
      <c r="O106" s="257">
        <f>IF(CH_BITariff[[#This Row],[Usage unit]]="Days",DiY,SUMIFS(INDEX(Input_Usage[[F-PreviousVDO_Input]:[F-CurrentVDO_Input]],0,MATCH(CH_BITariff[[#This Row],[Decision]],Inputs!$I$134:$M$134,0)),Input_Usage[Usage type],CH_BITariff[[#This Row],[Rate name]],Input_Usage[Profile name],CH_BITariff[[#This Row],[Customer type]]&amp;" - medium"))</f>
        <v>9800</v>
      </c>
    </row>
    <row r="107" spans="3:15" x14ac:dyDescent="0.25">
      <c r="C107" s="23" t="s">
        <v>609</v>
      </c>
      <c r="D107" s="23" t="s">
        <v>282</v>
      </c>
      <c r="E107" s="23" t="s">
        <v>410</v>
      </c>
      <c r="F107" s="23" t="s">
        <v>93</v>
      </c>
      <c r="G107" s="23" t="s">
        <v>557</v>
      </c>
      <c r="H107" s="209">
        <f>IF($E107="VDO 2021 - Variation Final",
IF($F107="Residential",
INDEX(OP_TotalRates_RES_1[],MATCH($C107,OP_TotalRates_RES_1[Rate name],0),MATCH(H$92,OP_TotalRates_RES_1[#Headers],0)),
INDEX(OP_TotalRates_SME_1[],MATCH($C107,OP_TotalRates_SME_1[Rate name],0),MATCH(H$92,OP_TotalRates_SME_1[#Headers],0))),
IF($F107="Residential",
INDEX(OP_TotalRates_RES_2[],MATCH($C107,OP_TotalRates_RES_2[Rate name],0),MATCH(H$92,OP_TotalRates_RES_2[#Headers],0)),
INDEX(OP_TotalRates_SME_2[],MATCH($C107,OP_TotalRates_SME_2[Rate name],0),MATCH(H$92,OP_TotalRates_SME_2[#Headers],0))))</f>
        <v>0.1704</v>
      </c>
      <c r="I107" s="209">
        <f>IF($E107="VDO 2021 - Variation Final",
IF($F107="Residential",
INDEX(OP_TotalRates_RES_1[],MATCH($C107,OP_TotalRates_RES_1[Rate name],0),MATCH(I$92,OP_TotalRates_RES_1[#Headers],0)),
INDEX(OP_TotalRates_SME_1[],MATCH($C107,OP_TotalRates_SME_1[Rate name],0),MATCH(I$92,OP_TotalRates_SME_1[#Headers],0))),
IF($F107="Residential",
INDEX(OP_TotalRates_RES_2[],MATCH($C107,OP_TotalRates_RES_2[Rate name],0),MATCH(I$92,OP_TotalRates_RES_2[#Headers],0)),
INDEX(OP_TotalRates_SME_2[],MATCH($C107,OP_TotalRates_SME_2[Rate name],0),MATCH(I$92,OP_TotalRates_SME_2[#Headers],0))))</f>
        <v>0.153</v>
      </c>
      <c r="J107" s="209">
        <f>IF($E107="VDO 2021 - Variation Final",
IF($F107="Residential",
INDEX(OP_TotalRates_RES_1[],MATCH($C107,OP_TotalRates_RES_1[Rate name],0),MATCH(J$92,OP_TotalRates_RES_1[#Headers],0)),
INDEX(OP_TotalRates_SME_1[],MATCH($C107,OP_TotalRates_SME_1[Rate name],0),MATCH(J$92,OP_TotalRates_SME_1[#Headers],0))),
IF($F107="Residential",
INDEX(OP_TotalRates_RES_2[],MATCH($C107,OP_TotalRates_RES_2[Rate name],0),MATCH(J$92,OP_TotalRates_RES_2[#Headers],0)),
INDEX(OP_TotalRates_SME_2[],MATCH($C107,OP_TotalRates_SME_2[Rate name],0),MATCH(J$92,OP_TotalRates_SME_2[#Headers],0))))</f>
        <v>0.1532</v>
      </c>
      <c r="K107" s="209">
        <f>IF($E107="VDO 2021 - Variation Final",
IF($F107="Residential",
INDEX(OP_TotalRates_RES_1[],MATCH($C107,OP_TotalRates_RES_1[Rate name],0),MATCH(K$92,OP_TotalRates_RES_1[#Headers],0)),
INDEX(OP_TotalRates_SME_1[],MATCH($C107,OP_TotalRates_SME_1[Rate name],0),MATCH(K$92,OP_TotalRates_SME_1[#Headers],0))),
IF($F107="Residential",
INDEX(OP_TotalRates_RES_2[],MATCH($C107,OP_TotalRates_RES_2[Rate name],0),MATCH(K$92,OP_TotalRates_RES_2[#Headers],0)),
INDEX(OP_TotalRates_SME_2[],MATCH($C107,OP_TotalRates_SME_2[Rate name],0),MATCH(K$92,OP_TotalRates_SME_2[#Headers],0))))</f>
        <v>0.1565</v>
      </c>
      <c r="L107" s="209">
        <f>IF($E107="VDO 2021 - Variation Final",
IF($F107="Residential",
INDEX(OP_TotalRates_RES_1[],MATCH($C107,OP_TotalRates_RES_1[Rate name],0),MATCH(L$92,OP_TotalRates_RES_1[#Headers],0)),
INDEX(OP_TotalRates_SME_1[],MATCH($C107,OP_TotalRates_SME_1[Rate name],0),MATCH(L$92,OP_TotalRates_SME_1[#Headers],0))),
IF($F107="Residential",
INDEX(OP_TotalRates_RES_2[],MATCH($C107,OP_TotalRates_RES_2[Rate name],0),MATCH(L$92,OP_TotalRates_RES_2[#Headers],0)),
INDEX(OP_TotalRates_SME_2[],MATCH($C107,OP_TotalRates_SME_2[Rate name],0),MATCH(L$92,OP_TotalRates_SME_2[#Headers],0))))</f>
        <v>0.15559999999999999</v>
      </c>
      <c r="M107" s="180"/>
      <c r="N107" s="259" t="s">
        <v>691</v>
      </c>
      <c r="O107" s="257">
        <f>IF(CH_BITariff[[#This Row],[Usage unit]]="Days",DiY,SUMIFS(INDEX(Input_Usage[[F-PreviousVDO_Input]:[F-CurrentVDO_Input]],0,MATCH(CH_BITariff[[#This Row],[Decision]],Inputs!$I$134:$M$134,0)),Input_Usage[Usage type],CH_BITariff[[#This Row],[Rate name]],Input_Usage[Profile name],CH_BITariff[[#This Row],[Customer type]]&amp;" - medium"))</f>
        <v>10200</v>
      </c>
    </row>
    <row r="108" spans="3:15" x14ac:dyDescent="0.25">
      <c r="C108" s="23" t="s">
        <v>550</v>
      </c>
      <c r="D108" s="23" t="s">
        <v>109</v>
      </c>
      <c r="E108" s="23" t="s">
        <v>258</v>
      </c>
      <c r="F108" s="23" t="s">
        <v>92</v>
      </c>
      <c r="G108" s="23" t="s">
        <v>556</v>
      </c>
      <c r="H108" s="209">
        <f>IF($E108="VDO 2021 - Variation Final",
IF($F108="Residential",
INDEX(OP_TotalRates_RES_1[],MATCH($C108,OP_TotalRates_RES_1[Rate name],0),MATCH(H$92,OP_TotalRates_RES_1[#Headers],0)),
INDEX(OP_TotalRates_SME_1[],MATCH($C108,OP_TotalRates_SME_1[Rate name],0),MATCH(H$92,OP_TotalRates_SME_1[#Headers],0))),
IF($F108="Residential",
INDEX(OP_TotalRates_RES_2[],MATCH($C108,OP_TotalRates_RES_2[Rate name],0),MATCH(H$92,OP_TotalRates_RES_2[#Headers],0)),
INDEX(OP_TotalRates_SME_2[],MATCH($C108,OP_TotalRates_SME_2[Rate name],0),MATCH(H$92,OP_TotalRates_SME_2[#Headers],0))))</f>
        <v>1.26</v>
      </c>
      <c r="I108" s="209">
        <f>IF($E108="VDO 2021 - Variation Final",
IF($F108="Residential",
INDEX(OP_TotalRates_RES_1[],MATCH($C108,OP_TotalRates_RES_1[Rate name],0),MATCH(I$92,OP_TotalRates_RES_1[#Headers],0)),
INDEX(OP_TotalRates_SME_1[],MATCH($C108,OP_TotalRates_SME_1[Rate name],0),MATCH(I$92,OP_TotalRates_SME_1[#Headers],0))),
IF($F108="Residential",
INDEX(OP_TotalRates_RES_2[],MATCH($C108,OP_TotalRates_RES_2[Rate name],0),MATCH(I$92,OP_TotalRates_RES_2[#Headers],0)),
INDEX(OP_TotalRates_SME_2[],MATCH($C108,OP_TotalRates_SME_2[Rate name],0),MATCH(I$92,OP_TotalRates_SME_2[#Headers],0))))</f>
        <v>1.2022999999999999</v>
      </c>
      <c r="J108" s="209">
        <f>IF($E108="VDO 2021 - Variation Final",
IF($F108="Residential",
INDEX(OP_TotalRates_RES_1[],MATCH($C108,OP_TotalRates_RES_1[Rate name],0),MATCH(J$92,OP_TotalRates_RES_1[#Headers],0)),
INDEX(OP_TotalRates_SME_1[],MATCH($C108,OP_TotalRates_SME_1[Rate name],0),MATCH(J$92,OP_TotalRates_SME_1[#Headers],0))),
IF($F108="Residential",
INDEX(OP_TotalRates_RES_2[],MATCH($C108,OP_TotalRates_RES_2[Rate name],0),MATCH(J$92,OP_TotalRates_RES_2[#Headers],0)),
INDEX(OP_TotalRates_SME_2[],MATCH($C108,OP_TotalRates_SME_2[Rate name],0),MATCH(J$92,OP_TotalRates_SME_2[#Headers],0))))</f>
        <v>1.1491</v>
      </c>
      <c r="K108" s="209">
        <f>IF($E108="VDO 2021 - Variation Final",
IF($F108="Residential",
INDEX(OP_TotalRates_RES_1[],MATCH($C108,OP_TotalRates_RES_1[Rate name],0),MATCH(K$92,OP_TotalRates_RES_1[#Headers],0)),
INDEX(OP_TotalRates_SME_1[],MATCH($C108,OP_TotalRates_SME_1[Rate name],0),MATCH(K$92,OP_TotalRates_SME_1[#Headers],0))),
IF($F108="Residential",
INDEX(OP_TotalRates_RES_2[],MATCH($C108,OP_TotalRates_RES_2[Rate name],0),MATCH(K$92,OP_TotalRates_RES_2[#Headers],0)),
INDEX(OP_TotalRates_SME_2[],MATCH($C108,OP_TotalRates_SME_2[Rate name],0),MATCH(K$92,OP_TotalRates_SME_2[#Headers],0))))</f>
        <v>1.3459000000000001</v>
      </c>
      <c r="L108" s="209">
        <f>IF($E108="VDO 2021 - Variation Final",
IF($F108="Residential",
INDEX(OP_TotalRates_RES_1[],MATCH($C108,OP_TotalRates_RES_1[Rate name],0),MATCH(L$92,OP_TotalRates_RES_1[#Headers],0)),
INDEX(OP_TotalRates_SME_1[],MATCH($C108,OP_TotalRates_SME_1[Rate name],0),MATCH(L$92,OP_TotalRates_SME_1[#Headers],0))),
IF($F108="Residential",
INDEX(OP_TotalRates_RES_2[],MATCH($C108,OP_TotalRates_RES_2[Rate name],0),MATCH(L$92,OP_TotalRates_RES_2[#Headers],0)),
INDEX(OP_TotalRates_SME_2[],MATCH($C108,OP_TotalRates_SME_2[Rate name],0),MATCH(L$92,OP_TotalRates_SME_2[#Headers],0))))</f>
        <v>1.0633999999999999</v>
      </c>
      <c r="M108" s="180"/>
      <c r="N108" s="259" t="s">
        <v>427</v>
      </c>
      <c r="O108" s="257">
        <f>IF(CH_BITariff[[#This Row],[Usage unit]]="Days",DiY,SUMIFS(INDEX(Input_Usage[[F-PreviousVDO_Input]:[F-CurrentVDO_Input]],0,MATCH(CH_BITariff[[#This Row],[Decision]],Inputs!$I$134:$M$134,0)),Input_Usage[Usage type],CH_BITariff[[#This Row],[Rate name]],Input_Usage[Profile name],CH_BITariff[[#This Row],[Customer type]]&amp;" - medium"))</f>
        <v>365</v>
      </c>
    </row>
    <row r="109" spans="3:15" x14ac:dyDescent="0.25">
      <c r="C109" s="23" t="s">
        <v>221</v>
      </c>
      <c r="D109" s="23" t="s">
        <v>282</v>
      </c>
      <c r="E109" s="23" t="s">
        <v>258</v>
      </c>
      <c r="F109" s="23" t="s">
        <v>92</v>
      </c>
      <c r="G109" s="23" t="s">
        <v>556</v>
      </c>
      <c r="H109" s="209">
        <f>IF($E109="VDO 2021 - Variation Final",
IF($F109="Residential",
INDEX(OP_TotalRates_RES_1[],MATCH($C109,OP_TotalRates_RES_1[Rate name],0),MATCH(H$92,OP_TotalRates_RES_1[#Headers],0)),
INDEX(OP_TotalRates_SME_1[],MATCH($C109,OP_TotalRates_SME_1[Rate name],0),MATCH(H$92,OP_TotalRates_SME_1[#Headers],0))),
IF($F109="Residential",
INDEX(OP_TotalRates_RES_2[],MATCH($C109,OP_TotalRates_RES_2[Rate name],0),MATCH(H$92,OP_TotalRates_RES_2[#Headers],0)),
INDEX(OP_TotalRates_SME_2[],MATCH($C109,OP_TotalRates_SME_2[Rate name],0),MATCH(H$92,OP_TotalRates_SME_2[#Headers],0))))</f>
        <v>0.26490000000000002</v>
      </c>
      <c r="I109" s="209">
        <f>IF($E109="VDO 2021 - Variation Final",
IF($F109="Residential",
INDEX(OP_TotalRates_RES_1[],MATCH($C109,OP_TotalRates_RES_1[Rate name],0),MATCH(I$92,OP_TotalRates_RES_1[#Headers],0)),
INDEX(OP_TotalRates_SME_1[],MATCH($C109,OP_TotalRates_SME_1[Rate name],0),MATCH(I$92,OP_TotalRates_SME_1[#Headers],0))),
IF($F109="Residential",
INDEX(OP_TotalRates_RES_2[],MATCH($C109,OP_TotalRates_RES_2[Rate name],0),MATCH(I$92,OP_TotalRates_RES_2[#Headers],0)),
INDEX(OP_TotalRates_SME_2[],MATCH($C109,OP_TotalRates_SME_2[Rate name],0),MATCH(I$92,OP_TotalRates_SME_2[#Headers],0))))</f>
        <v>0</v>
      </c>
      <c r="J109" s="209">
        <f>IF($E109="VDO 2021 - Variation Final",
IF($F109="Residential",
INDEX(OP_TotalRates_RES_1[],MATCH($C109,OP_TotalRates_RES_1[Rate name],0),MATCH(J$92,OP_TotalRates_RES_1[#Headers],0)),
INDEX(OP_TotalRates_SME_1[],MATCH($C109,OP_TotalRates_SME_1[Rate name],0),MATCH(J$92,OP_TotalRates_SME_1[#Headers],0))),
IF($F109="Residential",
INDEX(OP_TotalRates_RES_2[],MATCH($C109,OP_TotalRates_RES_2[Rate name],0),MATCH(J$92,OP_TotalRates_RES_2[#Headers],0)),
INDEX(OP_TotalRates_SME_2[],MATCH($C109,OP_TotalRates_SME_2[Rate name],0),MATCH(J$92,OP_TotalRates_SME_2[#Headers],0))))</f>
        <v>0</v>
      </c>
      <c r="K109" s="209">
        <f>IF($E109="VDO 2021 - Variation Final",
IF($F109="Residential",
INDEX(OP_TotalRates_RES_1[],MATCH($C109,OP_TotalRates_RES_1[Rate name],0),MATCH(K$92,OP_TotalRates_RES_1[#Headers],0)),
INDEX(OP_TotalRates_SME_1[],MATCH($C109,OP_TotalRates_SME_1[Rate name],0),MATCH(K$92,OP_TotalRates_SME_1[#Headers],0))),
IF($F109="Residential",
INDEX(OP_TotalRates_RES_2[],MATCH($C109,OP_TotalRates_RES_2[Rate name],0),MATCH(K$92,OP_TotalRates_RES_2[#Headers],0)),
INDEX(OP_TotalRates_SME_2[],MATCH($C109,OP_TotalRates_SME_2[Rate name],0),MATCH(K$92,OP_TotalRates_SME_2[#Headers],0))))</f>
        <v>0</v>
      </c>
      <c r="L109" s="209">
        <f>IF($E109="VDO 2021 - Variation Final",
IF($F109="Residential",
INDEX(OP_TotalRates_RES_1[],MATCH($C109,OP_TotalRates_RES_1[Rate name],0),MATCH(L$92,OP_TotalRates_RES_1[#Headers],0)),
INDEX(OP_TotalRates_SME_1[],MATCH($C109,OP_TotalRates_SME_1[Rate name],0),MATCH(L$92,OP_TotalRates_SME_1[#Headers],0))),
IF($F109="Residential",
INDEX(OP_TotalRates_RES_2[],MATCH($C109,OP_TotalRates_RES_2[Rate name],0),MATCH(L$92,OP_TotalRates_RES_2[#Headers],0)),
INDEX(OP_TotalRates_SME_2[],MATCH($C109,OP_TotalRates_SME_2[Rate name],0),MATCH(L$92,OP_TotalRates_SME_2[#Headers],0))))</f>
        <v>0</v>
      </c>
      <c r="M109" s="180"/>
      <c r="N109" s="259" t="s">
        <v>691</v>
      </c>
      <c r="O109" s="257">
        <f>IF(CH_BITariff[[#This Row],[Usage unit]]="Days",DiY,SUMIFS(INDEX(Input_Usage[[F-PreviousVDO_Input]:[F-CurrentVDO_Input]],0,MATCH(CH_BITariff[[#This Row],[Decision]],Inputs!$I$134:$M$134,0)),Input_Usage[Usage type],CH_BITariff[[#This Row],[Rate name]],Input_Usage[Profile name],CH_BITariff[[#This Row],[Customer type]]&amp;" - medium"))</f>
        <v>4000</v>
      </c>
    </row>
    <row r="110" spans="3:15" x14ac:dyDescent="0.25">
      <c r="C110" s="23" t="s">
        <v>228</v>
      </c>
      <c r="D110" s="23" t="s">
        <v>282</v>
      </c>
      <c r="E110" s="23" t="s">
        <v>258</v>
      </c>
      <c r="F110" s="23" t="s">
        <v>92</v>
      </c>
      <c r="G110" s="23" t="s">
        <v>556</v>
      </c>
      <c r="H110" s="209">
        <f>IF($E110="VDO 2021 - Variation Final",
IF($F110="Residential",
INDEX(OP_TotalRates_RES_1[],MATCH($C110,OP_TotalRates_RES_1[Rate name],0),MATCH(H$92,OP_TotalRates_RES_1[#Headers],0)),
INDEX(OP_TotalRates_SME_1[],MATCH($C110,OP_TotalRates_SME_1[Rate name],0),MATCH(H$92,OP_TotalRates_SME_1[#Headers],0))),
IF($F110="Residential",
INDEX(OP_TotalRates_RES_2[],MATCH($C110,OP_TotalRates_RES_2[Rate name],0),MATCH(H$92,OP_TotalRates_RES_2[#Headers],0)),
INDEX(OP_TotalRates_SME_2[],MATCH($C110,OP_TotalRates_SME_2[Rate name],0),MATCH(H$92,OP_TotalRates_SME_2[#Headers],0))))</f>
        <v>0.28110000000000002</v>
      </c>
      <c r="I110" s="209">
        <f>IF($E110="VDO 2021 - Variation Final",
IF($F110="Residential",
INDEX(OP_TotalRates_RES_1[],MATCH($C110,OP_TotalRates_RES_1[Rate name],0),MATCH(I$92,OP_TotalRates_RES_1[#Headers],0)),
INDEX(OP_TotalRates_SME_1[],MATCH($C110,OP_TotalRates_SME_1[Rate name],0),MATCH(I$92,OP_TotalRates_SME_1[#Headers],0))),
IF($F110="Residential",
INDEX(OP_TotalRates_RES_2[],MATCH($C110,OP_TotalRates_RES_2[Rate name],0),MATCH(I$92,OP_TotalRates_RES_2[#Headers],0)),
INDEX(OP_TotalRates_SME_2[],MATCH($C110,OP_TotalRates_SME_2[Rate name],0),MATCH(I$92,OP_TotalRates_SME_2[#Headers],0))))</f>
        <v>0</v>
      </c>
      <c r="J110" s="209">
        <f>IF($E110="VDO 2021 - Variation Final",
IF($F110="Residential",
INDEX(OP_TotalRates_RES_1[],MATCH($C110,OP_TotalRates_RES_1[Rate name],0),MATCH(J$92,OP_TotalRates_RES_1[#Headers],0)),
INDEX(OP_TotalRates_SME_1[],MATCH($C110,OP_TotalRates_SME_1[Rate name],0),MATCH(J$92,OP_TotalRates_SME_1[#Headers],0))),
IF($F110="Residential",
INDEX(OP_TotalRates_RES_2[],MATCH($C110,OP_TotalRates_RES_2[Rate name],0),MATCH(J$92,OP_TotalRates_RES_2[#Headers],0)),
INDEX(OP_TotalRates_SME_2[],MATCH($C110,OP_TotalRates_SME_2[Rate name],0),MATCH(J$92,OP_TotalRates_SME_2[#Headers],0))))</f>
        <v>0</v>
      </c>
      <c r="K110" s="209">
        <f>IF($E110="VDO 2021 - Variation Final",
IF($F110="Residential",
INDEX(OP_TotalRates_RES_1[],MATCH($C110,OP_TotalRates_RES_1[Rate name],0),MATCH(K$92,OP_TotalRates_RES_1[#Headers],0)),
INDEX(OP_TotalRates_SME_1[],MATCH($C110,OP_TotalRates_SME_1[Rate name],0),MATCH(K$92,OP_TotalRates_SME_1[#Headers],0))),
IF($F110="Residential",
INDEX(OP_TotalRates_RES_2[],MATCH($C110,OP_TotalRates_RES_2[Rate name],0),MATCH(K$92,OP_TotalRates_RES_2[#Headers],0)),
INDEX(OP_TotalRates_SME_2[],MATCH($C110,OP_TotalRates_SME_2[Rate name],0),MATCH(K$92,OP_TotalRates_SME_2[#Headers],0))))</f>
        <v>0</v>
      </c>
      <c r="L110" s="209">
        <f>IF($E110="VDO 2021 - Variation Final",
IF($F110="Residential",
INDEX(OP_TotalRates_RES_1[],MATCH($C110,OP_TotalRates_RES_1[Rate name],0),MATCH(L$92,OP_TotalRates_RES_1[#Headers],0)),
INDEX(OP_TotalRates_SME_1[],MATCH($C110,OP_TotalRates_SME_1[Rate name],0),MATCH(L$92,OP_TotalRates_SME_1[#Headers],0))),
IF($F110="Residential",
INDEX(OP_TotalRates_RES_2[],MATCH($C110,OP_TotalRates_RES_2[Rate name],0),MATCH(L$92,OP_TotalRates_RES_2[#Headers],0)),
INDEX(OP_TotalRates_SME_2[],MATCH($C110,OP_TotalRates_SME_2[Rate name],0),MATCH(L$92,OP_TotalRates_SME_2[#Headers],0))))</f>
        <v>0</v>
      </c>
      <c r="M110" s="180"/>
      <c r="N110" s="259" t="s">
        <v>691</v>
      </c>
      <c r="O110" s="257">
        <f>IF(CH_BITariff[[#This Row],[Usage unit]]="Days",DiY,SUMIFS(INDEX(Input_Usage[[F-PreviousVDO_Input]:[F-CurrentVDO_Input]],0,MATCH(CH_BITariff[[#This Row],[Decision]],Inputs!$I$134:$M$134,0)),Input_Usage[Usage type],CH_BITariff[[#This Row],[Rate name]],Input_Usage[Profile name],CH_BITariff[[#This Row],[Customer type]]&amp;" - medium"))</f>
        <v>0</v>
      </c>
    </row>
    <row r="111" spans="3:15" x14ac:dyDescent="0.25">
      <c r="C111" s="23" t="s">
        <v>549</v>
      </c>
      <c r="D111" s="23" t="s">
        <v>282</v>
      </c>
      <c r="E111" s="23" t="s">
        <v>258</v>
      </c>
      <c r="F111" s="23" t="s">
        <v>92</v>
      </c>
      <c r="G111" s="23" t="s">
        <v>556</v>
      </c>
      <c r="H111" s="209">
        <f>IF($E111="VDO 2021 - Variation Final",
IF($F111="Residential",
INDEX(OP_TotalRates_RES_1[],MATCH($C111,OP_TotalRates_RES_1[Rate name],0),MATCH(H$92,OP_TotalRates_RES_1[#Headers],0)),
INDEX(OP_TotalRates_SME_1[],MATCH($C111,OP_TotalRates_SME_1[Rate name],0),MATCH(H$92,OP_TotalRates_SME_1[#Headers],0))),
IF($F111="Residential",
INDEX(OP_TotalRates_RES_2[],MATCH($C111,OP_TotalRates_RES_2[Rate name],0),MATCH(H$92,OP_TotalRates_RES_2[#Headers],0)),
INDEX(OP_TotalRates_SME_2[],MATCH($C111,OP_TotalRates_SME_2[Rate name],0),MATCH(H$92,OP_TotalRates_SME_2[#Headers],0))))</f>
        <v>0</v>
      </c>
      <c r="I111" s="209">
        <f>IF($E111="VDO 2021 - Variation Final",
IF($F111="Residential",
INDEX(OP_TotalRates_RES_1[],MATCH($C111,OP_TotalRates_RES_1[Rate name],0),MATCH(I$92,OP_TotalRates_RES_1[#Headers],0)),
INDEX(OP_TotalRates_SME_1[],MATCH($C111,OP_TotalRates_SME_1[Rate name],0),MATCH(I$92,OP_TotalRates_SME_1[#Headers],0))),
IF($F111="Residential",
INDEX(OP_TotalRates_RES_2[],MATCH($C111,OP_TotalRates_RES_2[Rate name],0),MATCH(I$92,OP_TotalRates_RES_2[#Headers],0)),
INDEX(OP_TotalRates_SME_2[],MATCH($C111,OP_TotalRates_SME_2[Rate name],0),MATCH(I$92,OP_TotalRates_SME_2[#Headers],0))))</f>
        <v>0.21709999999999999</v>
      </c>
      <c r="J111" s="209">
        <f>IF($E111="VDO 2021 - Variation Final",
IF($F111="Residential",
INDEX(OP_TotalRates_RES_1[],MATCH($C111,OP_TotalRates_RES_1[Rate name],0),MATCH(J$92,OP_TotalRates_RES_1[#Headers],0)),
INDEX(OP_TotalRates_SME_1[],MATCH($C111,OP_TotalRates_SME_1[Rate name],0),MATCH(J$92,OP_TotalRates_SME_1[#Headers],0))),
IF($F111="Residential",
INDEX(OP_TotalRates_RES_2[],MATCH($C111,OP_TotalRates_RES_2[Rate name],0),MATCH(J$92,OP_TotalRates_RES_2[#Headers],0)),
INDEX(OP_TotalRates_SME_2[],MATCH($C111,OP_TotalRates_SME_2[Rate name],0),MATCH(J$92,OP_TotalRates_SME_2[#Headers],0))))</f>
        <v>0.23069999999999999</v>
      </c>
      <c r="K111" s="209">
        <f>IF($E111="VDO 2021 - Variation Final",
IF($F111="Residential",
INDEX(OP_TotalRates_RES_1[],MATCH($C111,OP_TotalRates_RES_1[Rate name],0),MATCH(K$92,OP_TotalRates_RES_1[#Headers],0)),
INDEX(OP_TotalRates_SME_1[],MATCH($C111,OP_TotalRates_SME_1[Rate name],0),MATCH(K$92,OP_TotalRates_SME_1[#Headers],0))),
IF($F111="Residential",
INDEX(OP_TotalRates_RES_2[],MATCH($C111,OP_TotalRates_RES_2[Rate name],0),MATCH(K$92,OP_TotalRates_RES_2[#Headers],0)),
INDEX(OP_TotalRates_SME_2[],MATCH($C111,OP_TotalRates_SME_2[Rate name],0),MATCH(K$92,OP_TotalRates_SME_2[#Headers],0))))</f>
        <v>0.2235</v>
      </c>
      <c r="L111" s="209">
        <f>IF($E111="VDO 2021 - Variation Final",
IF($F111="Residential",
INDEX(OP_TotalRates_RES_1[],MATCH($C111,OP_TotalRates_RES_1[Rate name],0),MATCH(L$92,OP_TotalRates_RES_1[#Headers],0)),
INDEX(OP_TotalRates_SME_1[],MATCH($C111,OP_TotalRates_SME_1[Rate name],0),MATCH(L$92,OP_TotalRates_SME_1[#Headers],0))),
IF($F111="Residential",
INDEX(OP_TotalRates_RES_2[],MATCH($C111,OP_TotalRates_RES_2[Rate name],0),MATCH(L$92,OP_TotalRates_RES_2[#Headers],0)),
INDEX(OP_TotalRates_SME_2[],MATCH($C111,OP_TotalRates_SME_2[Rate name],0),MATCH(L$92,OP_TotalRates_SME_2[#Headers],0))))</f>
        <v>0.22420000000000001</v>
      </c>
      <c r="M111" s="180"/>
      <c r="N111" s="259" t="s">
        <v>691</v>
      </c>
      <c r="O111" s="257">
        <f>IF(CH_BITariff[[#This Row],[Usage unit]]="Days",DiY,SUMIFS(INDEX(Input_Usage[[F-PreviousVDO_Input]:[F-CurrentVDO_Input]],0,MATCH(CH_BITariff[[#This Row],[Decision]],Inputs!$I$134:$M$134,0)),Input_Usage[Usage type],CH_BITariff[[#This Row],[Rate name]],Input_Usage[Profile name],CH_BITariff[[#This Row],[Customer type]]&amp;" - medium"))</f>
        <v>4000</v>
      </c>
    </row>
    <row r="112" spans="3:15" x14ac:dyDescent="0.25">
      <c r="C112" s="23" t="s">
        <v>551</v>
      </c>
      <c r="D112" s="23" t="s">
        <v>109</v>
      </c>
      <c r="E112" s="23" t="s">
        <v>258</v>
      </c>
      <c r="F112" s="23" t="s">
        <v>92</v>
      </c>
      <c r="G112" s="23" t="s">
        <v>557</v>
      </c>
      <c r="H112" s="209">
        <f>IF($E112="VDO 2021 - Variation Final",
IF($F112="Residential",
INDEX(OP_TotalRates_RES_1[],MATCH($C112,OP_TotalRates_RES_1[Rate name],0),MATCH(H$92,OP_TotalRates_RES_1[#Headers],0)),
INDEX(OP_TotalRates_SME_1[],MATCH($C112,OP_TotalRates_SME_1[Rate name],0),MATCH(H$92,OP_TotalRates_SME_1[#Headers],0))),
IF($F112="Residential",
INDEX(OP_TotalRates_RES_2[],MATCH($C112,OP_TotalRates_RES_2[Rate name],0),MATCH(H$92,OP_TotalRates_RES_2[#Headers],0)),
INDEX(OP_TotalRates_SME_2[],MATCH($C112,OP_TotalRates_SME_2[Rate name],0),MATCH(H$92,OP_TotalRates_SME_2[#Headers],0))))</f>
        <v>1.1587000000000001</v>
      </c>
      <c r="I112" s="209">
        <f>IF($E112="VDO 2021 - Variation Final",
IF($F112="Residential",
INDEX(OP_TotalRates_RES_1[],MATCH($C112,OP_TotalRates_RES_1[Rate name],0),MATCH(I$92,OP_TotalRates_RES_1[#Headers],0)),
INDEX(OP_TotalRates_SME_1[],MATCH($C112,OP_TotalRates_SME_1[Rate name],0),MATCH(I$92,OP_TotalRates_SME_1[#Headers],0))),
IF($F112="Residential",
INDEX(OP_TotalRates_RES_2[],MATCH($C112,OP_TotalRates_RES_2[Rate name],0),MATCH(I$92,OP_TotalRates_RES_2[#Headers],0)),
INDEX(OP_TotalRates_SME_2[],MATCH($C112,OP_TotalRates_SME_2[Rate name],0),MATCH(I$92,OP_TotalRates_SME_2[#Headers],0))))</f>
        <v>1.1948000000000001</v>
      </c>
      <c r="J112" s="209">
        <f>IF($E112="VDO 2021 - Variation Final",
IF($F112="Residential",
INDEX(OP_TotalRates_RES_1[],MATCH($C112,OP_TotalRates_RES_1[Rate name],0),MATCH(J$92,OP_TotalRates_RES_1[#Headers],0)),
INDEX(OP_TotalRates_SME_1[],MATCH($C112,OP_TotalRates_SME_1[Rate name],0),MATCH(J$92,OP_TotalRates_SME_1[#Headers],0))),
IF($F112="Residential",
INDEX(OP_TotalRates_RES_2[],MATCH($C112,OP_TotalRates_RES_2[Rate name],0),MATCH(J$92,OP_TotalRates_RES_2[#Headers],0)),
INDEX(OP_TotalRates_SME_2[],MATCH($C112,OP_TotalRates_SME_2[Rate name],0),MATCH(J$92,OP_TotalRates_SME_2[#Headers],0))))</f>
        <v>1.0508</v>
      </c>
      <c r="K112" s="209">
        <f>IF($E112="VDO 2021 - Variation Final",
IF($F112="Residential",
INDEX(OP_TotalRates_RES_1[],MATCH($C112,OP_TotalRates_RES_1[Rate name],0),MATCH(K$92,OP_TotalRates_RES_1[#Headers],0)),
INDEX(OP_TotalRates_SME_1[],MATCH($C112,OP_TotalRates_SME_1[Rate name],0),MATCH(K$92,OP_TotalRates_SME_1[#Headers],0))),
IF($F112="Residential",
INDEX(OP_TotalRates_RES_2[],MATCH($C112,OP_TotalRates_RES_2[Rate name],0),MATCH(K$92,OP_TotalRates_RES_2[#Headers],0)),
INDEX(OP_TotalRates_SME_2[],MATCH($C112,OP_TotalRates_SME_2[Rate name],0),MATCH(K$92,OP_TotalRates_SME_2[#Headers],0))))</f>
        <v>1.3301000000000001</v>
      </c>
      <c r="L112" s="209">
        <f>IF($E112="VDO 2021 - Variation Final",
IF($F112="Residential",
INDEX(OP_TotalRates_RES_1[],MATCH($C112,OP_TotalRates_RES_1[Rate name],0),MATCH(L$92,OP_TotalRates_RES_1[#Headers],0)),
INDEX(OP_TotalRates_SME_1[],MATCH($C112,OP_TotalRates_SME_1[Rate name],0),MATCH(L$92,OP_TotalRates_SME_1[#Headers],0))),
IF($F112="Residential",
INDEX(OP_TotalRates_RES_2[],MATCH($C112,OP_TotalRates_RES_2[Rate name],0),MATCH(L$92,OP_TotalRates_RES_2[#Headers],0)),
INDEX(OP_TotalRates_SME_2[],MATCH($C112,OP_TotalRates_SME_2[Rate name],0),MATCH(L$92,OP_TotalRates_SME_2[#Headers],0))))</f>
        <v>1.0552999999999999</v>
      </c>
      <c r="M112" s="180"/>
      <c r="N112" s="259" t="s">
        <v>427</v>
      </c>
      <c r="O112" s="257">
        <f>IF(CH_BITariff[[#This Row],[Usage unit]]="Days",DiY,SUMIFS(INDEX(Input_Usage[[F-PreviousVDO_Input]:[F-CurrentVDO_Input]],0,MATCH(CH_BITariff[[#This Row],[Decision]],Inputs!$I$134:$M$134,0)),Input_Usage[Usage type],CH_BITariff[[#This Row],[Rate name]],Input_Usage[Profile name],CH_BITariff[[#This Row],[Customer type]]&amp;" - medium"))</f>
        <v>365</v>
      </c>
    </row>
    <row r="113" spans="3:15" x14ac:dyDescent="0.25">
      <c r="C113" s="23" t="s">
        <v>230</v>
      </c>
      <c r="D113" s="23" t="s">
        <v>282</v>
      </c>
      <c r="E113" s="23" t="s">
        <v>258</v>
      </c>
      <c r="F113" s="23" t="s">
        <v>92</v>
      </c>
      <c r="G113" s="23" t="s">
        <v>557</v>
      </c>
      <c r="H113" s="209">
        <f>IF($E113="VDO 2021 - Variation Final",
IF($F113="Residential",
INDEX(OP_TotalRates_RES_1[],MATCH($C113,OP_TotalRates_RES_1[Rate name],0),MATCH(H$92,OP_TotalRates_RES_1[#Headers],0)),
INDEX(OP_TotalRates_SME_1[],MATCH($C113,OP_TotalRates_SME_1[Rate name],0),MATCH(H$92,OP_TotalRates_SME_1[#Headers],0))),
IF($F113="Residential",
INDEX(OP_TotalRates_RES_2[],MATCH($C113,OP_TotalRates_RES_2[Rate name],0),MATCH(H$92,OP_TotalRates_RES_2[#Headers],0)),
INDEX(OP_TotalRates_SME_2[],MATCH($C113,OP_TotalRates_SME_2[Rate name],0),MATCH(H$92,OP_TotalRates_SME_2[#Headers],0))))</f>
        <v>0.37459999999999999</v>
      </c>
      <c r="I113" s="209">
        <f>IF($E113="VDO 2021 - Variation Final",
IF($F113="Residential",
INDEX(OP_TotalRates_RES_1[],MATCH($C113,OP_TotalRates_RES_1[Rate name],0),MATCH(I$92,OP_TotalRates_RES_1[#Headers],0)),
INDEX(OP_TotalRates_SME_1[],MATCH($C113,OP_TotalRates_SME_1[Rate name],0),MATCH(I$92,OP_TotalRates_SME_1[#Headers],0))),
IF($F113="Residential",
INDEX(OP_TotalRates_RES_2[],MATCH($C113,OP_TotalRates_RES_2[Rate name],0),MATCH(I$92,OP_TotalRates_RES_2[#Headers],0)),
INDEX(OP_TotalRates_SME_2[],MATCH($C113,OP_TotalRates_SME_2[Rate name],0),MATCH(I$92,OP_TotalRates_SME_2[#Headers],0))))</f>
        <v>0.30909999999999999</v>
      </c>
      <c r="J113" s="209">
        <f>IF($E113="VDO 2021 - Variation Final",
IF($F113="Residential",
INDEX(OP_TotalRates_RES_1[],MATCH($C113,OP_TotalRates_RES_1[Rate name],0),MATCH(J$92,OP_TotalRates_RES_1[#Headers],0)),
INDEX(OP_TotalRates_SME_1[],MATCH($C113,OP_TotalRates_SME_1[Rate name],0),MATCH(J$92,OP_TotalRates_SME_1[#Headers],0))),
IF($F113="Residential",
INDEX(OP_TotalRates_RES_2[],MATCH($C113,OP_TotalRates_RES_2[Rate name],0),MATCH(J$92,OP_TotalRates_RES_2[#Headers],0)),
INDEX(OP_TotalRates_SME_2[],MATCH($C113,OP_TotalRates_SME_2[Rate name],0),MATCH(J$92,OP_TotalRates_SME_2[#Headers],0))))</f>
        <v>0.28699999999999998</v>
      </c>
      <c r="K113" s="209">
        <f>IF($E113="VDO 2021 - Variation Final",
IF($F113="Residential",
INDEX(OP_TotalRates_RES_1[],MATCH($C113,OP_TotalRates_RES_1[Rate name],0),MATCH(K$92,OP_TotalRates_RES_1[#Headers],0)),
INDEX(OP_TotalRates_SME_1[],MATCH($C113,OP_TotalRates_SME_1[Rate name],0),MATCH(K$92,OP_TotalRates_SME_1[#Headers],0))),
IF($F113="Residential",
INDEX(OP_TotalRates_RES_2[],MATCH($C113,OP_TotalRates_RES_2[Rate name],0),MATCH(K$92,OP_TotalRates_RES_2[#Headers],0)),
INDEX(OP_TotalRates_SME_2[],MATCH($C113,OP_TotalRates_SME_2[Rate name],0),MATCH(K$92,OP_TotalRates_SME_2[#Headers],0))))</f>
        <v>0.3135</v>
      </c>
      <c r="L113" s="209">
        <f>IF($E113="VDO 2021 - Variation Final",
IF($F113="Residential",
INDEX(OP_TotalRates_RES_1[],MATCH($C113,OP_TotalRates_RES_1[Rate name],0),MATCH(L$92,OP_TotalRates_RES_1[#Headers],0)),
INDEX(OP_TotalRates_SME_1[],MATCH($C113,OP_TotalRates_SME_1[Rate name],0),MATCH(L$92,OP_TotalRates_SME_1[#Headers],0))),
IF($F113="Residential",
INDEX(OP_TotalRates_RES_2[],MATCH($C113,OP_TotalRates_RES_2[Rate name],0),MATCH(L$92,OP_TotalRates_RES_2[#Headers],0)),
INDEX(OP_TotalRates_SME_2[],MATCH($C113,OP_TotalRates_SME_2[Rate name],0),MATCH(L$92,OP_TotalRates_SME_2[#Headers],0))))</f>
        <v>0.31519999999999998</v>
      </c>
      <c r="M113" s="180"/>
      <c r="N113" s="259" t="s">
        <v>691</v>
      </c>
      <c r="O113" s="257">
        <f>IF(CH_BITariff[[#This Row],[Usage unit]]="Days",DiY,SUMIFS(INDEX(Input_Usage[[F-PreviousVDO_Input]:[F-CurrentVDO_Input]],0,MATCH(CH_BITariff[[#This Row],[Decision]],Inputs!$I$134:$M$134,0)),Input_Usage[Usage type],CH_BITariff[[#This Row],[Rate name]],Input_Usage[Profile name],CH_BITariff[[#This Row],[Customer type]]&amp;" - medium"))</f>
        <v>1320</v>
      </c>
    </row>
    <row r="114" spans="3:15" x14ac:dyDescent="0.25">
      <c r="C114" s="23" t="s">
        <v>609</v>
      </c>
      <c r="D114" s="23" t="s">
        <v>282</v>
      </c>
      <c r="E114" s="23" t="s">
        <v>258</v>
      </c>
      <c r="F114" s="23" t="s">
        <v>92</v>
      </c>
      <c r="G114" s="23" t="s">
        <v>557</v>
      </c>
      <c r="H114" s="209">
        <f>IF($E114="VDO 2021 - Variation Final",
IF($F114="Residential",
INDEX(OP_TotalRates_RES_1[],MATCH($C114,OP_TotalRates_RES_1[Rate name],0),MATCH(H$92,OP_TotalRates_RES_1[#Headers],0)),
INDEX(OP_TotalRates_SME_1[],MATCH($C114,OP_TotalRates_SME_1[Rate name],0),MATCH(H$92,OP_TotalRates_SME_1[#Headers],0))),
IF($F114="Residential",
INDEX(OP_TotalRates_RES_2[],MATCH($C114,OP_TotalRates_RES_2[Rate name],0),MATCH(H$92,OP_TotalRates_RES_2[#Headers],0)),
INDEX(OP_TotalRates_SME_2[],MATCH($C114,OP_TotalRates_SME_2[Rate name],0),MATCH(H$92,OP_TotalRates_SME_2[#Headers],0))))</f>
        <v>0.182</v>
      </c>
      <c r="I114" s="209">
        <f>IF($E114="VDO 2021 - Variation Final",
IF($F114="Residential",
INDEX(OP_TotalRates_RES_1[],MATCH($C114,OP_TotalRates_RES_1[Rate name],0),MATCH(I$92,OP_TotalRates_RES_1[#Headers],0)),
INDEX(OP_TotalRates_SME_1[],MATCH($C114,OP_TotalRates_SME_1[Rate name],0),MATCH(I$92,OP_TotalRates_SME_1[#Headers],0))),
IF($F114="Residential",
INDEX(OP_TotalRates_RES_2[],MATCH($C114,OP_TotalRates_RES_2[Rate name],0),MATCH(I$92,OP_TotalRates_RES_2[#Headers],0)),
INDEX(OP_TotalRates_SME_2[],MATCH($C114,OP_TotalRates_SME_2[Rate name],0),MATCH(I$92,OP_TotalRates_SME_2[#Headers],0))))</f>
        <v>0.1696</v>
      </c>
      <c r="J114" s="209">
        <f>IF($E114="VDO 2021 - Variation Final",
IF($F114="Residential",
INDEX(OP_TotalRates_RES_1[],MATCH($C114,OP_TotalRates_RES_1[Rate name],0),MATCH(J$92,OP_TotalRates_RES_1[#Headers],0)),
INDEX(OP_TotalRates_SME_1[],MATCH($C114,OP_TotalRates_SME_1[Rate name],0),MATCH(J$92,OP_TotalRates_SME_1[#Headers],0))),
IF($F114="Residential",
INDEX(OP_TotalRates_RES_2[],MATCH($C114,OP_TotalRates_RES_2[Rate name],0),MATCH(J$92,OP_TotalRates_RES_2[#Headers],0)),
INDEX(OP_TotalRates_SME_2[],MATCH($C114,OP_TotalRates_SME_2[Rate name],0),MATCH(J$92,OP_TotalRates_SME_2[#Headers],0))))</f>
        <v>0.17499999999999999</v>
      </c>
      <c r="K114" s="209">
        <f>IF($E114="VDO 2021 - Variation Final",
IF($F114="Residential",
INDEX(OP_TotalRates_RES_1[],MATCH($C114,OP_TotalRates_RES_1[Rate name],0),MATCH(K$92,OP_TotalRates_RES_1[#Headers],0)),
INDEX(OP_TotalRates_SME_1[],MATCH($C114,OP_TotalRates_SME_1[Rate name],0),MATCH(K$92,OP_TotalRates_SME_1[#Headers],0))),
IF($F114="Residential",
INDEX(OP_TotalRates_RES_2[],MATCH($C114,OP_TotalRates_RES_2[Rate name],0),MATCH(K$92,OP_TotalRates_RES_2[#Headers],0)),
INDEX(OP_TotalRates_SME_2[],MATCH($C114,OP_TotalRates_SME_2[Rate name],0),MATCH(K$92,OP_TotalRates_SME_2[#Headers],0))))</f>
        <v>0.17460000000000001</v>
      </c>
      <c r="L114" s="209">
        <f>IF($E114="VDO 2021 - Variation Final",
IF($F114="Residential",
INDEX(OP_TotalRates_RES_1[],MATCH($C114,OP_TotalRates_RES_1[Rate name],0),MATCH(L$92,OP_TotalRates_RES_1[#Headers],0)),
INDEX(OP_TotalRates_SME_1[],MATCH($C114,OP_TotalRates_SME_1[Rate name],0),MATCH(L$92,OP_TotalRates_SME_1[#Headers],0))),
IF($F114="Residential",
INDEX(OP_TotalRates_RES_2[],MATCH($C114,OP_TotalRates_RES_2[Rate name],0),MATCH(L$92,OP_TotalRates_RES_2[#Headers],0)),
INDEX(OP_TotalRates_SME_2[],MATCH($C114,OP_TotalRates_SME_2[Rate name],0),MATCH(L$92,OP_TotalRates_SME_2[#Headers],0))))</f>
        <v>0.17710000000000001</v>
      </c>
      <c r="M114" s="180"/>
      <c r="N114" s="259" t="s">
        <v>691</v>
      </c>
      <c r="O114" s="257">
        <f>IF(CH_BITariff[[#This Row],[Usage unit]]="Days",DiY,SUMIFS(INDEX(Input_Usage[[F-PreviousVDO_Input]:[F-CurrentVDO_Input]],0,MATCH(CH_BITariff[[#This Row],[Decision]],Inputs!$I$134:$M$134,0)),Input_Usage[Usage type],CH_BITariff[[#This Row],[Rate name]],Input_Usage[Profile name],CH_BITariff[[#This Row],[Customer type]]&amp;" - medium"))</f>
        <v>2680</v>
      </c>
    </row>
    <row r="115" spans="3:15" x14ac:dyDescent="0.25">
      <c r="C115" s="23" t="s">
        <v>287</v>
      </c>
      <c r="D115" s="23" t="s">
        <v>282</v>
      </c>
      <c r="E115" s="23" t="s">
        <v>258</v>
      </c>
      <c r="F115" s="23" t="s">
        <v>92</v>
      </c>
      <c r="G115" s="23" t="s">
        <v>697</v>
      </c>
      <c r="H115" s="209">
        <f>IF($E115="VDO 2021 - Variation Final",
IF($F115="Residential",
INDEX(OP_TotalRates_RES_1[],MATCH($C115,OP_TotalRates_RES_1[Rate name],0),MATCH(H$92,OP_TotalRates_RES_1[#Headers],0)),
INDEX(OP_TotalRates_SME_1[],MATCH($C115,OP_TotalRates_SME_1[Rate name],0),MATCH(H$92,OP_TotalRates_SME_1[#Headers],0))),
IF($F115="Residential",
INDEX(OP_TotalRates_RES_2[],MATCH($C115,OP_TotalRates_RES_2[Rate name],0),MATCH(H$92,OP_TotalRates_RES_2[#Headers],0)),
INDEX(OP_TotalRates_SME_2[],MATCH($C115,OP_TotalRates_SME_2[Rate name],0),MATCH(H$92,OP_TotalRates_SME_2[#Headers],0))))</f>
        <v>0.18340000000000001</v>
      </c>
      <c r="I115" s="209">
        <f>IF($E115="VDO 2021 - Variation Final",
IF($F115="Residential",
INDEX(OP_TotalRates_RES_1[],MATCH($C115,OP_TotalRates_RES_1[Rate name],0),MATCH(I$92,OP_TotalRates_RES_1[#Headers],0)),
INDEX(OP_TotalRates_SME_1[],MATCH($C115,OP_TotalRates_SME_1[Rate name],0),MATCH(I$92,OP_TotalRates_SME_1[#Headers],0))),
IF($F115="Residential",
INDEX(OP_TotalRates_RES_2[],MATCH($C115,OP_TotalRates_RES_2[Rate name],0),MATCH(I$92,OP_TotalRates_RES_2[#Headers],0)),
INDEX(OP_TotalRates_SME_2[],MATCH($C115,OP_TotalRates_SME_2[Rate name],0),MATCH(I$92,OP_TotalRates_SME_2[#Headers],0))))</f>
        <v>0.1542</v>
      </c>
      <c r="J115" s="209">
        <f>IF($E115="VDO 2021 - Variation Final",
IF($F115="Residential",
INDEX(OP_TotalRates_RES_1[],MATCH($C115,OP_TotalRates_RES_1[Rate name],0),MATCH(J$92,OP_TotalRates_RES_1[#Headers],0)),
INDEX(OP_TotalRates_SME_1[],MATCH($C115,OP_TotalRates_SME_1[Rate name],0),MATCH(J$92,OP_TotalRates_SME_1[#Headers],0))),
IF($F115="Residential",
INDEX(OP_TotalRates_RES_2[],MATCH($C115,OP_TotalRates_RES_2[Rate name],0),MATCH(J$92,OP_TotalRates_RES_2[#Headers],0)),
INDEX(OP_TotalRates_SME_2[],MATCH($C115,OP_TotalRates_SME_2[Rate name],0),MATCH(J$92,OP_TotalRates_SME_2[#Headers],0))))</f>
        <v>0.17560000000000001</v>
      </c>
      <c r="K115" s="209">
        <f>IF($E115="VDO 2021 - Variation Final",
IF($F115="Residential",
INDEX(OP_TotalRates_RES_1[],MATCH($C115,OP_TotalRates_RES_1[Rate name],0),MATCH(K$92,OP_TotalRates_RES_1[#Headers],0)),
INDEX(OP_TotalRates_SME_1[],MATCH($C115,OP_TotalRates_SME_1[Rate name],0),MATCH(K$92,OP_TotalRates_SME_1[#Headers],0))),
IF($F115="Residential",
INDEX(OP_TotalRates_RES_2[],MATCH($C115,OP_TotalRates_RES_2[Rate name],0),MATCH(K$92,OP_TotalRates_RES_2[#Headers],0)),
INDEX(OP_TotalRates_SME_2[],MATCH($C115,OP_TotalRates_SME_2[Rate name],0),MATCH(K$92,OP_TotalRates_SME_2[#Headers],0))))</f>
        <v>0.1578</v>
      </c>
      <c r="L115" s="209">
        <f>IF($E115="VDO 2021 - Variation Final",
IF($F115="Residential",
INDEX(OP_TotalRates_RES_1[],MATCH($C115,OP_TotalRates_RES_1[Rate name],0),MATCH(L$92,OP_TotalRates_RES_1[#Headers],0)),
INDEX(OP_TotalRates_SME_1[],MATCH($C115,OP_TotalRates_SME_1[Rate name],0),MATCH(L$92,OP_TotalRates_SME_1[#Headers],0))),
IF($F115="Residential",
INDEX(OP_TotalRates_RES_2[],MATCH($C115,OP_TotalRates_RES_2[Rate name],0),MATCH(L$92,OP_TotalRates_RES_2[#Headers],0)),
INDEX(OP_TotalRates_SME_2[],MATCH($C115,OP_TotalRates_SME_2[Rate name],0),MATCH(L$92,OP_TotalRates_SME_2[#Headers],0))))</f>
        <v>0.159</v>
      </c>
      <c r="M115" s="180"/>
      <c r="N115" s="259" t="s">
        <v>691</v>
      </c>
      <c r="O115" s="257">
        <f>IF(CH_BITariff[[#This Row],[Usage unit]]="Days",DiY,SUMIFS(INDEX(Input_Usage[[F-PreviousVDO_Input]:[F-CurrentVDO_Input]],0,MATCH(CH_BITariff[[#This Row],[Decision]],Inputs!$I$134:$M$134,0)),Input_Usage[Usage type],CH_BITariff[[#This Row],[Rate name]],Input_Usage[Profile name],CH_BITariff[[#This Row],[Customer type]]&amp;" - medium"))</f>
        <v>2000</v>
      </c>
    </row>
    <row r="116" spans="3:15" x14ac:dyDescent="0.25">
      <c r="C116" s="23" t="s">
        <v>550</v>
      </c>
      <c r="D116" s="23" t="s">
        <v>109</v>
      </c>
      <c r="E116" s="23" t="s">
        <v>258</v>
      </c>
      <c r="F116" s="23" t="s">
        <v>93</v>
      </c>
      <c r="G116" s="23" t="s">
        <v>556</v>
      </c>
      <c r="H116" s="209">
        <f>IF($E116="VDO 2021 - Variation Final",
IF($F116="Residential",
INDEX(OP_TotalRates_RES_1[],MATCH($C116,OP_TotalRates_RES_1[Rate name],0),MATCH(H$92,OP_TotalRates_RES_1[#Headers],0)),
INDEX(OP_TotalRates_SME_1[],MATCH($C116,OP_TotalRates_SME_1[Rate name],0),MATCH(H$92,OP_TotalRates_SME_1[#Headers],0))),
IF($F116="Residential",
INDEX(OP_TotalRates_RES_2[],MATCH($C116,OP_TotalRates_RES_2[Rate name],0),MATCH(H$92,OP_TotalRates_RES_2[#Headers],0)),
INDEX(OP_TotalRates_SME_2[],MATCH($C116,OP_TotalRates_SME_2[Rate name],0),MATCH(H$92,OP_TotalRates_SME_2[#Headers],0))))</f>
        <v>1.3355999999999999</v>
      </c>
      <c r="I116" s="209">
        <f>IF($E116="VDO 2021 - Variation Final",
IF($F116="Residential",
INDEX(OP_TotalRates_RES_1[],MATCH($C116,OP_TotalRates_RES_1[Rate name],0),MATCH(I$92,OP_TotalRates_RES_1[#Headers],0)),
INDEX(OP_TotalRates_SME_1[],MATCH($C116,OP_TotalRates_SME_1[Rate name],0),MATCH(I$92,OP_TotalRates_SME_1[#Headers],0))),
IF($F116="Residential",
INDEX(OP_TotalRates_RES_2[],MATCH($C116,OP_TotalRates_RES_2[Rate name],0),MATCH(I$92,OP_TotalRates_RES_2[#Headers],0)),
INDEX(OP_TotalRates_SME_2[],MATCH($C116,OP_TotalRates_SME_2[Rate name],0),MATCH(I$92,OP_TotalRates_SME_2[#Headers],0))))</f>
        <v>1.3875999999999999</v>
      </c>
      <c r="J116" s="209">
        <f>IF($E116="VDO 2021 - Variation Final",
IF($F116="Residential",
INDEX(OP_TotalRates_RES_1[],MATCH($C116,OP_TotalRates_RES_1[Rate name],0),MATCH(J$92,OP_TotalRates_RES_1[#Headers],0)),
INDEX(OP_TotalRates_SME_1[],MATCH($C116,OP_TotalRates_SME_1[Rate name],0),MATCH(J$92,OP_TotalRates_SME_1[#Headers],0))),
IF($F116="Residential",
INDEX(OP_TotalRates_RES_2[],MATCH($C116,OP_TotalRates_RES_2[Rate name],0),MATCH(J$92,OP_TotalRates_RES_2[#Headers],0)),
INDEX(OP_TotalRates_SME_2[],MATCH($C116,OP_TotalRates_SME_2[Rate name],0),MATCH(J$92,OP_TotalRates_SME_2[#Headers],0))))</f>
        <v>1.3848</v>
      </c>
      <c r="K116" s="209">
        <f>IF($E116="VDO 2021 - Variation Final",
IF($F116="Residential",
INDEX(OP_TotalRates_RES_1[],MATCH($C116,OP_TotalRates_RES_1[Rate name],0),MATCH(K$92,OP_TotalRates_RES_1[#Headers],0)),
INDEX(OP_TotalRates_SME_1[],MATCH($C116,OP_TotalRates_SME_1[Rate name],0),MATCH(K$92,OP_TotalRates_SME_1[#Headers],0))),
IF($F116="Residential",
INDEX(OP_TotalRates_RES_2[],MATCH($C116,OP_TotalRates_RES_2[Rate name],0),MATCH(K$92,OP_TotalRates_RES_2[#Headers],0)),
INDEX(OP_TotalRates_SME_2[],MATCH($C116,OP_TotalRates_SME_2[Rate name],0),MATCH(K$92,OP_TotalRates_SME_2[#Headers],0))))</f>
        <v>1.4613</v>
      </c>
      <c r="L116" s="209">
        <f>IF($E116="VDO 2021 - Variation Final",
IF($F116="Residential",
INDEX(OP_TotalRates_RES_1[],MATCH($C116,OP_TotalRates_RES_1[Rate name],0),MATCH(L$92,OP_TotalRates_RES_1[#Headers],0)),
INDEX(OP_TotalRates_SME_1[],MATCH($C116,OP_TotalRates_SME_1[Rate name],0),MATCH(L$92,OP_TotalRates_SME_1[#Headers],0))),
IF($F116="Residential",
INDEX(OP_TotalRates_RES_2[],MATCH($C116,OP_TotalRates_RES_2[Rate name],0),MATCH(L$92,OP_TotalRates_RES_2[#Headers],0)),
INDEX(OP_TotalRates_SME_2[],MATCH($C116,OP_TotalRates_SME_2[Rate name],0),MATCH(L$92,OP_TotalRates_SME_2[#Headers],0))))</f>
        <v>1.1520999999999999</v>
      </c>
      <c r="M116" s="180"/>
      <c r="N116" s="259" t="s">
        <v>427</v>
      </c>
      <c r="O116" s="257">
        <f>IF(CH_BITariff[[#This Row],[Usage unit]]="Days",DiY,SUMIFS(INDEX(Input_Usage[[F-PreviousVDO_Input]:[F-CurrentVDO_Input]],0,MATCH(CH_BITariff[[#This Row],[Decision]],Inputs!$I$134:$M$134,0)),Input_Usage[Usage type],CH_BITariff[[#This Row],[Rate name]],Input_Usage[Profile name],CH_BITariff[[#This Row],[Customer type]]&amp;" - medium"))</f>
        <v>365</v>
      </c>
    </row>
    <row r="117" spans="3:15" x14ac:dyDescent="0.25">
      <c r="C117" s="23" t="s">
        <v>221</v>
      </c>
      <c r="D117" s="23" t="s">
        <v>282</v>
      </c>
      <c r="E117" s="23" t="s">
        <v>258</v>
      </c>
      <c r="F117" s="23" t="s">
        <v>93</v>
      </c>
      <c r="G117" s="23" t="s">
        <v>556</v>
      </c>
      <c r="H117" s="209">
        <f>IF($E117="VDO 2021 - Variation Final",
IF($F117="Residential",
INDEX(OP_TotalRates_RES_1[],MATCH($C117,OP_TotalRates_RES_1[Rate name],0),MATCH(H$92,OP_TotalRates_RES_1[#Headers],0)),
INDEX(OP_TotalRates_SME_1[],MATCH($C117,OP_TotalRates_SME_1[Rate name],0),MATCH(H$92,OP_TotalRates_SME_1[#Headers],0))),
IF($F117="Residential",
INDEX(OP_TotalRates_RES_2[],MATCH($C117,OP_TotalRates_RES_2[Rate name],0),MATCH(H$92,OP_TotalRates_RES_2[#Headers],0)),
INDEX(OP_TotalRates_SME_2[],MATCH($C117,OP_TotalRates_SME_2[Rate name],0),MATCH(H$92,OP_TotalRates_SME_2[#Headers],0))))</f>
        <v>0.30159999999999998</v>
      </c>
      <c r="I117" s="209">
        <f>IF($E117="VDO 2021 - Variation Final",
IF($F117="Residential",
INDEX(OP_TotalRates_RES_1[],MATCH($C117,OP_TotalRates_RES_1[Rate name],0),MATCH(I$92,OP_TotalRates_RES_1[#Headers],0)),
INDEX(OP_TotalRates_SME_1[],MATCH($C117,OP_TotalRates_SME_1[Rate name],0),MATCH(I$92,OP_TotalRates_SME_1[#Headers],0))),
IF($F117="Residential",
INDEX(OP_TotalRates_RES_2[],MATCH($C117,OP_TotalRates_RES_2[Rate name],0),MATCH(I$92,OP_TotalRates_RES_2[#Headers],0)),
INDEX(OP_TotalRates_SME_2[],MATCH($C117,OP_TotalRates_SME_2[Rate name],0),MATCH(I$92,OP_TotalRates_SME_2[#Headers],0))))</f>
        <v>0</v>
      </c>
      <c r="J117" s="209">
        <f>IF($E117="VDO 2021 - Variation Final",
IF($F117="Residential",
INDEX(OP_TotalRates_RES_1[],MATCH($C117,OP_TotalRates_RES_1[Rate name],0),MATCH(J$92,OP_TotalRates_RES_1[#Headers],0)),
INDEX(OP_TotalRates_SME_1[],MATCH($C117,OP_TotalRates_SME_1[Rate name],0),MATCH(J$92,OP_TotalRates_SME_1[#Headers],0))),
IF($F117="Residential",
INDEX(OP_TotalRates_RES_2[],MATCH($C117,OP_TotalRates_RES_2[Rate name],0),MATCH(J$92,OP_TotalRates_RES_2[#Headers],0)),
INDEX(OP_TotalRates_SME_2[],MATCH($C117,OP_TotalRates_SME_2[Rate name],0),MATCH(J$92,OP_TotalRates_SME_2[#Headers],0))))</f>
        <v>0</v>
      </c>
      <c r="K117" s="209">
        <f>IF($E117="VDO 2021 - Variation Final",
IF($F117="Residential",
INDEX(OP_TotalRates_RES_1[],MATCH($C117,OP_TotalRates_RES_1[Rate name],0),MATCH(K$92,OP_TotalRates_RES_1[#Headers],0)),
INDEX(OP_TotalRates_SME_1[],MATCH($C117,OP_TotalRates_SME_1[Rate name],0),MATCH(K$92,OP_TotalRates_SME_1[#Headers],0))),
IF($F117="Residential",
INDEX(OP_TotalRates_RES_2[],MATCH($C117,OP_TotalRates_RES_2[Rate name],0),MATCH(K$92,OP_TotalRates_RES_2[#Headers],0)),
INDEX(OP_TotalRates_SME_2[],MATCH($C117,OP_TotalRates_SME_2[Rate name],0),MATCH(K$92,OP_TotalRates_SME_2[#Headers],0))))</f>
        <v>0</v>
      </c>
      <c r="L117" s="209">
        <f>IF($E117="VDO 2021 - Variation Final",
IF($F117="Residential",
INDEX(OP_TotalRates_RES_1[],MATCH($C117,OP_TotalRates_RES_1[Rate name],0),MATCH(L$92,OP_TotalRates_RES_1[#Headers],0)),
INDEX(OP_TotalRates_SME_1[],MATCH($C117,OP_TotalRates_SME_1[Rate name],0),MATCH(L$92,OP_TotalRates_SME_1[#Headers],0))),
IF($F117="Residential",
INDEX(OP_TotalRates_RES_2[],MATCH($C117,OP_TotalRates_RES_2[Rate name],0),MATCH(L$92,OP_TotalRates_RES_2[#Headers],0)),
INDEX(OP_TotalRates_SME_2[],MATCH($C117,OP_TotalRates_SME_2[Rate name],0),MATCH(L$92,OP_TotalRates_SME_2[#Headers],0))))</f>
        <v>0</v>
      </c>
      <c r="M117" s="180"/>
      <c r="N117" s="259" t="s">
        <v>691</v>
      </c>
      <c r="O117" s="257">
        <f>IF(CH_BITariff[[#This Row],[Usage unit]]="Days",DiY,SUMIFS(INDEX(Input_Usage[[F-PreviousVDO_Input]:[F-CurrentVDO_Input]],0,MATCH(CH_BITariff[[#This Row],[Decision]],Inputs!$I$134:$M$134,0)),Input_Usage[Usage type],CH_BITariff[[#This Row],[Rate name]],Input_Usage[Profile name],CH_BITariff[[#This Row],[Customer type]]&amp;" - medium"))</f>
        <v>4080</v>
      </c>
    </row>
    <row r="118" spans="3:15" x14ac:dyDescent="0.25">
      <c r="C118" s="23" t="s">
        <v>228</v>
      </c>
      <c r="D118" s="23" t="s">
        <v>282</v>
      </c>
      <c r="E118" s="23" t="s">
        <v>258</v>
      </c>
      <c r="F118" s="23" t="s">
        <v>93</v>
      </c>
      <c r="G118" s="23" t="s">
        <v>556</v>
      </c>
      <c r="H118" s="209">
        <f>IF($E118="VDO 2021 - Variation Final",
IF($F118="Residential",
INDEX(OP_TotalRates_RES_1[],MATCH($C118,OP_TotalRates_RES_1[Rate name],0),MATCH(H$92,OP_TotalRates_RES_1[#Headers],0)),
INDEX(OP_TotalRates_SME_1[],MATCH($C118,OP_TotalRates_SME_1[Rate name],0),MATCH(H$92,OP_TotalRates_SME_1[#Headers],0))),
IF($F118="Residential",
INDEX(OP_TotalRates_RES_2[],MATCH($C118,OP_TotalRates_RES_2[Rate name],0),MATCH(H$92,OP_TotalRates_RES_2[#Headers],0)),
INDEX(OP_TotalRates_SME_2[],MATCH($C118,OP_TotalRates_SME_2[Rate name],0),MATCH(H$92,OP_TotalRates_SME_2[#Headers],0))))</f>
        <v>0.33350000000000002</v>
      </c>
      <c r="I118" s="209">
        <f>IF($E118="VDO 2021 - Variation Final",
IF($F118="Residential",
INDEX(OP_TotalRates_RES_1[],MATCH($C118,OP_TotalRates_RES_1[Rate name],0),MATCH(I$92,OP_TotalRates_RES_1[#Headers],0)),
INDEX(OP_TotalRates_SME_1[],MATCH($C118,OP_TotalRates_SME_1[Rate name],0),MATCH(I$92,OP_TotalRates_SME_1[#Headers],0))),
IF($F118="Residential",
INDEX(OP_TotalRates_RES_2[],MATCH($C118,OP_TotalRates_RES_2[Rate name],0),MATCH(I$92,OP_TotalRates_RES_2[#Headers],0)),
INDEX(OP_TotalRates_SME_2[],MATCH($C118,OP_TotalRates_SME_2[Rate name],0),MATCH(I$92,OP_TotalRates_SME_2[#Headers],0))))</f>
        <v>0</v>
      </c>
      <c r="J118" s="209">
        <f>IF($E118="VDO 2021 - Variation Final",
IF($F118="Residential",
INDEX(OP_TotalRates_RES_1[],MATCH($C118,OP_TotalRates_RES_1[Rate name],0),MATCH(J$92,OP_TotalRates_RES_1[#Headers],0)),
INDEX(OP_TotalRates_SME_1[],MATCH($C118,OP_TotalRates_SME_1[Rate name],0),MATCH(J$92,OP_TotalRates_SME_1[#Headers],0))),
IF($F118="Residential",
INDEX(OP_TotalRates_RES_2[],MATCH($C118,OP_TotalRates_RES_2[Rate name],0),MATCH(J$92,OP_TotalRates_RES_2[#Headers],0)),
INDEX(OP_TotalRates_SME_2[],MATCH($C118,OP_TotalRates_SME_2[Rate name],0),MATCH(J$92,OP_TotalRates_SME_2[#Headers],0))))</f>
        <v>0</v>
      </c>
      <c r="K118" s="209">
        <f>IF($E118="VDO 2021 - Variation Final",
IF($F118="Residential",
INDEX(OP_TotalRates_RES_1[],MATCH($C118,OP_TotalRates_RES_1[Rate name],0),MATCH(K$92,OP_TotalRates_RES_1[#Headers],0)),
INDEX(OP_TotalRates_SME_1[],MATCH($C118,OP_TotalRates_SME_1[Rate name],0),MATCH(K$92,OP_TotalRates_SME_1[#Headers],0))),
IF($F118="Residential",
INDEX(OP_TotalRates_RES_2[],MATCH($C118,OP_TotalRates_RES_2[Rate name],0),MATCH(K$92,OP_TotalRates_RES_2[#Headers],0)),
INDEX(OP_TotalRates_SME_2[],MATCH($C118,OP_TotalRates_SME_2[Rate name],0),MATCH(K$92,OP_TotalRates_SME_2[#Headers],0))))</f>
        <v>0</v>
      </c>
      <c r="L118" s="209">
        <f>IF($E118="VDO 2021 - Variation Final",
IF($F118="Residential",
INDEX(OP_TotalRates_RES_1[],MATCH($C118,OP_TotalRates_RES_1[Rate name],0),MATCH(L$92,OP_TotalRates_RES_1[#Headers],0)),
INDEX(OP_TotalRates_SME_1[],MATCH($C118,OP_TotalRates_SME_1[Rate name],0),MATCH(L$92,OP_TotalRates_SME_1[#Headers],0))),
IF($F118="Residential",
INDEX(OP_TotalRates_RES_2[],MATCH($C118,OP_TotalRates_RES_2[Rate name],0),MATCH(L$92,OP_TotalRates_RES_2[#Headers],0)),
INDEX(OP_TotalRates_SME_2[],MATCH($C118,OP_TotalRates_SME_2[Rate name],0),MATCH(L$92,OP_TotalRates_SME_2[#Headers],0))))</f>
        <v>0</v>
      </c>
      <c r="M118" s="180"/>
      <c r="N118" s="259" t="s">
        <v>691</v>
      </c>
      <c r="O118" s="257">
        <f>IF(CH_BITariff[[#This Row],[Usage unit]]="Days",DiY,SUMIFS(INDEX(Input_Usage[[F-PreviousVDO_Input]:[F-CurrentVDO_Input]],0,MATCH(CH_BITariff[[#This Row],[Decision]],Inputs!$I$134:$M$134,0)),Input_Usage[Usage type],CH_BITariff[[#This Row],[Rate name]],Input_Usage[Profile name],CH_BITariff[[#This Row],[Customer type]]&amp;" - medium"))</f>
        <v>15920</v>
      </c>
    </row>
    <row r="119" spans="3:15" x14ac:dyDescent="0.25">
      <c r="C119" s="23" t="s">
        <v>549</v>
      </c>
      <c r="D119" s="23" t="s">
        <v>282</v>
      </c>
      <c r="E119" s="23" t="s">
        <v>258</v>
      </c>
      <c r="F119" s="23" t="s">
        <v>93</v>
      </c>
      <c r="G119" s="23" t="s">
        <v>556</v>
      </c>
      <c r="H119" s="209">
        <f>IF($E119="VDO 2021 - Variation Final",
IF($F119="Residential",
INDEX(OP_TotalRates_RES_1[],MATCH($C119,OP_TotalRates_RES_1[Rate name],0),MATCH(H$92,OP_TotalRates_RES_1[#Headers],0)),
INDEX(OP_TotalRates_SME_1[],MATCH($C119,OP_TotalRates_SME_1[Rate name],0),MATCH(H$92,OP_TotalRates_SME_1[#Headers],0))),
IF($F119="Residential",
INDEX(OP_TotalRates_RES_2[],MATCH($C119,OP_TotalRates_RES_2[Rate name],0),MATCH(H$92,OP_TotalRates_RES_2[#Headers],0)),
INDEX(OP_TotalRates_SME_2[],MATCH($C119,OP_TotalRates_SME_2[Rate name],0),MATCH(H$92,OP_TotalRates_SME_2[#Headers],0))))</f>
        <v>0</v>
      </c>
      <c r="I119" s="209">
        <f>IF($E119="VDO 2021 - Variation Final",
IF($F119="Residential",
INDEX(OP_TotalRates_RES_1[],MATCH($C119,OP_TotalRates_RES_1[Rate name],0),MATCH(I$92,OP_TotalRates_RES_1[#Headers],0)),
INDEX(OP_TotalRates_SME_1[],MATCH($C119,OP_TotalRates_SME_1[Rate name],0),MATCH(I$92,OP_TotalRates_SME_1[#Headers],0))),
IF($F119="Residential",
INDEX(OP_TotalRates_RES_2[],MATCH($C119,OP_TotalRates_RES_2[Rate name],0),MATCH(I$92,OP_TotalRates_RES_2[#Headers],0)),
INDEX(OP_TotalRates_SME_2[],MATCH($C119,OP_TotalRates_SME_2[Rate name],0),MATCH(I$92,OP_TotalRates_SME_2[#Headers],0))))</f>
        <v>0.21410000000000001</v>
      </c>
      <c r="J119" s="209">
        <f>IF($E119="VDO 2021 - Variation Final",
IF($F119="Residential",
INDEX(OP_TotalRates_RES_1[],MATCH($C119,OP_TotalRates_RES_1[Rate name],0),MATCH(J$92,OP_TotalRates_RES_1[#Headers],0)),
INDEX(OP_TotalRates_SME_1[],MATCH($C119,OP_TotalRates_SME_1[Rate name],0),MATCH(J$92,OP_TotalRates_SME_1[#Headers],0))),
IF($F119="Residential",
INDEX(OP_TotalRates_RES_2[],MATCH($C119,OP_TotalRates_RES_2[Rate name],0),MATCH(J$92,OP_TotalRates_RES_2[#Headers],0)),
INDEX(OP_TotalRates_SME_2[],MATCH($C119,OP_TotalRates_SME_2[Rate name],0),MATCH(J$92,OP_TotalRates_SME_2[#Headers],0))))</f>
        <v>0.2457</v>
      </c>
      <c r="K119" s="209">
        <f>IF($E119="VDO 2021 - Variation Final",
IF($F119="Residential",
INDEX(OP_TotalRates_RES_1[],MATCH($C119,OP_TotalRates_RES_1[Rate name],0),MATCH(K$92,OP_TotalRates_RES_1[#Headers],0)),
INDEX(OP_TotalRates_SME_1[],MATCH($C119,OP_TotalRates_SME_1[Rate name],0),MATCH(K$92,OP_TotalRates_SME_1[#Headers],0))),
IF($F119="Residential",
INDEX(OP_TotalRates_RES_2[],MATCH($C119,OP_TotalRates_RES_2[Rate name],0),MATCH(K$92,OP_TotalRates_RES_2[#Headers],0)),
INDEX(OP_TotalRates_SME_2[],MATCH($C119,OP_TotalRates_SME_2[Rate name],0),MATCH(K$92,OP_TotalRates_SME_2[#Headers],0))))</f>
        <v>0.22570000000000001</v>
      </c>
      <c r="L119" s="209">
        <f>IF($E119="VDO 2021 - Variation Final",
IF($F119="Residential",
INDEX(OP_TotalRates_RES_1[],MATCH($C119,OP_TotalRates_RES_1[Rate name],0),MATCH(L$92,OP_TotalRates_RES_1[#Headers],0)),
INDEX(OP_TotalRates_SME_1[],MATCH($C119,OP_TotalRates_SME_1[Rate name],0),MATCH(L$92,OP_TotalRates_SME_1[#Headers],0))),
IF($F119="Residential",
INDEX(OP_TotalRates_RES_2[],MATCH($C119,OP_TotalRates_RES_2[Rate name],0),MATCH(L$92,OP_TotalRates_RES_2[#Headers],0)),
INDEX(OP_TotalRates_SME_2[],MATCH($C119,OP_TotalRates_SME_2[Rate name],0),MATCH(L$92,OP_TotalRates_SME_2[#Headers],0))))</f>
        <v>0.2225</v>
      </c>
      <c r="M119" s="180"/>
      <c r="N119" s="259" t="s">
        <v>691</v>
      </c>
      <c r="O119" s="257">
        <f>IF(CH_BITariff[[#This Row],[Usage unit]]="Days",DiY,SUMIFS(INDEX(Input_Usage[[F-PreviousVDO_Input]:[F-CurrentVDO_Input]],0,MATCH(CH_BITariff[[#This Row],[Decision]],Inputs!$I$134:$M$134,0)),Input_Usage[Usage type],CH_BITariff[[#This Row],[Rate name]],Input_Usage[Profile name],CH_BITariff[[#This Row],[Customer type]]&amp;" - medium"))</f>
        <v>20000</v>
      </c>
    </row>
    <row r="120" spans="3:15" x14ac:dyDescent="0.25">
      <c r="C120" s="23" t="s">
        <v>551</v>
      </c>
      <c r="D120" s="23" t="s">
        <v>109</v>
      </c>
      <c r="E120" s="23" t="s">
        <v>258</v>
      </c>
      <c r="F120" s="23" t="s">
        <v>93</v>
      </c>
      <c r="G120" s="23" t="s">
        <v>557</v>
      </c>
      <c r="H120" s="209">
        <f>IF($E120="VDO 2021 - Variation Final",
IF($F120="Residential",
INDEX(OP_TotalRates_RES_1[],MATCH($C120,OP_TotalRates_RES_1[Rate name],0),MATCH(H$92,OP_TotalRates_RES_1[#Headers],0)),
INDEX(OP_TotalRates_SME_1[],MATCH($C120,OP_TotalRates_SME_1[Rate name],0),MATCH(H$92,OP_TotalRates_SME_1[#Headers],0))),
IF($F120="Residential",
INDEX(OP_TotalRates_RES_2[],MATCH($C120,OP_TotalRates_RES_2[Rate name],0),MATCH(H$92,OP_TotalRates_RES_2[#Headers],0)),
INDEX(OP_TotalRates_SME_2[],MATCH($C120,OP_TotalRates_SME_2[Rate name],0),MATCH(H$92,OP_TotalRates_SME_2[#Headers],0))))</f>
        <v>0.86480000000000001</v>
      </c>
      <c r="I120" s="209">
        <f>IF($E120="VDO 2021 - Variation Final",
IF($F120="Residential",
INDEX(OP_TotalRates_RES_1[],MATCH($C120,OP_TotalRates_RES_1[Rate name],0),MATCH(I$92,OP_TotalRates_RES_1[#Headers],0)),
INDEX(OP_TotalRates_SME_1[],MATCH($C120,OP_TotalRates_SME_1[Rate name],0),MATCH(I$92,OP_TotalRates_SME_1[#Headers],0))),
IF($F120="Residential",
INDEX(OP_TotalRates_RES_2[],MATCH($C120,OP_TotalRates_RES_2[Rate name],0),MATCH(I$92,OP_TotalRates_RES_2[#Headers],0)),
INDEX(OP_TotalRates_SME_2[],MATCH($C120,OP_TotalRates_SME_2[Rate name],0),MATCH(I$92,OP_TotalRates_SME_2[#Headers],0))))</f>
        <v>1.3568</v>
      </c>
      <c r="J120" s="209">
        <f>IF($E120="VDO 2021 - Variation Final",
IF($F120="Residential",
INDEX(OP_TotalRates_RES_1[],MATCH($C120,OP_TotalRates_RES_1[Rate name],0),MATCH(J$92,OP_TotalRates_RES_1[#Headers],0)),
INDEX(OP_TotalRates_SME_1[],MATCH($C120,OP_TotalRates_SME_1[Rate name],0),MATCH(J$92,OP_TotalRates_SME_1[#Headers],0))),
IF($F120="Residential",
INDEX(OP_TotalRates_RES_2[],MATCH($C120,OP_TotalRates_RES_2[Rate name],0),MATCH(J$92,OP_TotalRates_RES_2[#Headers],0)),
INDEX(OP_TotalRates_SME_2[],MATCH($C120,OP_TotalRates_SME_2[Rate name],0),MATCH(J$92,OP_TotalRates_SME_2[#Headers],0))))</f>
        <v>1.6395</v>
      </c>
      <c r="K120" s="209">
        <f>IF($E120="VDO 2021 - Variation Final",
IF($F120="Residential",
INDEX(OP_TotalRates_RES_1[],MATCH($C120,OP_TotalRates_RES_1[Rate name],0),MATCH(K$92,OP_TotalRates_RES_1[#Headers],0)),
INDEX(OP_TotalRates_SME_1[],MATCH($C120,OP_TotalRates_SME_1[Rate name],0),MATCH(K$92,OP_TotalRates_SME_1[#Headers],0))),
IF($F120="Residential",
INDEX(OP_TotalRates_RES_2[],MATCH($C120,OP_TotalRates_RES_2[Rate name],0),MATCH(K$92,OP_TotalRates_RES_2[#Headers],0)),
INDEX(OP_TotalRates_SME_2[],MATCH($C120,OP_TotalRates_SME_2[Rate name],0),MATCH(K$92,OP_TotalRates_SME_2[#Headers],0))))</f>
        <v>1.4275</v>
      </c>
      <c r="L120" s="209">
        <f>IF($E120="VDO 2021 - Variation Final",
IF($F120="Residential",
INDEX(OP_TotalRates_RES_1[],MATCH($C120,OP_TotalRates_RES_1[Rate name],0),MATCH(L$92,OP_TotalRates_RES_1[#Headers],0)),
INDEX(OP_TotalRates_SME_1[],MATCH($C120,OP_TotalRates_SME_1[Rate name],0),MATCH(L$92,OP_TotalRates_SME_1[#Headers],0))),
IF($F120="Residential",
INDEX(OP_TotalRates_RES_2[],MATCH($C120,OP_TotalRates_RES_2[Rate name],0),MATCH(L$92,OP_TotalRates_RES_2[#Headers],0)),
INDEX(OP_TotalRates_SME_2[],MATCH($C120,OP_TotalRates_SME_2[Rate name],0),MATCH(L$92,OP_TotalRates_SME_2[#Headers],0))))</f>
        <v>1.1218999999999999</v>
      </c>
      <c r="M120" s="180"/>
      <c r="N120" s="259" t="s">
        <v>427</v>
      </c>
      <c r="O120" s="257">
        <f>IF(CH_BITariff[[#This Row],[Usage unit]]="Days",DiY,SUMIFS(INDEX(Input_Usage[[F-PreviousVDO_Input]:[F-CurrentVDO_Input]],0,MATCH(CH_BITariff[[#This Row],[Decision]],Inputs!$I$134:$M$134,0)),Input_Usage[Usage type],CH_BITariff[[#This Row],[Rate name]],Input_Usage[Profile name],CH_BITariff[[#This Row],[Customer type]]&amp;" - medium"))</f>
        <v>365</v>
      </c>
    </row>
    <row r="121" spans="3:15" x14ac:dyDescent="0.25">
      <c r="C121" s="23" t="s">
        <v>230</v>
      </c>
      <c r="D121" s="23" t="s">
        <v>282</v>
      </c>
      <c r="E121" s="23" t="s">
        <v>258</v>
      </c>
      <c r="F121" s="23" t="s">
        <v>93</v>
      </c>
      <c r="G121" s="23" t="s">
        <v>557</v>
      </c>
      <c r="H121" s="209">
        <f>IF($E121="VDO 2021 - Variation Final",
IF($F121="Residential",
INDEX(OP_TotalRates_RES_1[],MATCH($C121,OP_TotalRates_RES_1[Rate name],0),MATCH(H$92,OP_TotalRates_RES_1[#Headers],0)),
INDEX(OP_TotalRates_SME_1[],MATCH($C121,OP_TotalRates_SME_1[Rate name],0),MATCH(H$92,OP_TotalRates_SME_1[#Headers],0))),
IF($F121="Residential",
INDEX(OP_TotalRates_RES_2[],MATCH($C121,OP_TotalRates_RES_2[Rate name],0),MATCH(H$92,OP_TotalRates_RES_2[#Headers],0)),
INDEX(OP_TotalRates_SME_2[],MATCH($C121,OP_TotalRates_SME_2[Rate name],0),MATCH(H$92,OP_TotalRates_SME_2[#Headers],0))))</f>
        <v>0.3246</v>
      </c>
      <c r="I121" s="209">
        <f>IF($E121="VDO 2021 - Variation Final",
IF($F121="Residential",
INDEX(OP_TotalRates_RES_1[],MATCH($C121,OP_TotalRates_RES_1[Rate name],0),MATCH(I$92,OP_TotalRates_RES_1[#Headers],0)),
INDEX(OP_TotalRates_SME_1[],MATCH($C121,OP_TotalRates_SME_1[Rate name],0),MATCH(I$92,OP_TotalRates_SME_1[#Headers],0))),
IF($F121="Residential",
INDEX(OP_TotalRates_RES_2[],MATCH($C121,OP_TotalRates_RES_2[Rate name],0),MATCH(I$92,OP_TotalRates_RES_2[#Headers],0)),
INDEX(OP_TotalRates_SME_2[],MATCH($C121,OP_TotalRates_SME_2[Rate name],0),MATCH(I$92,OP_TotalRates_SME_2[#Headers],0))))</f>
        <v>0.2702</v>
      </c>
      <c r="J121" s="209">
        <f>IF($E121="VDO 2021 - Variation Final",
IF($F121="Residential",
INDEX(OP_TotalRates_RES_1[],MATCH($C121,OP_TotalRates_RES_1[Rate name],0),MATCH(J$92,OP_TotalRates_RES_1[#Headers],0)),
INDEX(OP_TotalRates_SME_1[],MATCH($C121,OP_TotalRates_SME_1[Rate name],0),MATCH(J$92,OP_TotalRates_SME_1[#Headers],0))),
IF($F121="Residential",
INDEX(OP_TotalRates_RES_2[],MATCH($C121,OP_TotalRates_RES_2[Rate name],0),MATCH(J$92,OP_TotalRates_RES_2[#Headers],0)),
INDEX(OP_TotalRates_SME_2[],MATCH($C121,OP_TotalRates_SME_2[Rate name],0),MATCH(J$92,OP_TotalRates_SME_2[#Headers],0))))</f>
        <v>0.28489999999999999</v>
      </c>
      <c r="K121" s="209">
        <f>IF($E121="VDO 2021 - Variation Final",
IF($F121="Residential",
INDEX(OP_TotalRates_RES_1[],MATCH($C121,OP_TotalRates_RES_1[Rate name],0),MATCH(K$92,OP_TotalRates_RES_1[#Headers],0)),
INDEX(OP_TotalRates_SME_1[],MATCH($C121,OP_TotalRates_SME_1[Rate name],0),MATCH(K$92,OP_TotalRates_SME_1[#Headers],0))),
IF($F121="Residential",
INDEX(OP_TotalRates_RES_2[],MATCH($C121,OP_TotalRates_RES_2[Rate name],0),MATCH(K$92,OP_TotalRates_RES_2[#Headers],0)),
INDEX(OP_TotalRates_SME_2[],MATCH($C121,OP_TotalRates_SME_2[Rate name],0),MATCH(K$92,OP_TotalRates_SME_2[#Headers],0))))</f>
        <v>0.28939999999999999</v>
      </c>
      <c r="L121" s="209">
        <f>IF($E121="VDO 2021 - Variation Final",
IF($F121="Residential",
INDEX(OP_TotalRates_RES_1[],MATCH($C121,OP_TotalRates_RES_1[Rate name],0),MATCH(L$92,OP_TotalRates_RES_1[#Headers],0)),
INDEX(OP_TotalRates_SME_1[],MATCH($C121,OP_TotalRates_SME_1[Rate name],0),MATCH(L$92,OP_TotalRates_SME_1[#Headers],0))),
IF($F121="Residential",
INDEX(OP_TotalRates_RES_2[],MATCH($C121,OP_TotalRates_RES_2[Rate name],0),MATCH(L$92,OP_TotalRates_RES_2[#Headers],0)),
INDEX(OP_TotalRates_SME_2[],MATCH($C121,OP_TotalRates_SME_2[Rate name],0),MATCH(L$92,OP_TotalRates_SME_2[#Headers],0))))</f>
        <v>0.28320000000000001</v>
      </c>
      <c r="M121" s="180"/>
      <c r="N121" s="259" t="s">
        <v>691</v>
      </c>
      <c r="O121" s="257">
        <f>IF(CH_BITariff[[#This Row],[Usage unit]]="Days",DiY,SUMIFS(INDEX(Input_Usage[[F-PreviousVDO_Input]:[F-CurrentVDO_Input]],0,MATCH(CH_BITariff[[#This Row],[Decision]],Inputs!$I$134:$M$134,0)),Input_Usage[Usage type],CH_BITariff[[#This Row],[Rate name]],Input_Usage[Profile name],CH_BITariff[[#This Row],[Customer type]]&amp;" - medium"))</f>
        <v>9800</v>
      </c>
    </row>
    <row r="122" spans="3:15" x14ac:dyDescent="0.25">
      <c r="C122" s="23" t="s">
        <v>609</v>
      </c>
      <c r="D122" s="23" t="s">
        <v>282</v>
      </c>
      <c r="E122" s="23" t="s">
        <v>258</v>
      </c>
      <c r="F122" s="23" t="s">
        <v>93</v>
      </c>
      <c r="G122" s="23" t="s">
        <v>557</v>
      </c>
      <c r="H122" s="209">
        <f>IF($E122="VDO 2021 - Variation Final",
IF($F122="Residential",
INDEX(OP_TotalRates_RES_1[],MATCH($C122,OP_TotalRates_RES_1[Rate name],0),MATCH(H$92,OP_TotalRates_RES_1[#Headers],0)),
INDEX(OP_TotalRates_SME_1[],MATCH($C122,OP_TotalRates_SME_1[Rate name],0),MATCH(H$92,OP_TotalRates_SME_1[#Headers],0))),
IF($F122="Residential",
INDEX(OP_TotalRates_RES_2[],MATCH($C122,OP_TotalRates_RES_2[Rate name],0),MATCH(H$92,OP_TotalRates_RES_2[#Headers],0)),
INDEX(OP_TotalRates_SME_2[],MATCH($C122,OP_TotalRates_SME_2[Rate name],0),MATCH(H$92,OP_TotalRates_SME_2[#Headers],0))))</f>
        <v>0.1701</v>
      </c>
      <c r="I122" s="209">
        <f>IF($E122="VDO 2021 - Variation Final",
IF($F122="Residential",
INDEX(OP_TotalRates_RES_1[],MATCH($C122,OP_TotalRates_RES_1[Rate name],0),MATCH(I$92,OP_TotalRates_RES_1[#Headers],0)),
INDEX(OP_TotalRates_SME_1[],MATCH($C122,OP_TotalRates_SME_1[Rate name],0),MATCH(I$92,OP_TotalRates_SME_1[#Headers],0))),
IF($F122="Residential",
INDEX(OP_TotalRates_RES_2[],MATCH($C122,OP_TotalRates_RES_2[Rate name],0),MATCH(I$92,OP_TotalRates_RES_2[#Headers],0)),
INDEX(OP_TotalRates_SME_2[],MATCH($C122,OP_TotalRates_SME_2[Rate name],0),MATCH(I$92,OP_TotalRates_SME_2[#Headers],0))))</f>
        <v>0.152</v>
      </c>
      <c r="J122" s="209">
        <f>IF($E122="VDO 2021 - Variation Final",
IF($F122="Residential",
INDEX(OP_TotalRates_RES_1[],MATCH($C122,OP_TotalRates_RES_1[Rate name],0),MATCH(J$92,OP_TotalRates_RES_1[#Headers],0)),
INDEX(OP_TotalRates_SME_1[],MATCH($C122,OP_TotalRates_SME_1[Rate name],0),MATCH(J$92,OP_TotalRates_SME_1[#Headers],0))),
IF($F122="Residential",
INDEX(OP_TotalRates_RES_2[],MATCH($C122,OP_TotalRates_RES_2[Rate name],0),MATCH(J$92,OP_TotalRates_RES_2[#Headers],0)),
INDEX(OP_TotalRates_SME_2[],MATCH($C122,OP_TotalRates_SME_2[Rate name],0),MATCH(J$92,OP_TotalRates_SME_2[#Headers],0))))</f>
        <v>0.15329999999999999</v>
      </c>
      <c r="K122" s="209">
        <f>IF($E122="VDO 2021 - Variation Final",
IF($F122="Residential",
INDEX(OP_TotalRates_RES_1[],MATCH($C122,OP_TotalRates_RES_1[Rate name],0),MATCH(K$92,OP_TotalRates_RES_1[#Headers],0)),
INDEX(OP_TotalRates_SME_1[],MATCH($C122,OP_TotalRates_SME_1[Rate name],0),MATCH(K$92,OP_TotalRates_SME_1[#Headers],0))),
IF($F122="Residential",
INDEX(OP_TotalRates_RES_2[],MATCH($C122,OP_TotalRates_RES_2[Rate name],0),MATCH(K$92,OP_TotalRates_RES_2[#Headers],0)),
INDEX(OP_TotalRates_SME_2[],MATCH($C122,OP_TotalRates_SME_2[Rate name],0),MATCH(K$92,OP_TotalRates_SME_2[#Headers],0))))</f>
        <v>0.15559999999999999</v>
      </c>
      <c r="L122" s="209">
        <f>IF($E122="VDO 2021 - Variation Final",
IF($F122="Residential",
INDEX(OP_TotalRates_RES_1[],MATCH($C122,OP_TotalRates_RES_1[Rate name],0),MATCH(L$92,OP_TotalRates_RES_1[#Headers],0)),
INDEX(OP_TotalRates_SME_1[],MATCH($C122,OP_TotalRates_SME_1[Rate name],0),MATCH(L$92,OP_TotalRates_SME_1[#Headers],0))),
IF($F122="Residential",
INDEX(OP_TotalRates_RES_2[],MATCH($C122,OP_TotalRates_RES_2[Rate name],0),MATCH(L$92,OP_TotalRates_RES_2[#Headers],0)),
INDEX(OP_TotalRates_SME_2[],MATCH($C122,OP_TotalRates_SME_2[Rate name],0),MATCH(L$92,OP_TotalRates_SME_2[#Headers],0))))</f>
        <v>0.15629999999999999</v>
      </c>
      <c r="M122" s="180"/>
      <c r="N122" s="259" t="s">
        <v>691</v>
      </c>
      <c r="O122" s="257">
        <f>IF(CH_BITariff[[#This Row],[Usage unit]]="Days",DiY,SUMIFS(INDEX(Input_Usage[[F-PreviousVDO_Input]:[F-CurrentVDO_Input]],0,MATCH(CH_BITariff[[#This Row],[Decision]],Inputs!$I$134:$M$134,0)),Input_Usage[Usage type],CH_BITariff[[#This Row],[Rate name]],Input_Usage[Profile name],CH_BITariff[[#This Row],[Customer type]]&amp;" - medium"))</f>
        <v>10200</v>
      </c>
    </row>
    <row r="124" spans="3:15" ht="15.75" x14ac:dyDescent="0.25">
      <c r="C124" s="29" t="s">
        <v>318</v>
      </c>
      <c r="D124" s="130"/>
      <c r="E124" s="130"/>
      <c r="F124" s="130"/>
      <c r="G124" s="130"/>
      <c r="H124" s="130"/>
      <c r="I124" s="130"/>
      <c r="J124" s="130"/>
      <c r="K124" s="130"/>
      <c r="L124" s="130"/>
    </row>
    <row r="125" spans="3:15" ht="15.75" x14ac:dyDescent="0.25">
      <c r="C125" s="168" t="s">
        <v>331</v>
      </c>
      <c r="D125" s="168" t="s">
        <v>103</v>
      </c>
      <c r="E125" s="168" t="s">
        <v>587</v>
      </c>
      <c r="F125" s="168" t="s">
        <v>91</v>
      </c>
      <c r="G125" s="168" t="s">
        <v>454</v>
      </c>
      <c r="H125" s="169" t="s">
        <v>268</v>
      </c>
      <c r="I125" s="168" t="s">
        <v>269</v>
      </c>
      <c r="J125" s="168" t="s">
        <v>270</v>
      </c>
      <c r="K125" s="168" t="s">
        <v>271</v>
      </c>
      <c r="L125" s="168" t="s">
        <v>272</v>
      </c>
    </row>
    <row r="126" spans="3:15" x14ac:dyDescent="0.25">
      <c r="C126" s="23" t="s">
        <v>550</v>
      </c>
      <c r="D126" s="23" t="s">
        <v>109</v>
      </c>
      <c r="E126" s="23" t="s">
        <v>410</v>
      </c>
      <c r="F126" s="23" t="s">
        <v>92</v>
      </c>
      <c r="G126" s="23" t="s">
        <v>556</v>
      </c>
      <c r="H126"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449.31500000000005</v>
      </c>
      <c r="I126"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412.55950000000001</v>
      </c>
      <c r="J126"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395.66</v>
      </c>
      <c r="K126"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467.23649999999998</v>
      </c>
      <c r="L126"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379.089</v>
      </c>
      <c r="N126" s="87"/>
    </row>
    <row r="127" spans="3:15" x14ac:dyDescent="0.25">
      <c r="C127" s="23" t="s">
        <v>221</v>
      </c>
      <c r="D127" s="23" t="s">
        <v>109</v>
      </c>
      <c r="E127" s="23" t="s">
        <v>410</v>
      </c>
      <c r="F127" s="23" t="s">
        <v>92</v>
      </c>
      <c r="G127" s="23" t="s">
        <v>556</v>
      </c>
      <c r="H127"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1076.8</v>
      </c>
      <c r="I127"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J127"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K127"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L127"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row>
    <row r="128" spans="3:15" x14ac:dyDescent="0.25">
      <c r="C128" s="23" t="s">
        <v>228</v>
      </c>
      <c r="D128" s="23" t="s">
        <v>109</v>
      </c>
      <c r="E128" s="23" t="s">
        <v>410</v>
      </c>
      <c r="F128" s="23" t="s">
        <v>92</v>
      </c>
      <c r="G128" s="23" t="s">
        <v>556</v>
      </c>
      <c r="H128"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I128"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J128"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K128"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L128"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row>
    <row r="129" spans="3:12" x14ac:dyDescent="0.25">
      <c r="C129" s="23" t="s">
        <v>549</v>
      </c>
      <c r="D129" s="23" t="s">
        <v>109</v>
      </c>
      <c r="E129" s="23" t="s">
        <v>410</v>
      </c>
      <c r="F129" s="23" t="s">
        <v>92</v>
      </c>
      <c r="G129" s="23" t="s">
        <v>556</v>
      </c>
      <c r="H129"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I129"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872</v>
      </c>
      <c r="J129"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932</v>
      </c>
      <c r="K129"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910.4</v>
      </c>
      <c r="L129"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900</v>
      </c>
    </row>
    <row r="130" spans="3:12" x14ac:dyDescent="0.25">
      <c r="C130" s="23" t="s">
        <v>551</v>
      </c>
      <c r="D130" s="23" t="s">
        <v>109</v>
      </c>
      <c r="E130" s="23" t="s">
        <v>410</v>
      </c>
      <c r="F130" s="23" t="s">
        <v>92</v>
      </c>
      <c r="G130" s="23" t="s">
        <v>557</v>
      </c>
      <c r="H130"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449.31500000000005</v>
      </c>
      <c r="I130"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412.55950000000001</v>
      </c>
      <c r="J130"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395.66</v>
      </c>
      <c r="K130"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467.23649999999998</v>
      </c>
      <c r="L130"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379.089</v>
      </c>
    </row>
    <row r="131" spans="3:12" x14ac:dyDescent="0.25">
      <c r="C131" s="23" t="s">
        <v>230</v>
      </c>
      <c r="D131" s="23" t="s">
        <v>109</v>
      </c>
      <c r="E131" s="23" t="s">
        <v>410</v>
      </c>
      <c r="F131" s="23" t="s">
        <v>92</v>
      </c>
      <c r="G131" s="23" t="s">
        <v>557</v>
      </c>
      <c r="H131"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500.14800000000002</v>
      </c>
      <c r="I131"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409.33199999999999</v>
      </c>
      <c r="J131"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381.74400000000003</v>
      </c>
      <c r="K131"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419.23199999999997</v>
      </c>
      <c r="L131"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417.12</v>
      </c>
    </row>
    <row r="132" spans="3:12" x14ac:dyDescent="0.25">
      <c r="C132" s="23" t="s">
        <v>609</v>
      </c>
      <c r="D132" s="23" t="s">
        <v>109</v>
      </c>
      <c r="E132" s="23" t="s">
        <v>410</v>
      </c>
      <c r="F132" s="23" t="s">
        <v>92</v>
      </c>
      <c r="G132" s="23" t="s">
        <v>557</v>
      </c>
      <c r="H132"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499.28399999999999</v>
      </c>
      <c r="I132"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457.20800000000003</v>
      </c>
      <c r="J132"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474.89600000000002</v>
      </c>
      <c r="K132"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478.916</v>
      </c>
      <c r="L132"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476.77199999999999</v>
      </c>
    </row>
    <row r="133" spans="3:12" x14ac:dyDescent="0.25">
      <c r="C133" s="23" t="s">
        <v>287</v>
      </c>
      <c r="D133" s="23" t="s">
        <v>109</v>
      </c>
      <c r="E133" s="23" t="s">
        <v>410</v>
      </c>
      <c r="F133" s="23" t="s">
        <v>92</v>
      </c>
      <c r="G133" s="23" t="s">
        <v>697</v>
      </c>
      <c r="H133"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370.59999999999997</v>
      </c>
      <c r="I133"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306</v>
      </c>
      <c r="J133"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347.8</v>
      </c>
      <c r="K133"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320.79999999999995</v>
      </c>
      <c r="L133"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314.2</v>
      </c>
    </row>
    <row r="134" spans="3:12" x14ac:dyDescent="0.25">
      <c r="C134" s="23" t="s">
        <v>550</v>
      </c>
      <c r="D134" s="23" t="s">
        <v>109</v>
      </c>
      <c r="E134" s="23" t="s">
        <v>410</v>
      </c>
      <c r="F134" s="23" t="s">
        <v>93</v>
      </c>
      <c r="G134" s="23" t="s">
        <v>556</v>
      </c>
      <c r="H134"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449.31500000000005</v>
      </c>
      <c r="I134"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494.24650000000003</v>
      </c>
      <c r="J134"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456.61499999999995</v>
      </c>
      <c r="K134"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513.88350000000003</v>
      </c>
      <c r="L134"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425.73600000000005</v>
      </c>
    </row>
    <row r="135" spans="3:12" x14ac:dyDescent="0.25">
      <c r="C135" s="23" t="s">
        <v>221</v>
      </c>
      <c r="D135" s="23" t="s">
        <v>109</v>
      </c>
      <c r="E135" s="23" t="s">
        <v>410</v>
      </c>
      <c r="F135" s="23" t="s">
        <v>93</v>
      </c>
      <c r="G135" s="23" t="s">
        <v>556</v>
      </c>
      <c r="H135"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1231.752</v>
      </c>
      <c r="I135"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J135"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K135"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L135"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row>
    <row r="136" spans="3:12" x14ac:dyDescent="0.25">
      <c r="C136" s="23" t="s">
        <v>228</v>
      </c>
      <c r="D136" s="23" t="s">
        <v>109</v>
      </c>
      <c r="E136" s="23" t="s">
        <v>410</v>
      </c>
      <c r="F136" s="23" t="s">
        <v>93</v>
      </c>
      <c r="G136" s="23" t="s">
        <v>556</v>
      </c>
      <c r="H136"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5312.5039999999999</v>
      </c>
      <c r="I136"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J136"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K136"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L136"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row>
    <row r="137" spans="3:12" x14ac:dyDescent="0.25">
      <c r="C137" s="23" t="s">
        <v>549</v>
      </c>
      <c r="D137" s="23" t="s">
        <v>109</v>
      </c>
      <c r="E137" s="23" t="s">
        <v>410</v>
      </c>
      <c r="F137" s="23" t="s">
        <v>93</v>
      </c>
      <c r="G137" s="23" t="s">
        <v>556</v>
      </c>
      <c r="H137"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I137"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4302</v>
      </c>
      <c r="J137"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4912</v>
      </c>
      <c r="K137"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4532</v>
      </c>
      <c r="L137"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4438</v>
      </c>
    </row>
    <row r="138" spans="3:12" x14ac:dyDescent="0.25">
      <c r="C138" s="23" t="s">
        <v>551</v>
      </c>
      <c r="D138" s="23" t="s">
        <v>109</v>
      </c>
      <c r="E138" s="23" t="s">
        <v>410</v>
      </c>
      <c r="F138" s="23" t="s">
        <v>93</v>
      </c>
      <c r="G138" s="23" t="s">
        <v>557</v>
      </c>
      <c r="H138"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449.31500000000005</v>
      </c>
      <c r="I138"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494.24650000000003</v>
      </c>
      <c r="J138"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582.2115</v>
      </c>
      <c r="K138"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513.88350000000003</v>
      </c>
      <c r="L138"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425.73600000000005</v>
      </c>
    </row>
    <row r="139" spans="3:12" x14ac:dyDescent="0.25">
      <c r="C139" s="23" t="s">
        <v>230</v>
      </c>
      <c r="D139" s="23" t="s">
        <v>109</v>
      </c>
      <c r="E139" s="23" t="s">
        <v>410</v>
      </c>
      <c r="F139" s="23" t="s">
        <v>93</v>
      </c>
      <c r="G139" s="23" t="s">
        <v>557</v>
      </c>
      <c r="H139"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3184.0200000000004</v>
      </c>
      <c r="I139"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2657.7599999999998</v>
      </c>
      <c r="J139"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2791.04</v>
      </c>
      <c r="K139"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2844.94</v>
      </c>
      <c r="L139"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2768.4999999999995</v>
      </c>
    </row>
    <row r="140" spans="3:12" x14ac:dyDescent="0.25">
      <c r="C140" s="23" t="s">
        <v>609</v>
      </c>
      <c r="D140" s="23" t="s">
        <v>109</v>
      </c>
      <c r="E140" s="23" t="s">
        <v>410</v>
      </c>
      <c r="F140" s="23" t="s">
        <v>93</v>
      </c>
      <c r="G140" s="23" t="s">
        <v>557</v>
      </c>
      <c r="H140"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1738.08</v>
      </c>
      <c r="I140"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1560.6</v>
      </c>
      <c r="J140"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1562.64</v>
      </c>
      <c r="K140"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1596.3</v>
      </c>
      <c r="L140"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1587.12</v>
      </c>
    </row>
    <row r="141" spans="3:12" x14ac:dyDescent="0.25">
      <c r="C141" s="23" t="s">
        <v>550</v>
      </c>
      <c r="D141" s="23" t="s">
        <v>109</v>
      </c>
      <c r="E141" s="23" t="s">
        <v>258</v>
      </c>
      <c r="F141" s="23" t="s">
        <v>92</v>
      </c>
      <c r="G141" s="23" t="s">
        <v>556</v>
      </c>
      <c r="H141"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459.9</v>
      </c>
      <c r="I141"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438.83949999999999</v>
      </c>
      <c r="J141"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419.42149999999998</v>
      </c>
      <c r="K141"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491.25350000000003</v>
      </c>
      <c r="L141"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388.14099999999996</v>
      </c>
    </row>
    <row r="142" spans="3:12" x14ac:dyDescent="0.25">
      <c r="C142" s="23" t="s">
        <v>221</v>
      </c>
      <c r="D142" s="23" t="s">
        <v>109</v>
      </c>
      <c r="E142" s="23" t="s">
        <v>258</v>
      </c>
      <c r="F142" s="23" t="s">
        <v>92</v>
      </c>
      <c r="G142" s="23" t="s">
        <v>556</v>
      </c>
      <c r="H142"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1059.6000000000001</v>
      </c>
      <c r="I142"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J142"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K142"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L142"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row>
    <row r="143" spans="3:12" x14ac:dyDescent="0.25">
      <c r="C143" s="23" t="s">
        <v>228</v>
      </c>
      <c r="D143" s="23" t="s">
        <v>109</v>
      </c>
      <c r="E143" s="23" t="s">
        <v>258</v>
      </c>
      <c r="F143" s="23" t="s">
        <v>92</v>
      </c>
      <c r="G143" s="23" t="s">
        <v>556</v>
      </c>
      <c r="H143"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I143"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J143"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K143"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L143"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row>
    <row r="144" spans="3:12" x14ac:dyDescent="0.25">
      <c r="C144" s="23" t="s">
        <v>549</v>
      </c>
      <c r="D144" s="23" t="s">
        <v>109</v>
      </c>
      <c r="E144" s="23" t="s">
        <v>258</v>
      </c>
      <c r="F144" s="23" t="s">
        <v>92</v>
      </c>
      <c r="G144" s="23" t="s">
        <v>556</v>
      </c>
      <c r="H144"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I144"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868.4</v>
      </c>
      <c r="J144"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922.8</v>
      </c>
      <c r="K144"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894</v>
      </c>
      <c r="L144"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896.80000000000007</v>
      </c>
    </row>
    <row r="145" spans="3:12" x14ac:dyDescent="0.25">
      <c r="C145" s="23" t="s">
        <v>551</v>
      </c>
      <c r="D145" s="23" t="s">
        <v>109</v>
      </c>
      <c r="E145" s="23" t="s">
        <v>258</v>
      </c>
      <c r="F145" s="23" t="s">
        <v>92</v>
      </c>
      <c r="G145" s="23" t="s">
        <v>557</v>
      </c>
      <c r="H145"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422.9255</v>
      </c>
      <c r="I145"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436.10200000000003</v>
      </c>
      <c r="J145"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383.54199999999997</v>
      </c>
      <c r="K145"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485.48650000000004</v>
      </c>
      <c r="L145"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385.18449999999996</v>
      </c>
    </row>
    <row r="146" spans="3:12" x14ac:dyDescent="0.25">
      <c r="C146" s="23" t="s">
        <v>230</v>
      </c>
      <c r="D146" s="23" t="s">
        <v>109</v>
      </c>
      <c r="E146" s="23" t="s">
        <v>258</v>
      </c>
      <c r="F146" s="23" t="s">
        <v>92</v>
      </c>
      <c r="G146" s="23" t="s">
        <v>557</v>
      </c>
      <c r="H146"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494.47199999999998</v>
      </c>
      <c r="I146"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408.012</v>
      </c>
      <c r="J146"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378.84</v>
      </c>
      <c r="K146"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413.82</v>
      </c>
      <c r="L146"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416.06399999999996</v>
      </c>
    </row>
    <row r="147" spans="3:12" x14ac:dyDescent="0.25">
      <c r="C147" s="23" t="s">
        <v>609</v>
      </c>
      <c r="D147" s="23" t="s">
        <v>109</v>
      </c>
      <c r="E147" s="23" t="s">
        <v>258</v>
      </c>
      <c r="F147" s="23" t="s">
        <v>92</v>
      </c>
      <c r="G147" s="23" t="s">
        <v>557</v>
      </c>
      <c r="H147"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487.76</v>
      </c>
      <c r="I147"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454.52800000000002</v>
      </c>
      <c r="J147"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468.99999999999994</v>
      </c>
      <c r="K147"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467.928</v>
      </c>
      <c r="L147"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474.62800000000004</v>
      </c>
    </row>
    <row r="148" spans="3:12" x14ac:dyDescent="0.25">
      <c r="C148" s="23" t="s">
        <v>287</v>
      </c>
      <c r="D148" s="23" t="s">
        <v>109</v>
      </c>
      <c r="E148" s="23" t="s">
        <v>258</v>
      </c>
      <c r="F148" s="23" t="s">
        <v>92</v>
      </c>
      <c r="G148" s="23" t="s">
        <v>697</v>
      </c>
      <c r="H148"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366.8</v>
      </c>
      <c r="I148"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308.40000000000003</v>
      </c>
      <c r="J148"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351.2</v>
      </c>
      <c r="K148"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315.59999999999997</v>
      </c>
      <c r="L148"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318</v>
      </c>
    </row>
    <row r="149" spans="3:12" x14ac:dyDescent="0.25">
      <c r="C149" s="23" t="s">
        <v>550</v>
      </c>
      <c r="D149" s="23" t="s">
        <v>109</v>
      </c>
      <c r="E149" s="23" t="s">
        <v>258</v>
      </c>
      <c r="F149" s="23" t="s">
        <v>93</v>
      </c>
      <c r="G149" s="23" t="s">
        <v>556</v>
      </c>
      <c r="H149"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487.49399999999997</v>
      </c>
      <c r="I149"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506.47399999999999</v>
      </c>
      <c r="J149"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505.452</v>
      </c>
      <c r="K149"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533.37450000000001</v>
      </c>
      <c r="L149"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420.51649999999995</v>
      </c>
    </row>
    <row r="150" spans="3:12" x14ac:dyDescent="0.25">
      <c r="C150" s="23" t="s">
        <v>221</v>
      </c>
      <c r="D150" s="23" t="s">
        <v>109</v>
      </c>
      <c r="E150" s="23" t="s">
        <v>258</v>
      </c>
      <c r="F150" s="23" t="s">
        <v>93</v>
      </c>
      <c r="G150" s="23" t="s">
        <v>556</v>
      </c>
      <c r="H150"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1230.528</v>
      </c>
      <c r="I150"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J150"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K150"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L150"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row>
    <row r="151" spans="3:12" x14ac:dyDescent="0.25">
      <c r="C151" s="23" t="s">
        <v>228</v>
      </c>
      <c r="D151" s="23" t="s">
        <v>109</v>
      </c>
      <c r="E151" s="23" t="s">
        <v>258</v>
      </c>
      <c r="F151" s="23" t="s">
        <v>93</v>
      </c>
      <c r="G151" s="23" t="s">
        <v>556</v>
      </c>
      <c r="H151"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5309.3200000000006</v>
      </c>
      <c r="I151"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J151"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K151"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L151"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row>
    <row r="152" spans="3:12" x14ac:dyDescent="0.25">
      <c r="C152" s="23" t="s">
        <v>549</v>
      </c>
      <c r="D152" s="23" t="s">
        <v>109</v>
      </c>
      <c r="E152" s="23" t="s">
        <v>258</v>
      </c>
      <c r="F152" s="23" t="s">
        <v>93</v>
      </c>
      <c r="G152" s="23" t="s">
        <v>556</v>
      </c>
      <c r="H152"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0</v>
      </c>
      <c r="I152"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4282</v>
      </c>
      <c r="J152"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4914</v>
      </c>
      <c r="K152"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4514</v>
      </c>
      <c r="L152"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4450</v>
      </c>
    </row>
    <row r="153" spans="3:12" x14ac:dyDescent="0.25">
      <c r="C153" s="23" t="s">
        <v>551</v>
      </c>
      <c r="D153" s="23" t="s">
        <v>109</v>
      </c>
      <c r="E153" s="23" t="s">
        <v>258</v>
      </c>
      <c r="F153" s="23" t="s">
        <v>93</v>
      </c>
      <c r="G153" s="23" t="s">
        <v>557</v>
      </c>
      <c r="H153"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315.65199999999999</v>
      </c>
      <c r="I153"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495.23200000000003</v>
      </c>
      <c r="J153"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598.41750000000002</v>
      </c>
      <c r="K153"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521.03750000000002</v>
      </c>
      <c r="L153"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409.49349999999998</v>
      </c>
    </row>
    <row r="154" spans="3:12" x14ac:dyDescent="0.25">
      <c r="C154" s="23" t="s">
        <v>230</v>
      </c>
      <c r="D154" s="23" t="s">
        <v>109</v>
      </c>
      <c r="E154" s="23" t="s">
        <v>258</v>
      </c>
      <c r="F154" s="23" t="s">
        <v>93</v>
      </c>
      <c r="G154" s="23" t="s">
        <v>557</v>
      </c>
      <c r="H154"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3181.08</v>
      </c>
      <c r="I154"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2647.96</v>
      </c>
      <c r="J154"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2792.02</v>
      </c>
      <c r="K154"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2836.12</v>
      </c>
      <c r="L154"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2775.36</v>
      </c>
    </row>
    <row r="155" spans="3:12" x14ac:dyDescent="0.25">
      <c r="C155" s="44" t="s">
        <v>609</v>
      </c>
      <c r="D155" s="23" t="s">
        <v>109</v>
      </c>
      <c r="E155" s="44" t="s">
        <v>258</v>
      </c>
      <c r="F155" s="44" t="s">
        <v>93</v>
      </c>
      <c r="G155" s="44" t="s">
        <v>557</v>
      </c>
      <c r="H155" s="260">
        <f>SUMIFS(INDEX(CH_BITariff[[Ausnet]:[United Energy]],0,MATCH(H$125,CH_BITariff[[#Headers],[Ausnet]:[United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1735.02</v>
      </c>
      <c r="I155" s="260">
        <f>SUMIFS(INDEX(CH_BITariff[[Ausnet]:[United Energy]],0,MATCH(I$125,CH_BITariff[[#Headers],[Ausnet]:[United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1550.3999999999999</v>
      </c>
      <c r="J155" s="260">
        <f>SUMIFS(INDEX(CH_BITariff[[Ausnet]:[United Energy]],0,MATCH(J$125,CH_BITariff[[#Headers],[Ausnet]:[United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1563.6599999999999</v>
      </c>
      <c r="K155" s="260">
        <f>SUMIFS(INDEX(CH_BITariff[[Ausnet]:[United Energy]],0,MATCH(K$125,CH_BITariff[[#Headers],[Ausnet]:[United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1587.12</v>
      </c>
      <c r="L155" s="260">
        <f>SUMIFS(INDEX(CH_BITariff[[Ausnet]:[United Energy]],0,MATCH(L$125,CH_BITariff[[#Headers],[Ausnet]:[United Energy]],0)),
CH_BITariff[Rate name],CH_BITariff131[[#This Row],[Rate name]],CH_BITariff[Decision],CH_BITariff131[[#This Row],[Decision]],CH_BITariff[Customer type],CH_BITariff131[[#This Row],[Customer type]])*
SUMIFS(CH_BITariff[Usage value],CH_BITariff[Rate name],CH_BITariff131[[#This Row],[Rate name]],CH_BITariff[Decision],CH_BITariff131[[#This Row],[Decision]],CH_BITariff[Customer type],CH_BITariff131[[#This Row],[Customer type]])</f>
        <v>1594.26</v>
      </c>
    </row>
  </sheetData>
  <mergeCells count="7">
    <mergeCell ref="X82:Z82"/>
    <mergeCell ref="A2:A3"/>
    <mergeCell ref="T82:V82"/>
    <mergeCell ref="D82:F82"/>
    <mergeCell ref="H82:J82"/>
    <mergeCell ref="L82:N82"/>
    <mergeCell ref="P82:R82"/>
  </mergeCells>
  <phoneticPr fontId="30" type="noConversion"/>
  <pageMargins left="0.7" right="0.7" top="0.75" bottom="0.75" header="0.3" footer="0.3"/>
  <pageSetup paperSize="9" orientation="portrait" r:id="rId1"/>
  <drawing r:id="rId2"/>
  <tableParts count="2">
    <tablePart r:id="rId3"/>
    <tablePart r:id="rId4"/>
  </tableParts>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5D6D193C-7BB4-40DD-9FBC-A7FAC6924D89}">
          <x14:formula1>
            <xm:f>'Lookup refs'!$E$8:$E$20</xm:f>
          </x14:formula1>
          <xm:sqref>D93:D122 D126:D155</xm:sqref>
        </x14:dataValidation>
        <x14:dataValidation type="list" allowBlank="1" showInputMessage="1" showErrorMessage="1" xr:uid="{DFA8A294-A2C1-4D37-9C5F-B1092B0397B4}">
          <x14:formula1>
            <xm:f>'Lookup refs'!$G$8:$G$10</xm:f>
          </x14:formula1>
          <xm:sqref>F93:F122 F126:F155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0480C-27A2-4B3E-9741-0B6D9B41C818}">
  <sheetPr codeName="Sheet4">
    <tabColor rgb="FF7F7F7F"/>
  </sheetPr>
  <dimension ref="A1:FV21"/>
  <sheetViews>
    <sheetView showGridLines="0" zoomScaleNormal="100" workbookViewId="0">
      <pane xSplit="5" topLeftCell="F1" activePane="topRight" state="frozen"/>
      <selection pane="topRight" activeCell="B2" sqref="B2"/>
    </sheetView>
  </sheetViews>
  <sheetFormatPr defaultColWidth="9.42578125" defaultRowHeight="15" zeroHeight="1" x14ac:dyDescent="0.25"/>
  <cols>
    <col min="1" max="1" width="5.5703125" style="20" customWidth="1"/>
    <col min="2" max="2" width="25.5703125" style="4" customWidth="1"/>
    <col min="3" max="3" width="50.5703125" style="4" customWidth="1"/>
    <col min="4" max="4" width="25.5703125" style="4" customWidth="1"/>
    <col min="5" max="5" width="75.5703125" style="4" customWidth="1"/>
    <col min="6" max="178" width="5.5703125" style="4" customWidth="1"/>
  </cols>
  <sheetData>
    <row r="1" spans="1:178" ht="25.35" customHeight="1" x14ac:dyDescent="0.25">
      <c r="A1" s="30"/>
      <c r="B1" s="25" t="str">
        <f>Disclaimer!$B$1</f>
        <v>VDO calculation model</v>
      </c>
      <c r="C1" s="25"/>
      <c r="D1" s="25"/>
      <c r="E1" s="25"/>
    </row>
    <row r="2" spans="1:178" ht="25.35" customHeight="1" x14ac:dyDescent="0.25">
      <c r="A2" s="27">
        <f ca="1">_xlfn.SHEET()</f>
        <v>2</v>
      </c>
      <c r="B2" s="26" t="s">
        <v>2</v>
      </c>
      <c r="C2" s="26"/>
      <c r="D2" s="26"/>
      <c r="E2" s="26"/>
    </row>
    <row r="3" spans="1:178" ht="25.35" customHeight="1" x14ac:dyDescent="0.25">
      <c r="A3" s="31"/>
      <c r="B3" s="3" t="s">
        <v>3</v>
      </c>
      <c r="C3" s="3" t="s">
        <v>4</v>
      </c>
      <c r="D3" s="3" t="s">
        <v>5</v>
      </c>
      <c r="E3" s="3" t="s">
        <v>6</v>
      </c>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row>
    <row r="4" spans="1:178" ht="30" customHeight="1" x14ac:dyDescent="0.25">
      <c r="A4" s="32"/>
      <c r="B4" s="11">
        <v>1</v>
      </c>
      <c r="C4" s="11" t="s">
        <v>7</v>
      </c>
      <c r="D4" s="378" t="s">
        <v>7</v>
      </c>
      <c r="E4" s="11" t="s">
        <v>8</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row>
    <row r="5" spans="1:178" ht="30" customHeight="1" x14ac:dyDescent="0.25">
      <c r="A5" s="32"/>
      <c r="B5" s="11">
        <v>2</v>
      </c>
      <c r="C5" s="11" t="s">
        <v>2</v>
      </c>
      <c r="D5" s="378" t="s">
        <v>2</v>
      </c>
      <c r="E5" s="11" t="s">
        <v>887</v>
      </c>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row>
    <row r="6" spans="1:178" ht="30" customHeight="1" x14ac:dyDescent="0.25">
      <c r="A6" s="32"/>
      <c r="B6" s="11">
        <v>3</v>
      </c>
      <c r="C6" s="11" t="s">
        <v>10</v>
      </c>
      <c r="D6" s="378" t="s">
        <v>10</v>
      </c>
      <c r="E6" s="11" t="s">
        <v>11</v>
      </c>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row>
    <row r="7" spans="1:178" ht="30" customHeight="1" x14ac:dyDescent="0.25">
      <c r="A7" s="32"/>
      <c r="B7" s="11">
        <v>4</v>
      </c>
      <c r="C7" s="11" t="s">
        <v>413</v>
      </c>
      <c r="D7" s="378" t="s">
        <v>413</v>
      </c>
      <c r="E7" s="11" t="s">
        <v>885</v>
      </c>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row>
    <row r="8" spans="1:178" ht="30" customHeight="1" x14ac:dyDescent="0.25">
      <c r="A8" s="32"/>
      <c r="B8" s="11">
        <v>5</v>
      </c>
      <c r="C8" s="11" t="s">
        <v>839</v>
      </c>
      <c r="D8" s="378" t="s">
        <v>839</v>
      </c>
      <c r="E8" s="11" t="s">
        <v>886</v>
      </c>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row>
    <row r="9" spans="1:178" ht="30" customHeight="1" x14ac:dyDescent="0.25">
      <c r="A9" s="32"/>
      <c r="B9" s="11">
        <v>6</v>
      </c>
      <c r="C9" s="11" t="s">
        <v>412</v>
      </c>
      <c r="D9" s="378" t="s">
        <v>412</v>
      </c>
      <c r="E9" s="11" t="s">
        <v>888</v>
      </c>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row>
    <row r="10" spans="1:178" ht="30" customHeight="1" x14ac:dyDescent="0.25">
      <c r="A10" s="32"/>
      <c r="B10" s="11">
        <v>7</v>
      </c>
      <c r="C10" s="11" t="s">
        <v>791</v>
      </c>
      <c r="D10" s="378" t="s">
        <v>791</v>
      </c>
      <c r="E10" s="11" t="s">
        <v>889</v>
      </c>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row>
    <row r="11" spans="1:178" ht="30" customHeight="1" x14ac:dyDescent="0.25">
      <c r="A11" s="32"/>
      <c r="B11" s="11">
        <v>8</v>
      </c>
      <c r="C11" s="11" t="s">
        <v>759</v>
      </c>
      <c r="D11" s="378" t="s">
        <v>759</v>
      </c>
      <c r="E11" s="11" t="s">
        <v>890</v>
      </c>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row>
    <row r="12" spans="1:178" ht="30" customHeight="1" x14ac:dyDescent="0.25">
      <c r="A12" s="32"/>
      <c r="B12" s="11">
        <v>9</v>
      </c>
      <c r="C12" s="11" t="s">
        <v>44</v>
      </c>
      <c r="D12" s="378" t="s">
        <v>44</v>
      </c>
      <c r="E12" s="11" t="s">
        <v>891</v>
      </c>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row>
    <row r="13" spans="1:178" ht="30" customHeight="1" x14ac:dyDescent="0.25">
      <c r="A13" s="32"/>
      <c r="B13" s="11">
        <v>10</v>
      </c>
      <c r="C13" s="11" t="s">
        <v>15</v>
      </c>
      <c r="D13" s="378" t="s">
        <v>15</v>
      </c>
      <c r="E13" s="11" t="s">
        <v>16</v>
      </c>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row>
    <row r="14" spans="1:178" ht="30" customHeight="1" x14ac:dyDescent="0.25">
      <c r="A14" s="32"/>
      <c r="B14" s="11">
        <v>11</v>
      </c>
      <c r="C14" s="11" t="s">
        <v>249</v>
      </c>
      <c r="D14" s="378" t="s">
        <v>249</v>
      </c>
      <c r="E14" s="11" t="s">
        <v>892</v>
      </c>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row>
    <row r="15" spans="1:178" ht="30" customHeight="1" x14ac:dyDescent="0.25">
      <c r="A15" s="32"/>
      <c r="B15" s="11"/>
      <c r="C15" s="11"/>
      <c r="D15" s="18"/>
      <c r="E15" s="11"/>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row>
    <row r="16" spans="1:178" ht="30" customHeight="1" x14ac:dyDescent="0.25">
      <c r="A16" s="32"/>
      <c r="B16" s="11"/>
      <c r="C16" s="11"/>
      <c r="D16" s="13"/>
      <c r="E16" s="11"/>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row>
    <row r="17" spans="1:178" ht="30" customHeight="1" x14ac:dyDescent="0.25">
      <c r="A17" s="32"/>
      <c r="B17" s="11"/>
      <c r="C17" s="11"/>
      <c r="D17" s="13"/>
      <c r="E17" s="11"/>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row>
    <row r="18" spans="1:178" ht="30" customHeight="1" x14ac:dyDescent="0.25">
      <c r="A18" s="32"/>
      <c r="B18" s="11"/>
      <c r="C18" s="11"/>
      <c r="D18" s="13" t="s">
        <v>18</v>
      </c>
      <c r="E18" s="11"/>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row>
    <row r="19" spans="1:178" ht="30" customHeight="1" x14ac:dyDescent="0.25">
      <c r="A19" s="32"/>
      <c r="B19" s="11"/>
      <c r="C19" s="11"/>
      <c r="D19" s="13"/>
      <c r="E19" s="11"/>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row>
    <row r="20" spans="1:178" x14ac:dyDescent="0.25"/>
    <row r="21" spans="1:178" x14ac:dyDescent="0.25"/>
  </sheetData>
  <sheetProtection algorithmName="SHA-512" hashValue="NQ7c3qPHfVDRheNAPx3lWDpTQGbYf8kxFxsDBqXQAU1FX6iY2+nI2Y+Bxyc8tkDmTyls9tyrd/romqx5s/XTcw==" saltValue="nBvUIG5C8eyg758K0TtZ+Q==" spinCount="100000" sheet="1" objects="1" scenarios="1"/>
  <hyperlinks>
    <hyperlink ref="D18" location="Checks!A1" display="Checks!A1" xr:uid="{BA4DBCCC-DFF9-4DE4-9720-2876B3E6B7F7}"/>
    <hyperlink ref="D4" location="Disclaimer!A1" display="Disclaimer" xr:uid="{3A1B505E-5C91-4321-9B94-38A88ACFE2D9}"/>
    <hyperlink ref="D5" location="Contents!A1" display="Contents" xr:uid="{21DD4F79-9927-4090-9AF8-15BD96C0C6B0}"/>
    <hyperlink ref="D6" location="'User Guide'!A1" display="User guide" xr:uid="{9E0621D9-D3F9-4324-A7E9-9656BA7F3B2D}"/>
    <hyperlink ref="D7" location="OP_Rates!A1" display="OP_Rates" xr:uid="{F9CE69C1-0EFB-47F7-ADFE-FC308FDCF846}"/>
    <hyperlink ref="D8" location="OP_CMAB!A1" display="OP_CMAB" xr:uid="{4A84B47E-879C-4849-92F7-0841BB9203F7}"/>
    <hyperlink ref="D9" location="Calc_Rates!A1" display="Calc_Rates" xr:uid="{0467BC8C-7E1F-42E0-8631-9E29C9611B28}"/>
    <hyperlink ref="D10" location="Calc_TU_values!A1" display="Calc_TU_values" xr:uid="{EE500FD2-BE62-490A-8D76-111C3A034293}"/>
    <hyperlink ref="D11" location="Calc_TU_rates!A1" display="Calc_TU_rates" xr:uid="{AB7F1907-E49E-4124-81C1-C632E83F5758}"/>
    <hyperlink ref="D12" location="Inputs!A1" display="Inputs" xr:uid="{E8FE3E93-7E8F-41FE-8C45-917BB90713FB}"/>
    <hyperlink ref="D13" location="'General Assumptions'!A1" display="General assumptions" xr:uid="{422138CB-344D-4840-BAAC-F4BF28F9F625}"/>
    <hyperlink ref="D14" location="'CPI'!A1" display="CPI" xr:uid="{682C8B4D-C71F-42C9-9C28-096E50C6FDEB}"/>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58D82-5B5E-4363-80FA-0A81DDD02AFA}">
  <sheetPr>
    <tabColor rgb="FFFFB13F"/>
  </sheetPr>
  <dimension ref="A1:BC97"/>
  <sheetViews>
    <sheetView showGridLines="0" topLeftCell="D1" zoomScale="85" zoomScaleNormal="85" workbookViewId="0">
      <pane ySplit="3" topLeftCell="A4" activePane="bottomLeft" state="frozen"/>
      <selection pane="bottomLeft" activeCell="I35" sqref="I35"/>
    </sheetView>
  </sheetViews>
  <sheetFormatPr defaultColWidth="10.5703125" defaultRowHeight="15" outlineLevelCol="1" x14ac:dyDescent="0.25"/>
  <cols>
    <col min="1" max="1" width="100.5703125" hidden="1" customWidth="1" outlineLevel="1"/>
    <col min="2" max="2" width="10.5703125" style="6" customWidth="1" collapsed="1"/>
    <col min="3" max="3" width="30.42578125" customWidth="1"/>
    <col min="4" max="55" width="10.5703125" customWidth="1"/>
  </cols>
  <sheetData>
    <row r="1" spans="1:55" ht="15" customHeight="1" x14ac:dyDescent="0.25">
      <c r="A1" s="1" t="s">
        <v>20</v>
      </c>
      <c r="B1" s="21"/>
      <c r="C1" s="22"/>
      <c r="D1" s="22"/>
      <c r="E1" s="22"/>
      <c r="F1" s="22"/>
      <c r="G1" s="22"/>
      <c r="H1" s="123" t="s">
        <v>411</v>
      </c>
      <c r="I1" s="96"/>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row>
    <row r="2" spans="1:55" s="4" customFormat="1" ht="50.1" customHeight="1" x14ac:dyDescent="0.25">
      <c r="A2" s="382" t="s">
        <v>21</v>
      </c>
      <c r="B2" s="25"/>
      <c r="C2" s="25" t="str">
        <f>Disclaimer!$B$1</f>
        <v>VDO calculation model</v>
      </c>
      <c r="D2" s="25"/>
      <c r="E2" s="25"/>
      <c r="F2" s="25"/>
      <c r="G2" s="25"/>
      <c r="H2" s="41" t="str">
        <f>Calc_Rates!$D$5</f>
        <v>VDO 2022-23 - Draft</v>
      </c>
      <c r="I2" s="41" t="str">
        <f>Calc_Rates!$D$254</f>
        <v>VDO 2022 - Final</v>
      </c>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row>
    <row r="3" spans="1:55" s="4" customFormat="1" ht="30" customHeight="1" x14ac:dyDescent="0.25">
      <c r="A3" s="383"/>
      <c r="B3" s="27">
        <f ca="1">_xlfn.SHEET()</f>
        <v>20</v>
      </c>
      <c r="C3" s="26" t="s">
        <v>440</v>
      </c>
      <c r="D3" s="26"/>
      <c r="E3" s="26"/>
      <c r="F3" s="26"/>
      <c r="G3" s="26"/>
      <c r="H3" s="95" t="e">
        <f>SUM(D14:H14,D24:H24)</f>
        <v>#REF!</v>
      </c>
      <c r="I3" s="95" t="e">
        <f>SUM(D15:H16,D25:H26,O15:S16,O25:S26,AH15:AL16,AH25:AL26)</f>
        <v>#REF!</v>
      </c>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row>
    <row r="4" spans="1:55" x14ac:dyDescent="0.25">
      <c r="B4"/>
    </row>
    <row r="5" spans="1:55" ht="16.5" thickBot="1" x14ac:dyDescent="0.3">
      <c r="A5" s="1" t="s">
        <v>23</v>
      </c>
      <c r="B5" s="9">
        <f ca="1">MAX(B$3:B4)+0.1</f>
        <v>20.100000000000001</v>
      </c>
      <c r="C5" s="28" t="s">
        <v>433</v>
      </c>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row>
    <row r="6" spans="1:55" x14ac:dyDescent="0.25">
      <c r="Q6" s="165"/>
    </row>
    <row r="7" spans="1:55" ht="15.75" x14ac:dyDescent="0.25">
      <c r="C7" s="146" t="s">
        <v>432</v>
      </c>
      <c r="J7" s="146"/>
      <c r="O7" s="146" t="s">
        <v>435</v>
      </c>
      <c r="U7" s="166"/>
      <c r="AG7" s="146" t="s">
        <v>436</v>
      </c>
    </row>
    <row r="8" spans="1:55" ht="15.75" x14ac:dyDescent="0.25">
      <c r="C8" s="29" t="s">
        <v>92</v>
      </c>
      <c r="D8" s="130"/>
      <c r="E8" s="130"/>
      <c r="F8" s="130"/>
      <c r="G8" s="130"/>
      <c r="H8" s="130"/>
      <c r="J8" s="29"/>
      <c r="O8" s="29" t="s">
        <v>92</v>
      </c>
      <c r="P8" s="130"/>
      <c r="Q8" s="130"/>
      <c r="R8" s="130"/>
      <c r="S8" s="130"/>
      <c r="T8" s="130"/>
      <c r="U8" s="29"/>
      <c r="V8" s="130"/>
      <c r="W8" s="29" t="s">
        <v>459</v>
      </c>
      <c r="Z8" s="29" t="s">
        <v>462</v>
      </c>
      <c r="AC8" s="29" t="s">
        <v>458</v>
      </c>
      <c r="AG8" s="29" t="s">
        <v>92</v>
      </c>
      <c r="AH8" s="130"/>
      <c r="AI8" s="130"/>
      <c r="AJ8" s="130"/>
      <c r="AK8" s="130"/>
    </row>
    <row r="9" spans="1:55" ht="15.75" x14ac:dyDescent="0.25">
      <c r="C9" s="43" t="s">
        <v>90</v>
      </c>
      <c r="D9" s="60" t="s">
        <v>268</v>
      </c>
      <c r="E9" s="60" t="s">
        <v>269</v>
      </c>
      <c r="F9" s="60" t="s">
        <v>270</v>
      </c>
      <c r="G9" s="60" t="s">
        <v>271</v>
      </c>
      <c r="H9" s="60" t="s">
        <v>272</v>
      </c>
      <c r="I9" s="163" t="s">
        <v>447</v>
      </c>
      <c r="K9" s="42" t="s">
        <v>455</v>
      </c>
      <c r="L9" s="42" t="s">
        <v>456</v>
      </c>
      <c r="M9" s="42" t="s">
        <v>457</v>
      </c>
      <c r="O9" s="43" t="s">
        <v>90</v>
      </c>
      <c r="P9" s="60" t="s">
        <v>268</v>
      </c>
      <c r="Q9" s="60" t="s">
        <v>269</v>
      </c>
      <c r="R9" s="60" t="s">
        <v>270</v>
      </c>
      <c r="S9" s="60" t="s">
        <v>271</v>
      </c>
      <c r="T9" s="60" t="s">
        <v>272</v>
      </c>
      <c r="U9" s="163" t="s">
        <v>447</v>
      </c>
      <c r="V9" s="130"/>
      <c r="W9" s="50" t="s">
        <v>460</v>
      </c>
      <c r="X9" s="50" t="s">
        <v>461</v>
      </c>
      <c r="Y9" s="138"/>
      <c r="Z9" s="50" t="s">
        <v>460</v>
      </c>
      <c r="AA9" s="50" t="s">
        <v>461</v>
      </c>
      <c r="AB9" s="138"/>
      <c r="AC9" s="50" t="s">
        <v>460</v>
      </c>
      <c r="AD9" s="50" t="s">
        <v>461</v>
      </c>
      <c r="AE9" s="130"/>
      <c r="AF9" s="130"/>
      <c r="AG9" s="43" t="s">
        <v>90</v>
      </c>
      <c r="AH9" s="60" t="s">
        <v>268</v>
      </c>
      <c r="AI9" s="60" t="s">
        <v>269</v>
      </c>
      <c r="AJ9" s="60" t="s">
        <v>270</v>
      </c>
      <c r="AK9" s="60" t="s">
        <v>271</v>
      </c>
      <c r="AL9" s="60" t="s">
        <v>272</v>
      </c>
      <c r="AM9" s="163" t="s">
        <v>447</v>
      </c>
      <c r="AN9" s="130"/>
      <c r="AO9" s="130"/>
      <c r="AP9" s="130"/>
      <c r="AQ9" s="130"/>
      <c r="AR9" s="130"/>
      <c r="AS9" s="130"/>
      <c r="AT9" s="130"/>
      <c r="AU9" s="130"/>
      <c r="AV9" s="130"/>
      <c r="AW9" s="130"/>
      <c r="AX9" s="130"/>
      <c r="AY9" s="130"/>
      <c r="AZ9" s="130"/>
      <c r="BA9" s="130"/>
      <c r="BB9" s="130"/>
      <c r="BC9" s="130"/>
    </row>
    <row r="10" spans="1:55" x14ac:dyDescent="0.25">
      <c r="C10" s="82" t="str">
        <f>Calc_Rates!$D$5</f>
        <v>VDO 2022-23 - Draft</v>
      </c>
      <c r="D10" s="137" t="e">
        <f>'CH_Bill impacts full year 2'!#REF!*H1_Prop</f>
        <v>#REF!</v>
      </c>
      <c r="E10" s="137" t="e">
        <f>'CH_Bill impacts full year 2'!#REF!*H1_Prop</f>
        <v>#REF!</v>
      </c>
      <c r="F10" s="137" t="e">
        <f>'CH_Bill impacts full year 2'!#REF!*H1_Prop</f>
        <v>#REF!</v>
      </c>
      <c r="G10" s="137" t="e">
        <f>'CH_Bill impacts full year 2'!#REF!*H1_Prop</f>
        <v>#REF!</v>
      </c>
      <c r="H10" s="137" t="e">
        <f>'CH_Bill impacts full year 2'!#REF!*H1_Prop</f>
        <v>#REF!</v>
      </c>
      <c r="I10" s="161" t="e">
        <f>AVERAGE(HYBills_RES[[#This Row],[Ausnet]:[United Energy]])</f>
        <v>#REF!</v>
      </c>
      <c r="K10" s="171" t="e">
        <f>MIN(HYBills_RES[[#This Row],[Ausnet]:[Victoria]])</f>
        <v>#REF!</v>
      </c>
      <c r="L10" s="171" t="e">
        <f>MAX(HYBills_RES[[#This Row],[Ausnet]:[Victoria]])</f>
        <v>#REF!</v>
      </c>
      <c r="M10" s="171" t="e">
        <f>L10-K10</f>
        <v>#REF!</v>
      </c>
      <c r="O10" s="59"/>
      <c r="P10" s="137"/>
      <c r="Q10" s="137"/>
      <c r="R10" s="137"/>
      <c r="S10" s="137"/>
      <c r="T10" s="137"/>
      <c r="U10" s="161"/>
      <c r="V10" s="130"/>
      <c r="W10" s="173"/>
      <c r="X10" s="138"/>
      <c r="Y10" s="138"/>
      <c r="Z10" s="173"/>
      <c r="AA10" s="138"/>
      <c r="AB10" s="138"/>
      <c r="AC10" s="138"/>
      <c r="AD10" s="138"/>
      <c r="AE10" s="130"/>
      <c r="AF10" s="130"/>
      <c r="AG10" s="59"/>
      <c r="AH10" s="148"/>
      <c r="AI10" s="148"/>
      <c r="AJ10" s="148"/>
      <c r="AK10" s="148"/>
      <c r="AL10" s="148"/>
      <c r="AM10" s="162"/>
      <c r="AN10" s="130"/>
      <c r="AO10" s="130"/>
      <c r="AP10" s="130"/>
      <c r="AQ10" s="130"/>
      <c r="AR10" s="130"/>
      <c r="AS10" s="130"/>
      <c r="AT10" s="130"/>
      <c r="AU10" s="130"/>
      <c r="AV10" s="130"/>
      <c r="AW10" s="130"/>
      <c r="AX10" s="130"/>
      <c r="AY10" s="130"/>
      <c r="AZ10" s="130"/>
      <c r="BA10" s="130"/>
      <c r="BB10" s="130"/>
      <c r="BC10" s="130"/>
    </row>
    <row r="11" spans="1:55" x14ac:dyDescent="0.25">
      <c r="C11" s="82" t="str">
        <f>Calc_Rates!$D$254&amp;" - Flat"</f>
        <v>VDO 2022 - Final - Flat</v>
      </c>
      <c r="D11" s="137" t="e">
        <f>'CH_Bill impacts full year 2'!#REF!*H2_Prop</f>
        <v>#REF!</v>
      </c>
      <c r="E11" s="137" t="e">
        <f>'CH_Bill impacts full year 2'!#REF!*H2_Prop</f>
        <v>#REF!</v>
      </c>
      <c r="F11" s="137" t="e">
        <f>'CH_Bill impacts full year 2'!#REF!*H2_Prop</f>
        <v>#REF!</v>
      </c>
      <c r="G11" s="137" t="e">
        <f>'CH_Bill impacts full year 2'!#REF!*H2_Prop</f>
        <v>#REF!</v>
      </c>
      <c r="H11" s="137" t="e">
        <f>'CH_Bill impacts full year 2'!#REF!*H2_Prop</f>
        <v>#REF!</v>
      </c>
      <c r="I11" s="161" t="e">
        <f>AVERAGE(HYBills_RES[[#This Row],[Ausnet]:[United Energy]])</f>
        <v>#REF!</v>
      </c>
      <c r="K11" s="171" t="e">
        <f>MIN(HYBills_RES[[#This Row],[Ausnet]:[Victoria]])</f>
        <v>#REF!</v>
      </c>
      <c r="L11" s="171" t="e">
        <f>MAX(HYBills_RES[[#This Row],[Ausnet]:[Victoria]])</f>
        <v>#REF!</v>
      </c>
      <c r="M11" s="171" t="e">
        <f t="shared" ref="M11:M12" si="0">L11-K11</f>
        <v>#REF!</v>
      </c>
      <c r="O11" s="82" t="str">
        <f>Calc_Rates!$D$254&amp;" - Flat"</f>
        <v>VDO 2022 - Final - Flat</v>
      </c>
      <c r="P11" s="145" t="e">
        <f>D11-D$10</f>
        <v>#REF!</v>
      </c>
      <c r="Q11" s="145" t="e">
        <f t="shared" ref="P11:U12" si="1">E11-E$10</f>
        <v>#REF!</v>
      </c>
      <c r="R11" s="145" t="e">
        <f t="shared" si="1"/>
        <v>#REF!</v>
      </c>
      <c r="S11" s="145" t="e">
        <f t="shared" si="1"/>
        <v>#REF!</v>
      </c>
      <c r="T11" s="145" t="e">
        <f t="shared" si="1"/>
        <v>#REF!</v>
      </c>
      <c r="U11" s="145" t="e">
        <f t="shared" si="1"/>
        <v>#REF!</v>
      </c>
      <c r="V11" s="130"/>
      <c r="W11" s="173">
        <f>_xlfn.MINIFS(HYBillImpact_RES[[#This Row],[Ausnet]:[Victoria]],HYBillImpact_RES[[#This Row],[Ausnet]:[Victoria]],"&lt;0")</f>
        <v>0</v>
      </c>
      <c r="X11" s="173" t="str">
        <f>IF(_xlfn.MAXIFS(HYBillImpact_RES[[#This Row],[Ausnet]:[Victoria]],HYBillImpact_RES[[#This Row],[Ausnet]:[Victoria]],"&lt;0")=W11,"-",_xlfn.MAXIFS(HYBillImpact_RES[[#This Row],[Ausnet]:[Victoria]],HYBillImpact_RES[[#This Row],[Ausnet]:[Victoria]],"&lt;0"))</f>
        <v>-</v>
      </c>
      <c r="Y11" s="138"/>
      <c r="Z11" s="173">
        <f>_xlfn.MINIFS(HYBillImpact_RES[[#This Row],[Ausnet]:[Victoria]],HYBillImpact_RES[[#This Row],[Ausnet]:[Victoria]],"&gt;0")</f>
        <v>0</v>
      </c>
      <c r="AA11" s="173" t="str">
        <f>IF(_xlfn.MAXIFS(HYBillImpact_RES[[#This Row],[Ausnet]:[Victoria]],HYBillImpact_RES[[#This Row],[Ausnet]:[Victoria]],"&gt;0")=Z11,"-",_xlfn.MAXIFS(HYBillImpact_RES[[#This Row],[Ausnet]:[Victoria]],HYBillImpact_RES[[#This Row],[Ausnet]:[Victoria]],"&gt;0"))</f>
        <v>-</v>
      </c>
      <c r="AB11" s="138"/>
      <c r="AC11" s="173">
        <f>MIN(W11:X11)</f>
        <v>0</v>
      </c>
      <c r="AD11" s="173">
        <f>MAX(Z11:AA11)</f>
        <v>0</v>
      </c>
      <c r="AE11" s="130"/>
      <c r="AF11" s="130"/>
      <c r="AG11" s="82" t="str">
        <f>Calc_Rates!$D$254&amp;" - Flat"</f>
        <v>VDO 2022 - Final - Flat</v>
      </c>
      <c r="AH11" s="147" t="e">
        <f t="shared" ref="AH11:AM12" si="2">P11/D$10</f>
        <v>#REF!</v>
      </c>
      <c r="AI11" s="147" t="e">
        <f t="shared" si="2"/>
        <v>#REF!</v>
      </c>
      <c r="AJ11" s="147" t="e">
        <f t="shared" si="2"/>
        <v>#REF!</v>
      </c>
      <c r="AK11" s="147" t="e">
        <f t="shared" si="2"/>
        <v>#REF!</v>
      </c>
      <c r="AL11" s="147" t="e">
        <f t="shared" si="2"/>
        <v>#REF!</v>
      </c>
      <c r="AM11" s="147" t="e">
        <f t="shared" si="2"/>
        <v>#REF!</v>
      </c>
      <c r="AN11" s="130"/>
      <c r="AO11" s="130"/>
      <c r="AP11" s="130"/>
      <c r="AQ11" s="130"/>
      <c r="AR11" s="130"/>
      <c r="AS11" s="130"/>
      <c r="AT11" s="130"/>
      <c r="AU11" s="130"/>
      <c r="AV11" s="130"/>
      <c r="AW11" s="130"/>
      <c r="AX11" s="130"/>
      <c r="AY11" s="130"/>
      <c r="AZ11" s="130"/>
      <c r="BA11" s="130"/>
      <c r="BB11" s="130"/>
      <c r="BC11" s="130"/>
    </row>
    <row r="12" spans="1:55" x14ac:dyDescent="0.25">
      <c r="C12" s="82" t="str">
        <f>Calc_Rates!$D$254&amp;" - TOU"</f>
        <v>VDO 2022 - Final - TOU</v>
      </c>
      <c r="D12" s="137" t="e">
        <f>'CH_Bill impacts full year 2'!#REF!*H2_Prop</f>
        <v>#REF!</v>
      </c>
      <c r="E12" s="137" t="e">
        <f>'CH_Bill impacts full year 2'!#REF!*H2_Prop</f>
        <v>#REF!</v>
      </c>
      <c r="F12" s="137" t="e">
        <f>'CH_Bill impacts full year 2'!#REF!*H2_Prop</f>
        <v>#REF!</v>
      </c>
      <c r="G12" s="137" t="e">
        <f>'CH_Bill impacts full year 2'!#REF!*H2_Prop</f>
        <v>#REF!</v>
      </c>
      <c r="H12" s="137" t="e">
        <f>'CH_Bill impacts full year 2'!#REF!*H2_Prop</f>
        <v>#REF!</v>
      </c>
      <c r="I12" s="161" t="e">
        <f>AVERAGE(HYBills_RES[[#This Row],[Ausnet]:[United Energy]])</f>
        <v>#REF!</v>
      </c>
      <c r="K12" s="171" t="e">
        <f>MIN(HYBills_RES[[#This Row],[Ausnet]:[Victoria]])</f>
        <v>#REF!</v>
      </c>
      <c r="L12" s="171" t="e">
        <f>MAX(HYBills_RES[[#This Row],[Ausnet]:[Victoria]])</f>
        <v>#REF!</v>
      </c>
      <c r="M12" s="171" t="e">
        <f t="shared" si="0"/>
        <v>#REF!</v>
      </c>
      <c r="O12" s="82" t="str">
        <f>Calc_Rates!$D$254&amp;" - TOU"</f>
        <v>VDO 2022 - Final - TOU</v>
      </c>
      <c r="P12" s="145" t="e">
        <f t="shared" si="1"/>
        <v>#REF!</v>
      </c>
      <c r="Q12" s="145" t="e">
        <f t="shared" si="1"/>
        <v>#REF!</v>
      </c>
      <c r="R12" s="145" t="e">
        <f t="shared" si="1"/>
        <v>#REF!</v>
      </c>
      <c r="S12" s="145" t="e">
        <f t="shared" si="1"/>
        <v>#REF!</v>
      </c>
      <c r="T12" s="145" t="e">
        <f t="shared" si="1"/>
        <v>#REF!</v>
      </c>
      <c r="U12" s="145" t="e">
        <f t="shared" si="1"/>
        <v>#REF!</v>
      </c>
      <c r="V12" s="130"/>
      <c r="W12" s="173">
        <f>_xlfn.MINIFS(HYBillImpact_RES[[#This Row],[Ausnet]:[Victoria]],HYBillImpact_RES[[#This Row],[Ausnet]:[Victoria]],"&lt;0")</f>
        <v>0</v>
      </c>
      <c r="X12" s="173" t="str">
        <f>IF(_xlfn.MAXIFS(HYBillImpact_RES[[#This Row],[Ausnet]:[Victoria]],HYBillImpact_RES[[#This Row],[Ausnet]:[Victoria]],"&lt;0")=W12,"-",_xlfn.MAXIFS(HYBillImpact_RES[[#This Row],[Ausnet]:[Victoria]],HYBillImpact_RES[[#This Row],[Ausnet]:[Victoria]],"&lt;0"))</f>
        <v>-</v>
      </c>
      <c r="Y12" s="138"/>
      <c r="Z12" s="173">
        <f>_xlfn.MINIFS(HYBillImpact_RES[[#This Row],[Ausnet]:[Victoria]],HYBillImpact_RES[[#This Row],[Ausnet]:[Victoria]],"&gt;0")</f>
        <v>0</v>
      </c>
      <c r="AA12" s="173" t="str">
        <f>IF(_xlfn.MAXIFS(HYBillImpact_RES[[#This Row],[Ausnet]:[Victoria]],HYBillImpact_RES[[#This Row],[Ausnet]:[Victoria]],"&gt;0")=Z12,"-",_xlfn.MAXIFS(HYBillImpact_RES[[#This Row],[Ausnet]:[Victoria]],HYBillImpact_RES[[#This Row],[Ausnet]:[Victoria]],"&gt;0"))</f>
        <v>-</v>
      </c>
      <c r="AB12" s="138"/>
      <c r="AC12" s="173">
        <f>MIN(W12:X12)</f>
        <v>0</v>
      </c>
      <c r="AD12" s="173">
        <f>MAX(Z12:AA12)</f>
        <v>0</v>
      </c>
      <c r="AE12" s="130"/>
      <c r="AF12" s="130"/>
      <c r="AG12" s="82" t="str">
        <f>Calc_Rates!$D$254&amp;" - TOU"</f>
        <v>VDO 2022 - Final - TOU</v>
      </c>
      <c r="AH12" s="147" t="e">
        <f t="shared" si="2"/>
        <v>#REF!</v>
      </c>
      <c r="AI12" s="147" t="e">
        <f t="shared" si="2"/>
        <v>#REF!</v>
      </c>
      <c r="AJ12" s="147" t="e">
        <f t="shared" si="2"/>
        <v>#REF!</v>
      </c>
      <c r="AK12" s="147" t="e">
        <f t="shared" si="2"/>
        <v>#REF!</v>
      </c>
      <c r="AL12" s="147" t="e">
        <f t="shared" si="2"/>
        <v>#REF!</v>
      </c>
      <c r="AM12" s="147" t="e">
        <f t="shared" si="2"/>
        <v>#REF!</v>
      </c>
      <c r="AN12" s="130"/>
      <c r="AO12" s="130"/>
      <c r="AP12" s="130"/>
      <c r="AQ12" s="130"/>
      <c r="AR12" s="130"/>
      <c r="AS12" s="130"/>
      <c r="AT12" s="130"/>
      <c r="AU12" s="130"/>
      <c r="AV12" s="130"/>
      <c r="AW12" s="130"/>
      <c r="AX12" s="130"/>
      <c r="AY12" s="130"/>
      <c r="AZ12" s="130"/>
      <c r="BA12" s="130"/>
      <c r="BB12" s="130"/>
      <c r="BC12" s="130"/>
    </row>
    <row r="13" spans="1:55" x14ac:dyDescent="0.25">
      <c r="C13" s="130"/>
      <c r="D13" s="130"/>
      <c r="E13" s="130"/>
      <c r="F13" s="130"/>
      <c r="G13" s="130"/>
      <c r="H13" s="130"/>
      <c r="J13" s="130"/>
      <c r="O13" s="130"/>
      <c r="P13" s="130"/>
      <c r="Q13" s="130"/>
      <c r="R13" s="130"/>
      <c r="S13" s="130"/>
      <c r="T13" s="130"/>
      <c r="U13" s="130"/>
      <c r="V13" s="130"/>
      <c r="W13" s="138"/>
      <c r="X13" s="138"/>
      <c r="Y13" s="138"/>
      <c r="Z13" s="138"/>
      <c r="AA13" s="138"/>
      <c r="AB13" s="138"/>
      <c r="AC13" s="138"/>
      <c r="AD13" s="138"/>
      <c r="AG13" s="130"/>
      <c r="AH13" s="130"/>
      <c r="AI13" s="130"/>
      <c r="AJ13" s="130"/>
      <c r="AK13" s="130"/>
    </row>
    <row r="14" spans="1:55" ht="15.75" x14ac:dyDescent="0.25">
      <c r="C14" s="130"/>
      <c r="D14" s="93" t="e">
        <f>IF(D10=INDEX(#REF!,MATCH('CH_Bill impacts half year'!$C10,#REF!,0),MATCH(HYBills_RES[[#Headers],[Ausnet]],#REF!,0))*H1_Prop,0,1)</f>
        <v>#REF!</v>
      </c>
      <c r="E14" s="93" t="e">
        <f>IF(E10=INDEX(#REF!,MATCH('CH_Bill impacts half year'!$C10,#REF!,0),MATCH(HYBills_RES[[#Headers],[Citipower]],#REF!,0))*H1_Prop,0,1)</f>
        <v>#REF!</v>
      </c>
      <c r="F14" s="93" t="e">
        <f>IF(F10=INDEX(#REF!,MATCH('CH_Bill impacts half year'!$C10,#REF!,0),MATCH(HYBills_RES[[#Headers],[Jemena]],#REF!,0))*H1_Prop,0,1)</f>
        <v>#REF!</v>
      </c>
      <c r="G14" s="93" t="e">
        <f>IF(G10=INDEX(#REF!,MATCH('CH_Bill impacts half year'!$C10,#REF!,0),MATCH(HYBills_RES[[#Headers],[Powercor]],#REF!,0))*H1_Prop,0,1)</f>
        <v>#REF!</v>
      </c>
      <c r="H14" s="93" t="e">
        <f>IF(H10=INDEX(#REF!,MATCH('CH_Bill impacts half year'!$C10,#REF!,0),MATCH(HYBills_RES[[#Headers],[United Energy]],#REF!,0))*H1_Prop,0,1)</f>
        <v>#REF!</v>
      </c>
      <c r="I14" s="93" t="e">
        <f>IF(I10=AVERAGE(D10:H10),0,1)</f>
        <v>#REF!</v>
      </c>
      <c r="J14" s="130"/>
      <c r="P14" s="130"/>
      <c r="Q14" s="130"/>
      <c r="R14" s="130"/>
      <c r="S14" s="130"/>
      <c r="T14" s="130"/>
      <c r="U14" s="130"/>
      <c r="V14" s="130"/>
      <c r="W14" s="138"/>
      <c r="X14" s="138"/>
      <c r="Y14" s="138"/>
      <c r="Z14" s="138"/>
      <c r="AA14" s="138"/>
      <c r="AB14" s="138"/>
      <c r="AC14" s="138"/>
      <c r="AD14" s="138"/>
      <c r="AG14" s="130"/>
      <c r="AH14" s="130"/>
      <c r="AI14" s="130"/>
      <c r="AJ14" s="130"/>
      <c r="AK14" s="130"/>
    </row>
    <row r="15" spans="1:55" ht="15.75" x14ac:dyDescent="0.25">
      <c r="C15" s="130"/>
      <c r="D15" s="93" t="e">
        <f>IF(D11=INDEX(#REF!,MATCH('CH_Bill impacts half year'!$C11,#REF!,0),MATCH(HYBills_RES[[#Headers],[Ausnet]],#REF!,0))*H1_Prop,0,1)</f>
        <v>#REF!</v>
      </c>
      <c r="E15" s="93" t="e">
        <f>IF(E11=INDEX(#REF!,MATCH('CH_Bill impacts half year'!$C11,#REF!,0),MATCH(HYBills_RES[[#Headers],[Citipower]],#REF!,0))*H1_Prop,0,1)</f>
        <v>#REF!</v>
      </c>
      <c r="F15" s="93" t="e">
        <f>IF(F11=INDEX(#REF!,MATCH('CH_Bill impacts half year'!$C11,#REF!,0),MATCH(HYBills_RES[[#Headers],[Jemena]],#REF!,0))*H1_Prop,0,1)</f>
        <v>#REF!</v>
      </c>
      <c r="G15" s="93" t="e">
        <f>IF(G11=INDEX(#REF!,MATCH('CH_Bill impacts half year'!$C11,#REF!,0),MATCH(HYBills_RES[[#Headers],[Powercor]],#REF!,0))*H1_Prop,0,1)</f>
        <v>#REF!</v>
      </c>
      <c r="H15" s="93" t="e">
        <f>IF(H11=INDEX(#REF!,MATCH('CH_Bill impacts half year'!$C11,#REF!,0),MATCH(HYBills_RES[[#Headers],[United Energy]],#REF!,0))*H1_Prop,0,1)</f>
        <v>#REF!</v>
      </c>
      <c r="I15" s="93" t="e">
        <f t="shared" ref="I15:I16" si="3">IF(I11=AVERAGE(D11:H11),0,1)</f>
        <v>#REF!</v>
      </c>
      <c r="J15" s="130"/>
      <c r="P15" s="93" t="e">
        <f t="shared" ref="P15:U15" si="4">IF(P11=D11-D10,0,1)</f>
        <v>#REF!</v>
      </c>
      <c r="Q15" s="93" t="e">
        <f t="shared" si="4"/>
        <v>#REF!</v>
      </c>
      <c r="R15" s="93" t="e">
        <f t="shared" si="4"/>
        <v>#REF!</v>
      </c>
      <c r="S15" s="93" t="e">
        <f t="shared" si="4"/>
        <v>#REF!</v>
      </c>
      <c r="T15" s="93" t="e">
        <f t="shared" si="4"/>
        <v>#REF!</v>
      </c>
      <c r="U15" s="93" t="e">
        <f t="shared" si="4"/>
        <v>#REF!</v>
      </c>
      <c r="W15" s="138"/>
      <c r="X15" s="138"/>
      <c r="Y15" s="138"/>
      <c r="Z15" s="138"/>
      <c r="AA15" s="138"/>
      <c r="AB15" s="138"/>
      <c r="AC15" s="138"/>
      <c r="AD15" s="138"/>
      <c r="AH15" s="93" t="e">
        <f t="shared" ref="AH15:AM15" si="5">IF(AH11=(D11-D10)/D10,0,1)</f>
        <v>#REF!</v>
      </c>
      <c r="AI15" s="93" t="e">
        <f t="shared" si="5"/>
        <v>#REF!</v>
      </c>
      <c r="AJ15" s="93" t="e">
        <f t="shared" si="5"/>
        <v>#REF!</v>
      </c>
      <c r="AK15" s="93" t="e">
        <f t="shared" si="5"/>
        <v>#REF!</v>
      </c>
      <c r="AL15" s="93" t="e">
        <f t="shared" si="5"/>
        <v>#REF!</v>
      </c>
      <c r="AM15" s="93" t="e">
        <f t="shared" si="5"/>
        <v>#REF!</v>
      </c>
    </row>
    <row r="16" spans="1:55" ht="15.75" x14ac:dyDescent="0.25">
      <c r="C16" s="130"/>
      <c r="D16" s="93" t="e">
        <f>IF(D12=INDEX(#REF!,MATCH('CH_Bill impacts half year'!$C12,#REF!,0),MATCH(HYBills_RES[[#Headers],[Ausnet]],#REF!,0))*H1_Prop,0,1)</f>
        <v>#REF!</v>
      </c>
      <c r="E16" s="93" t="e">
        <f>IF(E12=INDEX(#REF!,MATCH('CH_Bill impacts half year'!$C12,#REF!,0),MATCH(HYBills_RES[[#Headers],[Citipower]],#REF!,0))*H1_Prop,0,1)</f>
        <v>#REF!</v>
      </c>
      <c r="F16" s="93" t="e">
        <f>IF(F12=INDEX(#REF!,MATCH('CH_Bill impacts half year'!$C12,#REF!,0),MATCH(HYBills_RES[[#Headers],[Jemena]],#REF!,0))*H1_Prop,0,1)</f>
        <v>#REF!</v>
      </c>
      <c r="G16" s="93" t="e">
        <f>IF(G12=INDEX(#REF!,MATCH('CH_Bill impacts half year'!$C12,#REF!,0),MATCH(HYBills_RES[[#Headers],[Powercor]],#REF!,0))*H1_Prop,0,1)</f>
        <v>#REF!</v>
      </c>
      <c r="H16" s="93" t="e">
        <f>IF(H12=INDEX(#REF!,MATCH('CH_Bill impacts half year'!$C12,#REF!,0),MATCH(HYBills_RES[[#Headers],[United Energy]],#REF!,0))*H1_Prop,0,1)</f>
        <v>#REF!</v>
      </c>
      <c r="I16" s="93" t="e">
        <f t="shared" si="3"/>
        <v>#REF!</v>
      </c>
      <c r="J16" s="130"/>
      <c r="P16" s="93" t="e">
        <f t="shared" ref="P16:U16" si="6">IF(P12=D12-D10,0,1)</f>
        <v>#REF!</v>
      </c>
      <c r="Q16" s="93" t="e">
        <f t="shared" si="6"/>
        <v>#REF!</v>
      </c>
      <c r="R16" s="93" t="e">
        <f t="shared" si="6"/>
        <v>#REF!</v>
      </c>
      <c r="S16" s="93" t="e">
        <f t="shared" si="6"/>
        <v>#REF!</v>
      </c>
      <c r="T16" s="93" t="e">
        <f t="shared" si="6"/>
        <v>#REF!</v>
      </c>
      <c r="U16" s="93" t="e">
        <f t="shared" si="6"/>
        <v>#REF!</v>
      </c>
      <c r="W16" s="138"/>
      <c r="X16" s="138"/>
      <c r="Y16" s="138"/>
      <c r="Z16" s="138"/>
      <c r="AA16" s="138"/>
      <c r="AB16" s="138"/>
      <c r="AC16" s="138"/>
      <c r="AD16" s="138"/>
      <c r="AH16" s="93" t="e">
        <f t="shared" ref="AH16:AM16" si="7">IF(AH12=(D12-D10)/D10,0,1)</f>
        <v>#REF!</v>
      </c>
      <c r="AI16" s="93" t="e">
        <f t="shared" si="7"/>
        <v>#REF!</v>
      </c>
      <c r="AJ16" s="93" t="e">
        <f t="shared" si="7"/>
        <v>#REF!</v>
      </c>
      <c r="AK16" s="93" t="e">
        <f t="shared" si="7"/>
        <v>#REF!</v>
      </c>
      <c r="AL16" s="93" t="e">
        <f t="shared" si="7"/>
        <v>#REF!</v>
      </c>
      <c r="AM16" s="93" t="e">
        <f t="shared" si="7"/>
        <v>#REF!</v>
      </c>
    </row>
    <row r="17" spans="1:55" x14ac:dyDescent="0.25">
      <c r="C17" s="130"/>
      <c r="D17" s="130"/>
      <c r="E17" s="130"/>
      <c r="F17" s="130"/>
      <c r="G17" s="130"/>
      <c r="H17" s="130"/>
      <c r="J17" s="130"/>
      <c r="O17" s="130"/>
      <c r="P17" s="130"/>
      <c r="Q17" s="130"/>
      <c r="R17" s="130"/>
      <c r="S17" s="130"/>
      <c r="T17" s="130"/>
      <c r="U17" s="165"/>
      <c r="V17" s="130"/>
      <c r="W17" s="138"/>
      <c r="X17" s="138"/>
      <c r="Y17" s="138"/>
      <c r="Z17" s="138"/>
      <c r="AA17" s="138"/>
      <c r="AB17" s="138"/>
      <c r="AC17" s="138"/>
      <c r="AD17" s="138"/>
      <c r="AG17" s="130"/>
      <c r="AH17" s="130"/>
      <c r="AI17" s="130"/>
      <c r="AJ17" s="130"/>
      <c r="AK17" s="130"/>
    </row>
    <row r="18" spans="1:55" ht="15.75" x14ac:dyDescent="0.25">
      <c r="C18" s="29" t="s">
        <v>93</v>
      </c>
      <c r="D18" s="130"/>
      <c r="E18" s="130"/>
      <c r="F18" s="130"/>
      <c r="G18" s="130"/>
      <c r="H18" s="130"/>
      <c r="J18" s="29"/>
      <c r="O18" s="29" t="s">
        <v>93</v>
      </c>
      <c r="P18" s="130"/>
      <c r="Q18" s="130"/>
      <c r="R18" s="130"/>
      <c r="S18" s="130"/>
      <c r="T18" s="130"/>
      <c r="U18" s="166"/>
      <c r="V18" s="130"/>
      <c r="W18" s="138"/>
      <c r="X18" s="138"/>
      <c r="Y18" s="138"/>
      <c r="Z18" s="138"/>
      <c r="AA18" s="138"/>
      <c r="AB18" s="138"/>
      <c r="AC18" s="138"/>
      <c r="AD18" s="138"/>
      <c r="AG18" s="29" t="s">
        <v>93</v>
      </c>
      <c r="AH18" s="130"/>
      <c r="AI18" s="130"/>
      <c r="AJ18" s="130"/>
      <c r="AK18" s="130"/>
    </row>
    <row r="19" spans="1:55" ht="15.75" x14ac:dyDescent="0.25">
      <c r="C19" s="43" t="s">
        <v>90</v>
      </c>
      <c r="D19" s="60" t="s">
        <v>268</v>
      </c>
      <c r="E19" s="60" t="s">
        <v>269</v>
      </c>
      <c r="F19" s="60" t="s">
        <v>270</v>
      </c>
      <c r="G19" s="60" t="s">
        <v>271</v>
      </c>
      <c r="H19" s="60" t="s">
        <v>272</v>
      </c>
      <c r="I19" s="163" t="s">
        <v>447</v>
      </c>
      <c r="K19" s="42" t="s">
        <v>455</v>
      </c>
      <c r="L19" s="42" t="s">
        <v>456</v>
      </c>
      <c r="M19" s="42" t="s">
        <v>457</v>
      </c>
      <c r="O19" s="43" t="s">
        <v>90</v>
      </c>
      <c r="P19" s="60" t="s">
        <v>268</v>
      </c>
      <c r="Q19" s="60" t="s">
        <v>269</v>
      </c>
      <c r="R19" s="60" t="s">
        <v>270</v>
      </c>
      <c r="S19" s="60" t="s">
        <v>271</v>
      </c>
      <c r="T19" s="60" t="s">
        <v>272</v>
      </c>
      <c r="U19" s="163" t="s">
        <v>447</v>
      </c>
      <c r="V19" s="130"/>
      <c r="W19" s="50" t="s">
        <v>460</v>
      </c>
      <c r="X19" s="50" t="s">
        <v>461</v>
      </c>
      <c r="Y19" s="138"/>
      <c r="Z19" s="50" t="s">
        <v>460</v>
      </c>
      <c r="AA19" s="50" t="s">
        <v>461</v>
      </c>
      <c r="AB19" s="138"/>
      <c r="AC19" s="50" t="s">
        <v>460</v>
      </c>
      <c r="AD19" s="50" t="s">
        <v>461</v>
      </c>
      <c r="AE19" s="130"/>
      <c r="AF19" s="130"/>
      <c r="AG19" s="43" t="s">
        <v>90</v>
      </c>
      <c r="AH19" s="60" t="s">
        <v>268</v>
      </c>
      <c r="AI19" s="60" t="s">
        <v>269</v>
      </c>
      <c r="AJ19" s="60" t="s">
        <v>270</v>
      </c>
      <c r="AK19" s="60" t="s">
        <v>271</v>
      </c>
      <c r="AL19" s="60" t="s">
        <v>272</v>
      </c>
      <c r="AM19" s="163" t="s">
        <v>447</v>
      </c>
      <c r="AN19" s="130"/>
      <c r="AO19" s="130"/>
      <c r="AP19" s="130"/>
      <c r="AQ19" s="130"/>
      <c r="AR19" s="130"/>
      <c r="AS19" s="130"/>
      <c r="AT19" s="130"/>
      <c r="AU19" s="130"/>
      <c r="AV19" s="130"/>
      <c r="AW19" s="130"/>
      <c r="AX19" s="130"/>
      <c r="AY19" s="130"/>
      <c r="AZ19" s="130"/>
      <c r="BA19" s="130"/>
      <c r="BB19" s="130"/>
      <c r="BC19" s="130"/>
    </row>
    <row r="20" spans="1:55" x14ac:dyDescent="0.25">
      <c r="C20" s="82" t="str">
        <f>Calc_Rates!$D$5</f>
        <v>VDO 2022-23 - Draft</v>
      </c>
      <c r="D20" s="137" t="e">
        <f>'CH_Bill impacts full year 2'!#REF!*H1_Prop</f>
        <v>#REF!</v>
      </c>
      <c r="E20" s="137" t="e">
        <f>'CH_Bill impacts full year 2'!#REF!*H1_Prop</f>
        <v>#REF!</v>
      </c>
      <c r="F20" s="137" t="e">
        <f>'CH_Bill impacts full year 2'!#REF!*H1_Prop</f>
        <v>#REF!</v>
      </c>
      <c r="G20" s="137" t="e">
        <f>'CH_Bill impacts full year 2'!#REF!*H1_Prop</f>
        <v>#REF!</v>
      </c>
      <c r="H20" s="137" t="e">
        <f>'CH_Bill impacts full year 2'!#REF!*H1_Prop</f>
        <v>#REF!</v>
      </c>
      <c r="I20" s="137" t="e">
        <f>AVERAGE(HYBills_SME[[#This Row],[Ausnet]:[United Energy]])</f>
        <v>#REF!</v>
      </c>
      <c r="K20" s="171" t="e">
        <f>MIN(HYBills_SME[[#This Row],[Ausnet]:[Victoria]])</f>
        <v>#REF!</v>
      </c>
      <c r="L20" s="171" t="e">
        <f>MAX(HYBills_SME[[#This Row],[Ausnet]:[Victoria]])</f>
        <v>#REF!</v>
      </c>
      <c r="M20" s="171" t="e">
        <f>L20-K20</f>
        <v>#REF!</v>
      </c>
      <c r="O20" s="59"/>
      <c r="P20" s="137"/>
      <c r="Q20" s="137"/>
      <c r="R20" s="137"/>
      <c r="S20" s="137"/>
      <c r="T20" s="137"/>
      <c r="U20" s="145"/>
      <c r="V20" s="130"/>
      <c r="W20" s="173"/>
      <c r="X20" s="138"/>
      <c r="Y20" s="138"/>
      <c r="Z20" s="173"/>
      <c r="AA20" s="138"/>
      <c r="AB20" s="138"/>
      <c r="AC20" s="138"/>
      <c r="AD20" s="138"/>
      <c r="AE20" s="130"/>
      <c r="AF20" s="130"/>
      <c r="AG20" s="59"/>
      <c r="AH20" s="148"/>
      <c r="AI20" s="148"/>
      <c r="AJ20" s="148"/>
      <c r="AK20" s="148"/>
      <c r="AL20" s="148"/>
      <c r="AM20" s="148"/>
      <c r="AN20" s="130"/>
      <c r="AO20" s="130"/>
      <c r="AP20" s="130"/>
      <c r="AQ20" s="130"/>
      <c r="AR20" s="130"/>
      <c r="AS20" s="130"/>
      <c r="AT20" s="130"/>
      <c r="AU20" s="130"/>
      <c r="AV20" s="130"/>
      <c r="AW20" s="130"/>
      <c r="AX20" s="130"/>
      <c r="AY20" s="130"/>
      <c r="AZ20" s="130"/>
      <c r="BA20" s="130"/>
      <c r="BB20" s="130"/>
      <c r="BC20" s="130"/>
    </row>
    <row r="21" spans="1:55" x14ac:dyDescent="0.25">
      <c r="C21" s="82" t="str">
        <f>Calc_Rates!$D$254&amp;" - Flat"</f>
        <v>VDO 2022 - Final - Flat</v>
      </c>
      <c r="D21" s="137" t="e">
        <f>'CH_Bill impacts full year 2'!#REF!*H2_Prop</f>
        <v>#REF!</v>
      </c>
      <c r="E21" s="137" t="e">
        <f>'CH_Bill impacts full year 2'!#REF!*H2_Prop</f>
        <v>#REF!</v>
      </c>
      <c r="F21" s="137" t="e">
        <f>'CH_Bill impacts full year 2'!#REF!*H2_Prop</f>
        <v>#REF!</v>
      </c>
      <c r="G21" s="137" t="e">
        <f>'CH_Bill impacts full year 2'!#REF!*H2_Prop</f>
        <v>#REF!</v>
      </c>
      <c r="H21" s="137" t="e">
        <f>'CH_Bill impacts full year 2'!#REF!*H2_Prop</f>
        <v>#REF!</v>
      </c>
      <c r="I21" s="137" t="e">
        <f>AVERAGE(HYBills_SME[[#This Row],[Ausnet]:[United Energy]])</f>
        <v>#REF!</v>
      </c>
      <c r="K21" s="171" t="e">
        <f>MIN(HYBills_SME[[#This Row],[Ausnet]:[Victoria]])</f>
        <v>#REF!</v>
      </c>
      <c r="L21" s="171" t="e">
        <f>MAX(HYBills_SME[[#This Row],[Ausnet]:[Victoria]])</f>
        <v>#REF!</v>
      </c>
      <c r="M21" s="171" t="e">
        <f t="shared" ref="M21:M22" si="8">L21-K21</f>
        <v>#REF!</v>
      </c>
      <c r="O21" s="82" t="str">
        <f>Calc_Rates!$D$254&amp;" - Flat"</f>
        <v>VDO 2022 - Final - Flat</v>
      </c>
      <c r="P21" s="145" t="e">
        <f t="shared" ref="P21:U22" si="9">D21-D$20</f>
        <v>#REF!</v>
      </c>
      <c r="Q21" s="145" t="e">
        <f t="shared" si="9"/>
        <v>#REF!</v>
      </c>
      <c r="R21" s="145" t="e">
        <f t="shared" si="9"/>
        <v>#REF!</v>
      </c>
      <c r="S21" s="145" t="e">
        <f t="shared" si="9"/>
        <v>#REF!</v>
      </c>
      <c r="T21" s="145" t="e">
        <f t="shared" si="9"/>
        <v>#REF!</v>
      </c>
      <c r="U21" s="145" t="e">
        <f t="shared" si="9"/>
        <v>#REF!</v>
      </c>
      <c r="V21" s="130"/>
      <c r="W21" s="173">
        <f>_xlfn.MINIFS(HYBillImpact_SME[[#This Row],[Ausnet]:[Victoria]],HYBillImpact_SME[[#This Row],[Ausnet]:[Victoria]],"&lt;0")</f>
        <v>0</v>
      </c>
      <c r="X21" s="173" t="str">
        <f>IF(_xlfn.MAXIFS(HYBillImpact_SME[[#This Row],[Ausnet]:[Victoria]],HYBillImpact_SME[[#This Row],[Ausnet]:[Victoria]],"&lt;0")=W21,"-",_xlfn.MAXIFS(HYBillImpact_SME[[#This Row],[Ausnet]:[Victoria]],HYBillImpact_SME[[#This Row],[Ausnet]:[Victoria]],"&lt;0"))</f>
        <v>-</v>
      </c>
      <c r="Y21" s="138"/>
      <c r="Z21" s="173">
        <f>_xlfn.MINIFS(HYBillImpact_SME[[#This Row],[Ausnet]:[Victoria]],HYBillImpact_SME[[#This Row],[Ausnet]:[Victoria]],"&gt;0")</f>
        <v>0</v>
      </c>
      <c r="AA21" s="173" t="str">
        <f>IF(_xlfn.MAXIFS(HYBillImpact_SME[[#This Row],[Ausnet]:[Victoria]],HYBillImpact_SME[[#This Row],[Ausnet]:[Victoria]],"&gt;0")=Z21,"-",_xlfn.MAXIFS(HYBillImpact_SME[[#This Row],[Ausnet]:[Victoria]],HYBillImpact_SME[[#This Row],[Ausnet]:[Victoria]],"&gt;0"))</f>
        <v>-</v>
      </c>
      <c r="AB21" s="138"/>
      <c r="AC21" s="173">
        <f t="shared" ref="AC21" si="10">MIN(W21:X21)</f>
        <v>0</v>
      </c>
      <c r="AD21" s="173">
        <f t="shared" ref="AD21" si="11">MAX(Z21:AA21)</f>
        <v>0</v>
      </c>
      <c r="AE21" s="130"/>
      <c r="AF21" s="130"/>
      <c r="AG21" s="82" t="str">
        <f>Calc_Rates!$D$254&amp;" - Flat"</f>
        <v>VDO 2022 - Final - Flat</v>
      </c>
      <c r="AH21" s="147" t="e">
        <f t="shared" ref="AH21:AM22" si="12">P21/D$20</f>
        <v>#REF!</v>
      </c>
      <c r="AI21" s="147" t="e">
        <f t="shared" si="12"/>
        <v>#REF!</v>
      </c>
      <c r="AJ21" s="147" t="e">
        <f t="shared" si="12"/>
        <v>#REF!</v>
      </c>
      <c r="AK21" s="147" t="e">
        <f t="shared" si="12"/>
        <v>#REF!</v>
      </c>
      <c r="AL21" s="147" t="e">
        <f t="shared" si="12"/>
        <v>#REF!</v>
      </c>
      <c r="AM21" s="147" t="e">
        <f t="shared" si="12"/>
        <v>#REF!</v>
      </c>
      <c r="AN21" s="130"/>
      <c r="AO21" s="130"/>
      <c r="AP21" s="130"/>
      <c r="AQ21" s="130"/>
      <c r="AR21" s="130"/>
      <c r="AS21" s="130"/>
      <c r="AT21" s="130"/>
      <c r="AU21" s="130"/>
      <c r="AV21" s="130"/>
      <c r="AW21" s="130"/>
      <c r="AX21" s="130"/>
      <c r="AY21" s="130"/>
      <c r="AZ21" s="130"/>
      <c r="BA21" s="130"/>
      <c r="BB21" s="130"/>
      <c r="BC21" s="130"/>
    </row>
    <row r="22" spans="1:55" x14ac:dyDescent="0.25">
      <c r="C22" s="82" t="str">
        <f>Calc_Rates!$D$254&amp;" - TOU"</f>
        <v>VDO 2022 - Final - TOU</v>
      </c>
      <c r="D22" s="137" t="e">
        <f>'CH_Bill impacts full year 2'!#REF!*H2_Prop</f>
        <v>#REF!</v>
      </c>
      <c r="E22" s="137" t="e">
        <f>'CH_Bill impacts full year 2'!#REF!*H2_Prop</f>
        <v>#REF!</v>
      </c>
      <c r="F22" s="137" t="e">
        <f>'CH_Bill impacts full year 2'!#REF!*H2_Prop</f>
        <v>#REF!</v>
      </c>
      <c r="G22" s="137" t="e">
        <f>'CH_Bill impacts full year 2'!#REF!*H2_Prop</f>
        <v>#REF!</v>
      </c>
      <c r="H22" s="137" t="e">
        <f>'CH_Bill impacts full year 2'!#REF!*H2_Prop</f>
        <v>#REF!</v>
      </c>
      <c r="I22" s="137" t="e">
        <f>AVERAGE(HYBills_SME[[#This Row],[Ausnet]:[United Energy]])</f>
        <v>#REF!</v>
      </c>
      <c r="K22" s="171" t="e">
        <f>MIN(HYBills_SME[[#This Row],[Ausnet]:[Victoria]])</f>
        <v>#REF!</v>
      </c>
      <c r="L22" s="171" t="e">
        <f>MAX(HYBills_SME[[#This Row],[Ausnet]:[Victoria]])</f>
        <v>#REF!</v>
      </c>
      <c r="M22" s="171" t="e">
        <f t="shared" si="8"/>
        <v>#REF!</v>
      </c>
      <c r="O22" s="82" t="str">
        <f>Calc_Rates!$D$254&amp;" - TOU"</f>
        <v>VDO 2022 - Final - TOU</v>
      </c>
      <c r="P22" s="175" t="e">
        <f>D22-D$20</f>
        <v>#REF!</v>
      </c>
      <c r="Q22" s="175" t="e">
        <f t="shared" si="9"/>
        <v>#REF!</v>
      </c>
      <c r="R22" s="175" t="e">
        <f t="shared" si="9"/>
        <v>#REF!</v>
      </c>
      <c r="S22" s="175" t="e">
        <f t="shared" si="9"/>
        <v>#REF!</v>
      </c>
      <c r="T22" s="175" t="e">
        <f>H22-H$20</f>
        <v>#REF!</v>
      </c>
      <c r="U22" s="175" t="e">
        <f>I22-I$20</f>
        <v>#REF!</v>
      </c>
      <c r="V22" s="130"/>
      <c r="W22" s="173">
        <f>_xlfn.MINIFS(HYBillImpact_SME[[#This Row],[Ausnet]:[Victoria]],HYBillImpact_SME[[#This Row],[Ausnet]:[Victoria]],"&lt;0")</f>
        <v>0</v>
      </c>
      <c r="X22" s="173" t="str">
        <f>IF(_xlfn.MAXIFS(HYBillImpact_SME[[#This Row],[Ausnet]:[Victoria]],HYBillImpact_SME[[#This Row],[Ausnet]:[Victoria]],"&lt;0")=W22,"-",_xlfn.MAXIFS(HYBillImpact_SME[[#This Row],[Ausnet]:[Victoria]],HYBillImpact_SME[[#This Row],[Ausnet]:[Victoria]],"&lt;0"))</f>
        <v>-</v>
      </c>
      <c r="Y22" s="138"/>
      <c r="Z22" s="173">
        <f>_xlfn.MINIFS(HYBillImpact_SME[[#This Row],[Ausnet]:[Victoria]],HYBillImpact_SME[[#This Row],[Ausnet]:[Victoria]],"&gt;0")</f>
        <v>0</v>
      </c>
      <c r="AA22" s="173" t="str">
        <f>IF(_xlfn.MAXIFS(HYBillImpact_SME[[#This Row],[Ausnet]:[Victoria]],HYBillImpact_SME[[#This Row],[Ausnet]:[Victoria]],"&gt;0")=Z22,"-",_xlfn.MAXIFS(HYBillImpact_SME[[#This Row],[Ausnet]:[Victoria]],HYBillImpact_SME[[#This Row],[Ausnet]:[Victoria]],"&gt;0"))</f>
        <v>-</v>
      </c>
      <c r="AB22" s="138"/>
      <c r="AC22" s="173">
        <f>MIN(W22:X22)</f>
        <v>0</v>
      </c>
      <c r="AD22" s="173">
        <f>MAX(Z22:AA22)</f>
        <v>0</v>
      </c>
      <c r="AE22" s="130"/>
      <c r="AF22" s="130"/>
      <c r="AG22" s="82" t="str">
        <f>Calc_Rates!$D$254&amp;" - TOU"</f>
        <v>VDO 2022 - Final - TOU</v>
      </c>
      <c r="AH22" s="147" t="e">
        <f t="shared" si="12"/>
        <v>#REF!</v>
      </c>
      <c r="AI22" s="147" t="e">
        <f t="shared" si="12"/>
        <v>#REF!</v>
      </c>
      <c r="AJ22" s="147" t="e">
        <f t="shared" si="12"/>
        <v>#REF!</v>
      </c>
      <c r="AK22" s="147" t="e">
        <f t="shared" si="12"/>
        <v>#REF!</v>
      </c>
      <c r="AL22" s="147" t="e">
        <f t="shared" si="12"/>
        <v>#REF!</v>
      </c>
      <c r="AM22" s="147" t="e">
        <f t="shared" si="12"/>
        <v>#REF!</v>
      </c>
      <c r="AN22" s="130"/>
      <c r="AO22" s="130"/>
      <c r="AP22" s="130"/>
      <c r="AQ22" s="130"/>
      <c r="AR22" s="130"/>
      <c r="AS22" s="130"/>
      <c r="AT22" s="130"/>
      <c r="AU22" s="130"/>
      <c r="AV22" s="130"/>
      <c r="AW22" s="130"/>
      <c r="AX22" s="130"/>
      <c r="AY22" s="130"/>
      <c r="AZ22" s="130"/>
      <c r="BA22" s="130"/>
      <c r="BB22" s="130"/>
      <c r="BC22" s="130"/>
    </row>
    <row r="23" spans="1:55" x14ac:dyDescent="0.25">
      <c r="C23" s="130"/>
      <c r="D23" s="130"/>
      <c r="E23" s="130"/>
      <c r="F23" s="130"/>
      <c r="G23" s="130"/>
      <c r="H23" s="130"/>
      <c r="I23" s="130"/>
      <c r="J23" s="130"/>
      <c r="O23" s="130"/>
      <c r="P23" s="130"/>
      <c r="Q23" s="130"/>
      <c r="R23" s="130"/>
      <c r="S23" s="130"/>
      <c r="T23" s="130"/>
      <c r="U23" s="130"/>
      <c r="V23" s="130"/>
      <c r="AG23" s="130"/>
      <c r="AH23" s="130"/>
      <c r="AI23" s="130"/>
      <c r="AJ23" s="130"/>
      <c r="AK23" s="130"/>
    </row>
    <row r="24" spans="1:55" ht="15.75" x14ac:dyDescent="0.25">
      <c r="C24" s="130"/>
      <c r="D24" s="93" t="e">
        <f>IF(D20=INDEX(#REF!,MATCH('CH_Bill impacts half year'!$C20,#REF!,0),MATCH(HYBills_RES[[#Headers],[Ausnet]],#REF!,0))*H1_Prop,0,1)</f>
        <v>#REF!</v>
      </c>
      <c r="E24" s="93" t="e">
        <f>IF(E20=INDEX(#REF!,MATCH('CH_Bill impacts half year'!$C20,#REF!,0),MATCH(HYBills_RES[[#Headers],[Citipower]],#REF!,0))*H1_Prop,0,1)</f>
        <v>#REF!</v>
      </c>
      <c r="F24" s="93" t="e">
        <f>IF(F20=INDEX(#REF!,MATCH('CH_Bill impacts half year'!$C20,#REF!,0),MATCH(HYBills_RES[[#Headers],[Jemena]],#REF!,0))*H1_Prop,0,1)</f>
        <v>#REF!</v>
      </c>
      <c r="G24" s="93" t="e">
        <f>IF(G20=INDEX(#REF!,MATCH('CH_Bill impacts half year'!$C20,#REF!,0),MATCH(HYBills_RES[[#Headers],[Powercor]],#REF!,0))*H1_Prop,0,1)</f>
        <v>#REF!</v>
      </c>
      <c r="H24" s="93" t="e">
        <f>IF(H20=INDEX(#REF!,MATCH('CH_Bill impacts half year'!$C20,#REF!,0),MATCH(HYBills_RES[[#Headers],[United Energy]],#REF!,0))*H1_Prop,0,1)</f>
        <v>#REF!</v>
      </c>
      <c r="I24" s="93" t="e">
        <f t="shared" ref="I24:I26" si="13">IF(I20=AVERAGE(D20:H20),0,1)</f>
        <v>#REF!</v>
      </c>
      <c r="J24" s="130"/>
      <c r="O24" s="130"/>
      <c r="P24" s="130"/>
      <c r="Q24" s="130"/>
      <c r="R24" s="130"/>
      <c r="S24" s="130"/>
      <c r="T24" s="130"/>
      <c r="U24" s="130"/>
      <c r="V24" s="130"/>
      <c r="AG24" s="130"/>
      <c r="AH24" s="130"/>
      <c r="AI24" s="130"/>
      <c r="AJ24" s="130"/>
      <c r="AK24" s="130"/>
    </row>
    <row r="25" spans="1:55" ht="15.75" x14ac:dyDescent="0.25">
      <c r="C25" s="130"/>
      <c r="D25" s="93" t="e">
        <f>IF(D21=INDEX(#REF!,MATCH('CH_Bill impacts half year'!$C21,#REF!,0),MATCH(HYBills_RES[[#Headers],[Ausnet]],#REF!,0))*H1_Prop,0,1)</f>
        <v>#REF!</v>
      </c>
      <c r="E25" s="93" t="e">
        <f>IF(E21=INDEX(#REF!,MATCH('CH_Bill impacts half year'!$C21,#REF!,0),MATCH(HYBills_RES[[#Headers],[Citipower]],#REF!,0))*H1_Prop,0,1)</f>
        <v>#REF!</v>
      </c>
      <c r="F25" s="93" t="e">
        <f>IF(F21=INDEX(#REF!,MATCH('CH_Bill impacts half year'!$C21,#REF!,0),MATCH(HYBills_RES[[#Headers],[Jemena]],#REF!,0))*H1_Prop,0,1)</f>
        <v>#REF!</v>
      </c>
      <c r="G25" s="93" t="e">
        <f>IF(G21=INDEX(#REF!,MATCH('CH_Bill impacts half year'!$C21,#REF!,0),MATCH(HYBills_RES[[#Headers],[Powercor]],#REF!,0))*H1_Prop,0,1)</f>
        <v>#REF!</v>
      </c>
      <c r="H25" s="93" t="e">
        <f>IF(H21=INDEX(#REF!,MATCH('CH_Bill impacts half year'!$C21,#REF!,0),MATCH(HYBills_RES[[#Headers],[United Energy]],#REF!,0))*H1_Prop,0,1)</f>
        <v>#REF!</v>
      </c>
      <c r="I25" s="93" t="e">
        <f t="shared" si="13"/>
        <v>#REF!</v>
      </c>
      <c r="J25" s="130"/>
      <c r="P25" s="93" t="e">
        <f t="shared" ref="P25:U25" si="14">IF(P21=D21-D20,0,1)</f>
        <v>#REF!</v>
      </c>
      <c r="Q25" s="93" t="e">
        <f t="shared" si="14"/>
        <v>#REF!</v>
      </c>
      <c r="R25" s="93" t="e">
        <f t="shared" si="14"/>
        <v>#REF!</v>
      </c>
      <c r="S25" s="93" t="e">
        <f t="shared" si="14"/>
        <v>#REF!</v>
      </c>
      <c r="T25" s="93" t="e">
        <f t="shared" si="14"/>
        <v>#REF!</v>
      </c>
      <c r="U25" s="93" t="e">
        <f t="shared" si="14"/>
        <v>#REF!</v>
      </c>
      <c r="AH25" s="93" t="e">
        <f t="shared" ref="AH25:AM25" si="15">IF(AH21=(D21-D20)/D20,0,1)</f>
        <v>#REF!</v>
      </c>
      <c r="AI25" s="93" t="e">
        <f t="shared" si="15"/>
        <v>#REF!</v>
      </c>
      <c r="AJ25" s="93" t="e">
        <f t="shared" si="15"/>
        <v>#REF!</v>
      </c>
      <c r="AK25" s="93" t="e">
        <f t="shared" si="15"/>
        <v>#REF!</v>
      </c>
      <c r="AL25" s="93" t="e">
        <f t="shared" si="15"/>
        <v>#REF!</v>
      </c>
      <c r="AM25" s="93" t="e">
        <f t="shared" si="15"/>
        <v>#REF!</v>
      </c>
    </row>
    <row r="26" spans="1:55" ht="15.75" x14ac:dyDescent="0.25">
      <c r="C26" s="130"/>
      <c r="D26" s="93" t="e">
        <f>IF(D22=INDEX(#REF!,MATCH('CH_Bill impacts half year'!$C22,#REF!,0),MATCH(HYBills_RES[[#Headers],[Ausnet]],#REF!,0))*H1_Prop,0,1)</f>
        <v>#REF!</v>
      </c>
      <c r="E26" s="93" t="e">
        <f>IF(E22=INDEX(#REF!,MATCH('CH_Bill impacts half year'!$C22,#REF!,0),MATCH(HYBills_RES[[#Headers],[Citipower]],#REF!,0))*H1_Prop,0,1)</f>
        <v>#REF!</v>
      </c>
      <c r="F26" s="93" t="e">
        <f>IF(F22=INDEX(#REF!,MATCH('CH_Bill impacts half year'!$C22,#REF!,0),MATCH(HYBills_RES[[#Headers],[Jemena]],#REF!,0))*H1_Prop,0,1)</f>
        <v>#REF!</v>
      </c>
      <c r="G26" s="93" t="e">
        <f>IF(G22=INDEX(#REF!,MATCH('CH_Bill impacts half year'!$C22,#REF!,0),MATCH(HYBills_RES[[#Headers],[Powercor]],#REF!,0))*H1_Prop,0,1)</f>
        <v>#REF!</v>
      </c>
      <c r="H26" s="93" t="e">
        <f>IF(H22=INDEX(#REF!,MATCH('CH_Bill impacts half year'!$C22,#REF!,0),MATCH(HYBills_RES[[#Headers],[United Energy]],#REF!,0))*H1_Prop,0,1)</f>
        <v>#REF!</v>
      </c>
      <c r="I26" s="93" t="e">
        <f t="shared" si="13"/>
        <v>#REF!</v>
      </c>
      <c r="J26" s="130"/>
      <c r="P26" s="93" t="e">
        <f t="shared" ref="P26:U26" si="16">IF(P22=D22-D20,0,1)</f>
        <v>#REF!</v>
      </c>
      <c r="Q26" s="93" t="e">
        <f t="shared" si="16"/>
        <v>#REF!</v>
      </c>
      <c r="R26" s="93" t="e">
        <f t="shared" si="16"/>
        <v>#REF!</v>
      </c>
      <c r="S26" s="93" t="e">
        <f t="shared" si="16"/>
        <v>#REF!</v>
      </c>
      <c r="T26" s="93" t="e">
        <f t="shared" si="16"/>
        <v>#REF!</v>
      </c>
      <c r="U26" s="93" t="e">
        <f t="shared" si="16"/>
        <v>#REF!</v>
      </c>
      <c r="AH26" s="93" t="e">
        <f t="shared" ref="AH26:AM26" si="17">IF(AH22=(D22-D20)/D20,0,1)</f>
        <v>#REF!</v>
      </c>
      <c r="AI26" s="93" t="e">
        <f t="shared" si="17"/>
        <v>#REF!</v>
      </c>
      <c r="AJ26" s="93" t="e">
        <f t="shared" si="17"/>
        <v>#REF!</v>
      </c>
      <c r="AK26" s="93" t="e">
        <f t="shared" si="17"/>
        <v>#REF!</v>
      </c>
      <c r="AL26" s="93" t="e">
        <f t="shared" si="17"/>
        <v>#REF!</v>
      </c>
      <c r="AM26" s="93" t="e">
        <f t="shared" si="17"/>
        <v>#REF!</v>
      </c>
    </row>
    <row r="27" spans="1:55" x14ac:dyDescent="0.25">
      <c r="C27" s="130"/>
      <c r="D27" s="130"/>
      <c r="E27" s="130"/>
      <c r="F27" s="130"/>
      <c r="G27" s="130"/>
      <c r="H27" s="130"/>
      <c r="I27" s="130"/>
      <c r="J27" s="130"/>
      <c r="K27" s="130"/>
      <c r="L27" s="130"/>
      <c r="M27" s="130"/>
      <c r="N27" s="130"/>
      <c r="O27" s="130"/>
      <c r="P27" s="130"/>
      <c r="Q27" s="130"/>
      <c r="R27" s="130"/>
      <c r="S27" s="130"/>
      <c r="T27" s="130"/>
      <c r="U27" s="130"/>
      <c r="V27" s="130"/>
      <c r="W27" s="130"/>
    </row>
    <row r="28" spans="1:55" x14ac:dyDescent="0.25">
      <c r="C28" s="130"/>
      <c r="D28" s="130"/>
      <c r="E28" s="130"/>
      <c r="F28" s="130"/>
      <c r="G28" s="130"/>
      <c r="H28" s="130"/>
      <c r="I28" s="130"/>
      <c r="J28" s="130"/>
      <c r="K28" s="151"/>
      <c r="L28" s="151"/>
      <c r="M28" s="151"/>
      <c r="N28" s="151"/>
      <c r="O28" s="151"/>
      <c r="P28" s="130"/>
      <c r="Q28" s="130"/>
      <c r="R28" s="130"/>
      <c r="S28" s="130"/>
      <c r="T28" s="130"/>
      <c r="U28" s="130"/>
      <c r="V28" s="130"/>
      <c r="W28" s="130"/>
    </row>
    <row r="29" spans="1:55" x14ac:dyDescent="0.25">
      <c r="C29" s="130"/>
      <c r="D29" s="130"/>
      <c r="E29" s="130"/>
      <c r="F29" s="130"/>
      <c r="G29" s="130"/>
      <c r="H29" s="130"/>
      <c r="I29" s="130"/>
      <c r="J29" s="130"/>
      <c r="K29" s="151"/>
      <c r="L29" s="151"/>
      <c r="M29" s="151"/>
      <c r="N29" s="151"/>
      <c r="O29" s="151"/>
      <c r="P29" s="130"/>
      <c r="Q29" s="130"/>
      <c r="R29" s="130"/>
      <c r="S29" s="130"/>
      <c r="T29" s="130"/>
      <c r="U29" s="130"/>
      <c r="V29" s="130"/>
      <c r="W29" s="130"/>
    </row>
    <row r="30" spans="1:55" ht="16.5" thickBot="1" x14ac:dyDescent="0.3">
      <c r="A30" s="1" t="s">
        <v>23</v>
      </c>
      <c r="B30" s="9">
        <f ca="1">MAX(B$3:B29)+0.1</f>
        <v>20.200000000000003</v>
      </c>
      <c r="C30" s="28" t="s">
        <v>424</v>
      </c>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row>
    <row r="31" spans="1:55" x14ac:dyDescent="0.25">
      <c r="C31" s="130"/>
      <c r="D31" s="130"/>
      <c r="E31" s="130"/>
      <c r="F31" s="130"/>
      <c r="G31" s="130"/>
      <c r="H31" s="130"/>
      <c r="I31" s="130"/>
      <c r="J31" s="130"/>
      <c r="K31" s="130"/>
      <c r="L31" s="130"/>
      <c r="M31" s="130"/>
      <c r="N31" s="130"/>
      <c r="O31" s="130"/>
      <c r="P31" s="130"/>
      <c r="Q31" s="130"/>
      <c r="R31" s="130"/>
      <c r="S31" s="130"/>
      <c r="T31" s="130"/>
      <c r="U31" s="130"/>
      <c r="V31" s="130"/>
    </row>
    <row r="32" spans="1:55" x14ac:dyDescent="0.25">
      <c r="C32" s="130"/>
      <c r="D32" s="82" t="str">
        <f>Calc_Rates!$D$5</f>
        <v>VDO 2022-23 - Draft</v>
      </c>
      <c r="E32" s="82" t="str">
        <f>Calc_Rates!$D$254</f>
        <v>VDO 2022 - Final</v>
      </c>
      <c r="F32" s="130"/>
      <c r="G32" s="130"/>
      <c r="H32" s="130"/>
      <c r="I32" s="130"/>
      <c r="K32" s="152"/>
      <c r="L32" s="151"/>
      <c r="M32" s="130"/>
      <c r="N32" s="130"/>
      <c r="O32" s="130"/>
      <c r="P32" s="130"/>
      <c r="Q32" s="130"/>
      <c r="R32" s="130"/>
      <c r="S32" s="130"/>
      <c r="T32" s="130"/>
      <c r="U32" s="130"/>
      <c r="V32" s="130"/>
      <c r="W32" s="130"/>
    </row>
    <row r="33" spans="1:55" x14ac:dyDescent="0.25">
      <c r="C33" s="130" t="s">
        <v>425</v>
      </c>
      <c r="D33" s="141">
        <v>44197</v>
      </c>
      <c r="E33" s="141">
        <v>44378</v>
      </c>
      <c r="F33" s="130"/>
      <c r="G33" s="130"/>
      <c r="H33" s="130"/>
      <c r="I33" s="130"/>
      <c r="K33" s="152"/>
      <c r="L33" s="151"/>
      <c r="M33" s="130"/>
      <c r="N33" s="130"/>
      <c r="O33" s="130"/>
      <c r="P33" s="130"/>
      <c r="Q33" s="130"/>
      <c r="R33" s="130"/>
      <c r="S33" s="130"/>
      <c r="T33" s="130"/>
      <c r="U33" s="130"/>
      <c r="V33" s="130"/>
      <c r="W33" s="130"/>
    </row>
    <row r="34" spans="1:55" x14ac:dyDescent="0.25">
      <c r="C34" s="130" t="s">
        <v>426</v>
      </c>
      <c r="D34" s="141">
        <v>44377</v>
      </c>
      <c r="E34" s="141">
        <v>44561</v>
      </c>
      <c r="F34" s="130"/>
      <c r="G34" s="130"/>
      <c r="H34" s="130"/>
      <c r="I34" s="130"/>
      <c r="J34" s="130"/>
      <c r="K34" s="130"/>
      <c r="L34" s="130"/>
      <c r="M34" s="130"/>
      <c r="N34" s="130"/>
      <c r="O34" s="130"/>
      <c r="P34" s="130"/>
      <c r="Q34" s="130"/>
      <c r="R34" s="130"/>
      <c r="S34" s="130"/>
      <c r="T34" s="130"/>
      <c r="U34" s="130"/>
      <c r="V34" s="130"/>
      <c r="W34" s="130"/>
    </row>
    <row r="35" spans="1:55" x14ac:dyDescent="0.25">
      <c r="C35" s="130" t="s">
        <v>427</v>
      </c>
      <c r="D35" s="142">
        <f>D34-D33+1</f>
        <v>181</v>
      </c>
      <c r="E35" s="142">
        <f>E34-E33+1</f>
        <v>184</v>
      </c>
      <c r="F35" s="130"/>
      <c r="G35" s="130"/>
      <c r="H35" s="130"/>
      <c r="I35" s="130"/>
      <c r="K35" s="153"/>
      <c r="L35" s="150"/>
      <c r="O35" s="150"/>
      <c r="P35" s="150"/>
      <c r="Q35" s="130"/>
      <c r="R35" s="130"/>
      <c r="S35" s="130"/>
      <c r="T35" s="130"/>
      <c r="U35" s="130"/>
      <c r="V35" s="130"/>
      <c r="W35" s="130"/>
    </row>
    <row r="36" spans="1:55" x14ac:dyDescent="0.25">
      <c r="C36" s="130" t="s">
        <v>428</v>
      </c>
      <c r="D36" s="143">
        <f>D35/DiY</f>
        <v>0.49589041095890413</v>
      </c>
      <c r="E36" s="143">
        <f>E35/DiY</f>
        <v>0.50410958904109593</v>
      </c>
      <c r="F36" s="130"/>
      <c r="G36" s="130"/>
      <c r="H36" s="130"/>
      <c r="I36" s="130"/>
      <c r="J36" s="130"/>
      <c r="K36" s="154"/>
      <c r="L36" s="155"/>
      <c r="M36" s="157"/>
      <c r="O36" s="154"/>
      <c r="P36" s="155"/>
      <c r="Q36" s="157"/>
      <c r="R36" s="130"/>
      <c r="S36" s="130"/>
      <c r="T36" s="130"/>
      <c r="U36" s="130"/>
      <c r="V36" s="130"/>
      <c r="W36" s="130"/>
    </row>
    <row r="37" spans="1:55" x14ac:dyDescent="0.25">
      <c r="C37" s="130" t="s">
        <v>429</v>
      </c>
      <c r="D37" s="144">
        <v>0.5</v>
      </c>
      <c r="E37" s="144">
        <v>0.5</v>
      </c>
      <c r="F37" s="130"/>
      <c r="G37" s="130"/>
      <c r="H37" s="130"/>
      <c r="I37" s="130"/>
      <c r="J37" s="130"/>
      <c r="K37" s="154"/>
      <c r="L37" s="155"/>
      <c r="M37" s="157"/>
      <c r="O37" s="154"/>
      <c r="P37" s="155"/>
      <c r="Q37" s="157"/>
      <c r="R37" s="130"/>
      <c r="S37" s="130"/>
      <c r="T37" s="130"/>
      <c r="U37" s="130"/>
      <c r="V37" s="130"/>
      <c r="W37" s="130"/>
    </row>
    <row r="38" spans="1:55" x14ac:dyDescent="0.25">
      <c r="C38" s="130" t="s">
        <v>430</v>
      </c>
      <c r="D38" s="384" t="s">
        <v>434</v>
      </c>
      <c r="E38" s="384"/>
      <c r="F38" s="130"/>
      <c r="G38" s="130"/>
      <c r="H38" s="130"/>
      <c r="I38" s="130"/>
      <c r="J38" s="130"/>
      <c r="K38" s="154"/>
      <c r="L38" s="155"/>
      <c r="M38" s="157"/>
      <c r="O38" s="154"/>
      <c r="P38" s="155"/>
      <c r="Q38" s="157"/>
      <c r="R38" s="130"/>
      <c r="S38" s="130"/>
      <c r="T38" s="130"/>
      <c r="U38" s="130"/>
      <c r="V38" s="130"/>
      <c r="W38" s="130"/>
    </row>
    <row r="39" spans="1:55" x14ac:dyDescent="0.25">
      <c r="C39" s="130" t="s">
        <v>431</v>
      </c>
      <c r="D39" s="143">
        <f>IF($D38="Actual",D36,D37)</f>
        <v>0.5</v>
      </c>
      <c r="E39" s="143">
        <f>IF($D38="Actual",E36,E37)</f>
        <v>0.5</v>
      </c>
      <c r="F39" s="130"/>
      <c r="G39" s="130"/>
      <c r="H39" s="130"/>
      <c r="I39" s="130"/>
      <c r="J39" s="130"/>
      <c r="K39" s="150"/>
      <c r="L39" s="150"/>
      <c r="O39" s="150"/>
      <c r="P39" s="150"/>
      <c r="Q39" s="130"/>
      <c r="R39" s="130"/>
      <c r="S39" s="130"/>
      <c r="T39" s="130"/>
      <c r="U39" s="130"/>
      <c r="V39" s="130"/>
      <c r="W39" s="130"/>
    </row>
    <row r="40" spans="1:55" x14ac:dyDescent="0.25">
      <c r="C40" s="130"/>
      <c r="D40" s="130"/>
      <c r="E40" s="130"/>
      <c r="F40" s="130"/>
      <c r="G40" s="130"/>
      <c r="H40" s="130"/>
      <c r="I40" s="130"/>
      <c r="J40" s="130"/>
      <c r="K40" s="150"/>
      <c r="L40" s="156"/>
      <c r="O40" s="150"/>
      <c r="P40" s="156"/>
      <c r="Q40" s="130"/>
      <c r="R40" s="130"/>
      <c r="S40" s="130"/>
      <c r="T40" s="130"/>
      <c r="U40" s="130"/>
      <c r="V40" s="130"/>
    </row>
    <row r="41" spans="1:55" x14ac:dyDescent="0.25">
      <c r="C41" s="130"/>
      <c r="D41" s="130"/>
      <c r="E41" s="130"/>
      <c r="F41" s="130"/>
      <c r="G41" s="130"/>
      <c r="H41" s="130"/>
      <c r="I41" s="130"/>
      <c r="J41" s="130"/>
      <c r="K41" s="130"/>
      <c r="L41" s="130"/>
      <c r="M41" s="130"/>
      <c r="N41" s="130"/>
      <c r="O41" s="130"/>
      <c r="P41" s="130"/>
      <c r="Q41" s="130"/>
      <c r="R41" s="130"/>
      <c r="S41" s="130"/>
      <c r="T41" s="130"/>
      <c r="U41" s="130"/>
      <c r="V41" s="130"/>
    </row>
    <row r="42" spans="1:55" x14ac:dyDescent="0.25">
      <c r="C42" s="130"/>
      <c r="D42" s="130"/>
      <c r="E42" s="130"/>
      <c r="F42" s="130"/>
      <c r="G42" s="130"/>
      <c r="H42" s="130"/>
      <c r="I42" s="130"/>
      <c r="J42" s="130"/>
      <c r="K42" s="130"/>
      <c r="L42" s="130"/>
      <c r="M42" s="130"/>
      <c r="N42" s="130"/>
      <c r="O42" s="130"/>
      <c r="P42" s="130"/>
      <c r="Q42" s="130"/>
      <c r="R42" s="130"/>
      <c r="S42" s="130"/>
      <c r="T42" s="130"/>
      <c r="U42" s="130"/>
      <c r="V42" s="130"/>
    </row>
    <row r="43" spans="1:55" x14ac:dyDescent="0.25">
      <c r="C43" s="130"/>
      <c r="D43" s="130"/>
      <c r="E43" s="130"/>
      <c r="F43" s="130"/>
      <c r="G43" s="130"/>
      <c r="H43" s="130"/>
      <c r="I43" s="130"/>
      <c r="J43" s="130"/>
      <c r="K43" s="130"/>
      <c r="L43" s="130"/>
      <c r="M43" s="130"/>
      <c r="N43" s="130"/>
      <c r="O43" s="130"/>
      <c r="P43" s="130"/>
      <c r="Q43" s="130"/>
      <c r="R43" s="130"/>
      <c r="S43" s="130"/>
      <c r="T43" s="130"/>
      <c r="U43" s="130"/>
      <c r="V43" s="130"/>
    </row>
    <row r="44" spans="1:55" x14ac:dyDescent="0.25">
      <c r="C44" s="130"/>
      <c r="D44" s="130"/>
      <c r="E44" s="130"/>
      <c r="F44" s="130"/>
      <c r="G44" s="130"/>
      <c r="H44" s="130"/>
      <c r="I44" s="130"/>
      <c r="J44" s="130"/>
      <c r="K44" s="130"/>
      <c r="L44" s="130"/>
      <c r="M44" s="130"/>
      <c r="N44" s="130"/>
      <c r="O44" s="130"/>
      <c r="P44" s="130"/>
      <c r="Q44" s="130"/>
      <c r="R44" s="130"/>
      <c r="S44" s="130"/>
      <c r="T44" s="130"/>
      <c r="U44" s="130"/>
      <c r="V44" s="130"/>
    </row>
    <row r="45" spans="1:55" x14ac:dyDescent="0.25">
      <c r="C45" s="130"/>
      <c r="D45" s="130"/>
      <c r="E45" s="130"/>
      <c r="F45" s="130"/>
      <c r="G45" s="130"/>
      <c r="H45" s="130"/>
      <c r="I45" s="130"/>
      <c r="J45" s="130"/>
      <c r="K45" s="130"/>
      <c r="L45" s="130"/>
      <c r="M45" s="130"/>
      <c r="N45" s="130"/>
      <c r="O45" s="130"/>
      <c r="P45" s="130"/>
      <c r="Q45" s="130"/>
      <c r="R45" s="130"/>
      <c r="S45" s="130"/>
      <c r="T45" s="130"/>
      <c r="U45" s="130"/>
      <c r="V45" s="130"/>
    </row>
    <row r="46" spans="1:55" x14ac:dyDescent="0.25">
      <c r="C46" s="130"/>
      <c r="D46" s="130"/>
      <c r="E46" s="130"/>
      <c r="F46" s="130"/>
      <c r="G46" s="130"/>
      <c r="H46" s="130"/>
      <c r="I46" s="130"/>
      <c r="J46" s="130"/>
      <c r="K46" s="130"/>
      <c r="L46" s="130"/>
      <c r="M46" s="130"/>
      <c r="N46" s="130"/>
      <c r="O46" s="130"/>
      <c r="P46" s="130"/>
      <c r="Q46" s="130"/>
      <c r="R46" s="130"/>
      <c r="S46" s="130"/>
      <c r="T46" s="130"/>
      <c r="U46" s="130"/>
      <c r="V46" s="130"/>
    </row>
    <row r="47" spans="1:55" x14ac:dyDescent="0.25">
      <c r="C47" s="130"/>
      <c r="D47" s="130"/>
      <c r="E47" s="130"/>
      <c r="F47" s="130"/>
      <c r="G47" s="130"/>
      <c r="H47" s="130"/>
      <c r="I47" s="130"/>
      <c r="J47" s="130"/>
      <c r="K47" s="130"/>
      <c r="L47" s="130"/>
      <c r="M47" s="130"/>
      <c r="N47" s="130"/>
      <c r="O47" s="130"/>
      <c r="P47" s="130"/>
      <c r="Q47" s="130"/>
      <c r="R47" s="130"/>
      <c r="S47" s="130"/>
      <c r="T47" s="130"/>
      <c r="U47" s="130"/>
      <c r="V47" s="130"/>
    </row>
    <row r="48" spans="1:55" ht="16.5" thickBot="1" x14ac:dyDescent="0.3">
      <c r="A48" s="1" t="s">
        <v>23</v>
      </c>
      <c r="B48" s="9">
        <f ca="1">MAX(B$3:B47)+0.1</f>
        <v>20.300000000000004</v>
      </c>
      <c r="C48" s="28" t="s">
        <v>437</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row>
    <row r="49" spans="3:23" x14ac:dyDescent="0.25">
      <c r="C49" s="130"/>
      <c r="D49" s="130"/>
      <c r="E49" s="130"/>
      <c r="F49" s="130"/>
      <c r="G49" s="130"/>
      <c r="H49" s="130"/>
      <c r="I49" s="130"/>
      <c r="J49" s="130"/>
      <c r="K49" s="130"/>
      <c r="L49" s="130"/>
      <c r="M49" s="130"/>
      <c r="N49" s="130"/>
      <c r="O49" s="130"/>
      <c r="P49" s="130"/>
      <c r="Q49" s="130"/>
      <c r="R49" s="130"/>
      <c r="S49" s="130"/>
      <c r="T49" s="130"/>
      <c r="U49" s="130"/>
      <c r="V49" s="130"/>
      <c r="W49" s="130"/>
    </row>
    <row r="50" spans="3:23" x14ac:dyDescent="0.25">
      <c r="C50" s="130"/>
      <c r="D50" s="130"/>
      <c r="E50" s="130"/>
      <c r="F50" s="130"/>
      <c r="G50" s="130"/>
      <c r="H50" s="130"/>
      <c r="I50" s="130"/>
      <c r="J50" s="130"/>
      <c r="K50" s="130"/>
      <c r="L50" s="130"/>
      <c r="M50" s="130"/>
      <c r="N50" s="130"/>
      <c r="O50" s="130"/>
      <c r="P50" s="130"/>
      <c r="Q50" s="130"/>
      <c r="R50" s="130"/>
      <c r="S50" s="130"/>
      <c r="T50" s="130"/>
      <c r="U50" s="130"/>
      <c r="V50" s="130"/>
      <c r="W50" s="130"/>
    </row>
    <row r="51" spans="3:23" x14ac:dyDescent="0.25">
      <c r="C51" s="130"/>
      <c r="D51" s="130"/>
      <c r="E51" s="130"/>
      <c r="F51" s="130"/>
      <c r="G51" s="130"/>
      <c r="H51" s="130"/>
      <c r="I51" s="130"/>
      <c r="J51" s="130"/>
      <c r="K51" s="130"/>
      <c r="L51" s="130"/>
      <c r="M51" s="130"/>
      <c r="N51" s="130"/>
      <c r="O51" s="130"/>
      <c r="P51" s="130"/>
      <c r="Q51" s="130"/>
      <c r="R51" s="130"/>
      <c r="S51" s="130"/>
      <c r="T51" s="130"/>
      <c r="U51" s="130"/>
      <c r="V51" s="130"/>
      <c r="W51" s="130"/>
    </row>
    <row r="52" spans="3:23" x14ac:dyDescent="0.25">
      <c r="C52" s="130"/>
      <c r="D52" s="130"/>
      <c r="E52" s="130"/>
      <c r="F52" s="130"/>
      <c r="G52" s="130"/>
      <c r="H52" s="130"/>
      <c r="I52" s="130"/>
      <c r="J52" s="130"/>
      <c r="K52" s="130"/>
      <c r="L52" s="130"/>
      <c r="M52" s="130"/>
      <c r="N52" s="130"/>
      <c r="O52" s="130"/>
      <c r="P52" s="130"/>
      <c r="Q52" s="130"/>
      <c r="R52" s="130"/>
      <c r="S52" s="130"/>
      <c r="T52" s="130"/>
      <c r="U52" s="130"/>
      <c r="V52" s="130"/>
      <c r="W52" s="130"/>
    </row>
    <row r="53" spans="3:23" x14ac:dyDescent="0.25">
      <c r="C53" s="130"/>
      <c r="D53" s="130"/>
      <c r="E53" s="130"/>
      <c r="F53" s="130"/>
      <c r="G53" s="130"/>
      <c r="H53" s="130"/>
      <c r="I53" s="130"/>
      <c r="J53" s="130"/>
      <c r="K53" s="130"/>
      <c r="L53" s="130"/>
      <c r="M53" s="130"/>
      <c r="N53" s="130"/>
      <c r="O53" s="130"/>
      <c r="P53" s="130"/>
      <c r="Q53" s="130"/>
      <c r="R53" s="130"/>
      <c r="S53" s="130"/>
      <c r="T53" s="130"/>
      <c r="U53" s="130"/>
      <c r="V53" s="130"/>
      <c r="W53" s="130"/>
    </row>
    <row r="54" spans="3:23" x14ac:dyDescent="0.25">
      <c r="C54" s="130"/>
      <c r="D54" s="130"/>
      <c r="E54" s="130"/>
      <c r="F54" s="130"/>
      <c r="G54" s="130"/>
      <c r="H54" s="130"/>
      <c r="I54" s="130"/>
      <c r="J54" s="130"/>
      <c r="K54" s="130"/>
      <c r="L54" s="130"/>
      <c r="M54" s="130"/>
      <c r="N54" s="130"/>
      <c r="O54" s="130"/>
      <c r="P54" s="130"/>
      <c r="Q54" s="130"/>
      <c r="R54" s="130"/>
      <c r="S54" s="130"/>
      <c r="T54" s="130"/>
      <c r="U54" s="130"/>
      <c r="V54" s="130"/>
      <c r="W54" s="130"/>
    </row>
    <row r="55" spans="3:23" x14ac:dyDescent="0.25">
      <c r="C55" s="130"/>
      <c r="D55" s="130"/>
      <c r="E55" s="130"/>
      <c r="F55" s="130"/>
      <c r="G55" s="130"/>
      <c r="H55" s="130"/>
      <c r="I55" s="130"/>
      <c r="J55" s="130"/>
      <c r="K55" s="130"/>
      <c r="L55" s="130"/>
      <c r="M55" s="130"/>
      <c r="N55" s="130"/>
      <c r="O55" s="130"/>
      <c r="P55" s="130"/>
      <c r="Q55" s="130"/>
      <c r="R55" s="130"/>
      <c r="S55" s="130"/>
      <c r="T55" s="130"/>
      <c r="U55" s="130"/>
      <c r="V55" s="130"/>
      <c r="W55" s="130"/>
    </row>
    <row r="56" spans="3:23" x14ac:dyDescent="0.25">
      <c r="C56" s="130"/>
      <c r="D56" s="130"/>
      <c r="E56" s="130"/>
      <c r="F56" s="130"/>
      <c r="G56" s="130"/>
      <c r="H56" s="130"/>
      <c r="I56" s="130"/>
      <c r="J56" s="130"/>
      <c r="K56" s="130"/>
      <c r="L56" s="130"/>
      <c r="M56" s="130"/>
      <c r="N56" s="130"/>
      <c r="O56" s="130"/>
      <c r="P56" s="130"/>
      <c r="Q56" s="130"/>
      <c r="R56" s="130"/>
      <c r="S56" s="130"/>
      <c r="T56" s="130"/>
      <c r="U56" s="130"/>
      <c r="V56" s="130"/>
      <c r="W56" s="130"/>
    </row>
    <row r="57" spans="3:23" x14ac:dyDescent="0.25">
      <c r="C57" s="130"/>
      <c r="D57" s="130"/>
      <c r="E57" s="130"/>
      <c r="F57" s="130"/>
      <c r="G57" s="130"/>
      <c r="H57" s="130"/>
      <c r="I57" s="130"/>
      <c r="J57" s="130"/>
      <c r="K57" s="130"/>
      <c r="L57" s="130"/>
      <c r="M57" s="130"/>
      <c r="N57" s="130"/>
      <c r="O57" s="130"/>
      <c r="P57" s="130"/>
      <c r="Q57" s="130"/>
      <c r="R57" s="130"/>
      <c r="S57" s="130"/>
      <c r="T57" s="130"/>
      <c r="U57" s="130"/>
      <c r="V57" s="130"/>
      <c r="W57" s="130"/>
    </row>
    <row r="58" spans="3:23" x14ac:dyDescent="0.25">
      <c r="C58" s="130"/>
      <c r="D58" s="130"/>
      <c r="E58" s="130"/>
      <c r="F58" s="130"/>
      <c r="G58" s="130"/>
      <c r="H58" s="130"/>
      <c r="I58" s="130"/>
      <c r="J58" s="130"/>
      <c r="K58" s="130"/>
      <c r="L58" s="130"/>
      <c r="M58" s="130"/>
      <c r="N58" s="130"/>
      <c r="O58" s="130"/>
      <c r="P58" s="130"/>
      <c r="Q58" s="130"/>
      <c r="R58" s="130"/>
      <c r="S58" s="130"/>
      <c r="T58" s="130"/>
      <c r="U58" s="130"/>
      <c r="V58" s="130"/>
      <c r="W58" s="130"/>
    </row>
    <row r="59" spans="3:23" x14ac:dyDescent="0.25">
      <c r="C59" s="130"/>
      <c r="D59" s="130"/>
      <c r="E59" s="130"/>
      <c r="F59" s="130"/>
      <c r="G59" s="130"/>
      <c r="H59" s="130"/>
      <c r="I59" s="130"/>
      <c r="J59" s="130"/>
      <c r="K59" s="130"/>
      <c r="L59" s="130"/>
      <c r="M59" s="130"/>
      <c r="N59" s="130"/>
      <c r="O59" s="130"/>
      <c r="P59" s="130"/>
      <c r="Q59" s="130"/>
      <c r="R59" s="130"/>
      <c r="S59" s="130"/>
      <c r="T59" s="130"/>
      <c r="U59" s="130"/>
      <c r="V59" s="130"/>
      <c r="W59" s="130"/>
    </row>
    <row r="60" spans="3:23" x14ac:dyDescent="0.25">
      <c r="C60" s="130"/>
      <c r="D60" s="130"/>
      <c r="E60" s="130"/>
      <c r="F60" s="130"/>
      <c r="G60" s="130"/>
      <c r="H60" s="130"/>
      <c r="I60" s="130"/>
      <c r="J60" s="130"/>
      <c r="K60" s="130"/>
      <c r="L60" s="130"/>
      <c r="M60" s="130"/>
      <c r="N60" s="130"/>
      <c r="O60" s="130"/>
      <c r="P60" s="130"/>
      <c r="Q60" s="130"/>
      <c r="R60" s="130"/>
      <c r="S60" s="130"/>
      <c r="T60" s="130"/>
      <c r="U60" s="130"/>
      <c r="V60" s="130"/>
      <c r="W60" s="130"/>
    </row>
    <row r="61" spans="3:23" x14ac:dyDescent="0.25">
      <c r="C61" s="130"/>
      <c r="D61" s="130"/>
      <c r="E61" s="130"/>
      <c r="F61" s="130"/>
      <c r="G61" s="130"/>
      <c r="H61" s="130"/>
      <c r="I61" s="130"/>
      <c r="J61" s="130"/>
      <c r="K61" s="130"/>
      <c r="L61" s="130"/>
      <c r="M61" s="130"/>
      <c r="N61" s="130"/>
      <c r="O61" s="130"/>
      <c r="P61" s="130"/>
      <c r="Q61" s="130"/>
      <c r="R61" s="130"/>
      <c r="S61" s="130"/>
      <c r="T61" s="130"/>
      <c r="U61" s="130"/>
      <c r="V61" s="130"/>
      <c r="W61" s="130"/>
    </row>
    <row r="62" spans="3:23" x14ac:dyDescent="0.25">
      <c r="C62" s="130"/>
      <c r="D62" s="130"/>
      <c r="E62" s="130"/>
      <c r="F62" s="130"/>
      <c r="G62" s="130"/>
      <c r="H62" s="130"/>
      <c r="I62" s="130"/>
      <c r="J62" s="130"/>
      <c r="K62" s="130"/>
      <c r="L62" s="130"/>
      <c r="M62" s="130"/>
      <c r="N62" s="130"/>
      <c r="O62" s="130"/>
      <c r="P62" s="130"/>
      <c r="Q62" s="130"/>
      <c r="R62" s="130"/>
      <c r="S62" s="130"/>
      <c r="T62" s="130"/>
      <c r="U62" s="130"/>
      <c r="V62" s="130"/>
      <c r="W62" s="130"/>
    </row>
    <row r="63" spans="3:23" x14ac:dyDescent="0.25">
      <c r="C63" s="130"/>
      <c r="D63" s="130"/>
      <c r="E63" s="130"/>
      <c r="F63" s="130"/>
      <c r="G63" s="130"/>
      <c r="H63" s="130"/>
      <c r="I63" s="130"/>
      <c r="J63" s="130"/>
      <c r="K63" s="130"/>
      <c r="L63" s="130"/>
      <c r="M63" s="130"/>
      <c r="N63" s="130"/>
      <c r="O63" s="130"/>
      <c r="P63" s="130"/>
      <c r="Q63" s="130"/>
      <c r="R63" s="130"/>
      <c r="S63" s="130"/>
      <c r="T63" s="130"/>
      <c r="U63" s="130"/>
      <c r="V63" s="130"/>
      <c r="W63" s="130"/>
    </row>
    <row r="64" spans="3:23" x14ac:dyDescent="0.25">
      <c r="C64" s="130"/>
      <c r="D64" s="130"/>
      <c r="E64" s="130"/>
      <c r="F64" s="130"/>
      <c r="G64" s="130"/>
      <c r="H64" s="130"/>
      <c r="I64" s="130"/>
      <c r="J64" s="130"/>
      <c r="K64" s="130"/>
      <c r="L64" s="130"/>
      <c r="M64" s="130"/>
      <c r="N64" s="130"/>
      <c r="O64" s="130"/>
      <c r="P64" s="130"/>
      <c r="Q64" s="130"/>
      <c r="R64" s="130"/>
      <c r="S64" s="130"/>
      <c r="T64" s="130"/>
      <c r="U64" s="130"/>
      <c r="V64" s="130"/>
      <c r="W64" s="130"/>
    </row>
    <row r="65" spans="3:23" x14ac:dyDescent="0.25">
      <c r="C65" s="130"/>
      <c r="D65" s="130"/>
      <c r="E65" s="130"/>
      <c r="F65" s="130"/>
      <c r="G65" s="130"/>
      <c r="H65" s="130"/>
      <c r="I65" s="130"/>
      <c r="J65" s="130"/>
      <c r="K65" s="130"/>
      <c r="L65" s="130"/>
      <c r="M65" s="130"/>
      <c r="N65" s="130"/>
      <c r="O65" s="130"/>
      <c r="P65" s="130"/>
      <c r="Q65" s="130"/>
      <c r="R65" s="130"/>
      <c r="S65" s="130"/>
      <c r="T65" s="130"/>
      <c r="U65" s="130"/>
      <c r="V65" s="130"/>
      <c r="W65" s="130"/>
    </row>
    <row r="66" spans="3:23" x14ac:dyDescent="0.25">
      <c r="C66" s="130"/>
      <c r="D66" s="130"/>
      <c r="E66" s="130"/>
      <c r="F66" s="130"/>
      <c r="G66" s="130"/>
      <c r="H66" s="130"/>
      <c r="I66" s="130"/>
      <c r="J66" s="130"/>
      <c r="K66" s="130"/>
      <c r="L66" s="130"/>
      <c r="M66" s="130"/>
      <c r="N66" s="130"/>
      <c r="O66" s="130"/>
      <c r="P66" s="130"/>
      <c r="Q66" s="130"/>
      <c r="R66" s="130"/>
      <c r="S66" s="130"/>
      <c r="T66" s="130"/>
      <c r="U66" s="130"/>
      <c r="V66" s="130"/>
      <c r="W66" s="130"/>
    </row>
    <row r="67" spans="3:23" x14ac:dyDescent="0.25">
      <c r="C67" s="130"/>
      <c r="D67" s="130"/>
      <c r="E67" s="130"/>
      <c r="F67" s="130"/>
      <c r="G67" s="130"/>
      <c r="H67" s="130"/>
      <c r="I67" s="130"/>
      <c r="J67" s="130"/>
      <c r="K67" s="130"/>
      <c r="L67" s="130"/>
      <c r="M67" s="130"/>
      <c r="N67" s="130"/>
      <c r="O67" s="130"/>
      <c r="P67" s="130"/>
      <c r="Q67" s="130"/>
      <c r="R67" s="130"/>
      <c r="S67" s="130"/>
      <c r="T67" s="130"/>
      <c r="U67" s="130"/>
      <c r="V67" s="130"/>
      <c r="W67" s="130"/>
    </row>
    <row r="68" spans="3:23" x14ac:dyDescent="0.25">
      <c r="C68" s="130"/>
      <c r="D68" s="130"/>
      <c r="E68" s="130"/>
      <c r="F68" s="130"/>
      <c r="G68" s="130"/>
      <c r="H68" s="130"/>
      <c r="I68" s="130"/>
      <c r="J68" s="130"/>
      <c r="K68" s="130"/>
      <c r="L68" s="130"/>
      <c r="M68" s="130"/>
      <c r="N68" s="130"/>
      <c r="O68" s="130"/>
      <c r="P68" s="130"/>
      <c r="Q68" s="130"/>
      <c r="R68" s="130"/>
      <c r="S68" s="130"/>
      <c r="T68" s="130"/>
      <c r="U68" s="130"/>
      <c r="V68" s="130"/>
      <c r="W68" s="130"/>
    </row>
    <row r="69" spans="3:23" x14ac:dyDescent="0.25">
      <c r="C69" s="130"/>
      <c r="D69" s="130"/>
      <c r="E69" s="130"/>
      <c r="F69" s="130"/>
      <c r="G69" s="130"/>
      <c r="H69" s="130"/>
      <c r="I69" s="130"/>
      <c r="J69" s="130"/>
      <c r="K69" s="130"/>
      <c r="L69" s="130"/>
      <c r="M69" s="130"/>
      <c r="N69" s="130"/>
      <c r="O69" s="130"/>
      <c r="P69" s="130"/>
      <c r="Q69" s="130"/>
      <c r="R69" s="130"/>
      <c r="S69" s="130"/>
      <c r="T69" s="130"/>
      <c r="U69" s="130"/>
      <c r="V69" s="130"/>
      <c r="W69" s="130"/>
    </row>
    <row r="70" spans="3:23" x14ac:dyDescent="0.25">
      <c r="C70" s="130"/>
      <c r="D70" s="130"/>
      <c r="E70" s="130"/>
      <c r="F70" s="130"/>
      <c r="G70" s="130"/>
      <c r="H70" s="130"/>
      <c r="I70" s="130"/>
      <c r="J70" s="130"/>
      <c r="K70" s="130"/>
      <c r="L70" s="130"/>
      <c r="M70" s="130"/>
      <c r="N70" s="130"/>
      <c r="O70" s="130"/>
      <c r="P70" s="130"/>
      <c r="Q70" s="130"/>
      <c r="R70" s="130"/>
      <c r="S70" s="130"/>
      <c r="T70" s="130"/>
      <c r="U70" s="130"/>
      <c r="V70" s="130"/>
      <c r="W70" s="130"/>
    </row>
    <row r="71" spans="3:23" x14ac:dyDescent="0.25">
      <c r="C71" s="130"/>
      <c r="D71" s="130"/>
      <c r="E71" s="130"/>
      <c r="F71" s="130"/>
      <c r="G71" s="130"/>
      <c r="H71" s="130"/>
      <c r="I71" s="130"/>
      <c r="J71" s="130"/>
      <c r="K71" s="130"/>
      <c r="L71" s="130"/>
      <c r="M71" s="130"/>
      <c r="N71" s="130"/>
      <c r="O71" s="130"/>
      <c r="P71" s="130"/>
      <c r="Q71" s="130"/>
      <c r="R71" s="130"/>
      <c r="S71" s="130"/>
      <c r="T71" s="130"/>
      <c r="U71" s="130"/>
      <c r="V71" s="130"/>
      <c r="W71" s="130"/>
    </row>
    <row r="72" spans="3:23" x14ac:dyDescent="0.25">
      <c r="C72" s="130"/>
      <c r="D72" s="130"/>
      <c r="E72" s="130"/>
      <c r="F72" s="130"/>
      <c r="G72" s="130"/>
      <c r="H72" s="130"/>
      <c r="I72" s="130"/>
      <c r="J72" s="130"/>
      <c r="K72" s="130"/>
      <c r="L72" s="130"/>
      <c r="M72" s="130"/>
      <c r="N72" s="130"/>
      <c r="O72" s="130"/>
      <c r="P72" s="130"/>
      <c r="Q72" s="130"/>
      <c r="R72" s="130"/>
      <c r="S72" s="130"/>
      <c r="T72" s="130"/>
      <c r="U72" s="130"/>
      <c r="V72" s="130"/>
      <c r="W72" s="130"/>
    </row>
    <row r="73" spans="3:23" x14ac:dyDescent="0.25">
      <c r="C73" s="130"/>
      <c r="D73" s="130"/>
      <c r="E73" s="130"/>
      <c r="F73" s="130"/>
      <c r="G73" s="130"/>
      <c r="H73" s="130"/>
      <c r="I73" s="130"/>
      <c r="J73" s="130"/>
      <c r="K73" s="130"/>
      <c r="L73" s="130"/>
      <c r="M73" s="130"/>
      <c r="N73" s="130"/>
      <c r="O73" s="130"/>
      <c r="P73" s="130"/>
      <c r="Q73" s="130"/>
      <c r="R73" s="130"/>
      <c r="S73" s="130"/>
      <c r="T73" s="130"/>
      <c r="U73" s="130"/>
      <c r="V73" s="130"/>
      <c r="W73" s="130"/>
    </row>
    <row r="74" spans="3:23" x14ac:dyDescent="0.25">
      <c r="C74" s="130"/>
      <c r="D74" s="130"/>
      <c r="E74" s="130"/>
      <c r="F74" s="130"/>
      <c r="G74" s="130"/>
      <c r="H74" s="130"/>
      <c r="I74" s="130"/>
      <c r="J74" s="130"/>
      <c r="K74" s="130"/>
      <c r="L74" s="130"/>
      <c r="M74" s="130"/>
      <c r="N74" s="130"/>
      <c r="O74" s="130"/>
      <c r="P74" s="130"/>
      <c r="Q74" s="130"/>
      <c r="R74" s="130"/>
      <c r="S74" s="130"/>
      <c r="T74" s="130"/>
      <c r="U74" s="130"/>
      <c r="V74" s="130"/>
      <c r="W74" s="130"/>
    </row>
    <row r="75" spans="3:23" x14ac:dyDescent="0.25">
      <c r="C75" s="130"/>
      <c r="D75" s="130"/>
      <c r="E75" s="130"/>
      <c r="F75" s="130"/>
      <c r="G75" s="130"/>
      <c r="H75" s="130"/>
      <c r="I75" s="130"/>
      <c r="J75" s="130"/>
      <c r="K75" s="130"/>
      <c r="L75" s="130"/>
      <c r="M75" s="130"/>
      <c r="N75" s="130"/>
      <c r="O75" s="130"/>
      <c r="P75" s="130"/>
      <c r="Q75" s="130"/>
      <c r="R75" s="130"/>
      <c r="S75" s="130"/>
      <c r="T75" s="130"/>
      <c r="U75" s="130"/>
      <c r="V75" s="130"/>
      <c r="W75" s="130"/>
    </row>
    <row r="76" spans="3:23" x14ac:dyDescent="0.25">
      <c r="C76" s="130"/>
      <c r="D76" s="130"/>
      <c r="E76" s="130"/>
      <c r="F76" s="130"/>
      <c r="G76" s="130"/>
      <c r="H76" s="130"/>
      <c r="I76" s="130"/>
      <c r="J76" s="130"/>
      <c r="K76" s="130"/>
      <c r="L76" s="130"/>
      <c r="M76" s="130"/>
      <c r="N76" s="130"/>
      <c r="O76" s="130"/>
      <c r="P76" s="130"/>
      <c r="Q76" s="130"/>
      <c r="R76" s="130"/>
      <c r="S76" s="130"/>
      <c r="T76" s="130"/>
      <c r="U76" s="130"/>
      <c r="V76" s="130"/>
      <c r="W76" s="130"/>
    </row>
    <row r="77" spans="3:23" x14ac:dyDescent="0.25">
      <c r="C77" s="130"/>
      <c r="D77" s="130"/>
      <c r="E77" s="130"/>
      <c r="F77" s="130"/>
      <c r="G77" s="130"/>
      <c r="H77" s="130"/>
      <c r="I77" s="130"/>
      <c r="J77" s="130"/>
      <c r="K77" s="130"/>
      <c r="L77" s="130"/>
      <c r="M77" s="130"/>
      <c r="N77" s="130"/>
      <c r="O77" s="130"/>
      <c r="P77" s="130"/>
      <c r="Q77" s="130"/>
      <c r="R77" s="130"/>
      <c r="S77" s="130"/>
      <c r="T77" s="130"/>
      <c r="U77" s="130"/>
      <c r="V77" s="130"/>
      <c r="W77" s="130"/>
    </row>
    <row r="78" spans="3:23" x14ac:dyDescent="0.25">
      <c r="C78" s="130"/>
      <c r="D78" s="130"/>
      <c r="E78" s="130"/>
      <c r="F78" s="130"/>
      <c r="G78" s="130"/>
      <c r="H78" s="130"/>
      <c r="I78" s="130"/>
      <c r="J78" s="130"/>
      <c r="K78" s="130"/>
      <c r="L78" s="130"/>
      <c r="M78" s="130"/>
      <c r="N78" s="130"/>
      <c r="O78" s="130"/>
      <c r="P78" s="130"/>
      <c r="Q78" s="130"/>
      <c r="R78" s="130"/>
      <c r="S78" s="130"/>
      <c r="T78" s="130"/>
      <c r="U78" s="130"/>
      <c r="V78" s="130"/>
      <c r="W78" s="130"/>
    </row>
    <row r="79" spans="3:23" x14ac:dyDescent="0.25">
      <c r="C79" s="130"/>
      <c r="D79" s="130"/>
      <c r="E79" s="130"/>
      <c r="F79" s="130"/>
      <c r="G79" s="130"/>
      <c r="H79" s="130"/>
      <c r="I79" s="130"/>
      <c r="J79" s="130"/>
      <c r="K79" s="130"/>
      <c r="L79" s="130"/>
      <c r="M79" s="130"/>
      <c r="N79" s="130"/>
      <c r="O79" s="130"/>
      <c r="P79" s="130"/>
      <c r="Q79" s="130"/>
      <c r="R79" s="130"/>
      <c r="S79" s="130"/>
      <c r="T79" s="130"/>
      <c r="U79" s="130"/>
      <c r="V79" s="130"/>
      <c r="W79" s="130"/>
    </row>
    <row r="80" spans="3:23" x14ac:dyDescent="0.25">
      <c r="C80" s="130"/>
      <c r="D80" s="130"/>
      <c r="E80" s="130"/>
      <c r="F80" s="130"/>
      <c r="G80" s="130"/>
      <c r="H80" s="130"/>
      <c r="I80" s="130"/>
      <c r="J80" s="130"/>
      <c r="K80" s="130"/>
      <c r="L80" s="130"/>
      <c r="M80" s="130"/>
      <c r="N80" s="130"/>
      <c r="O80" s="130"/>
      <c r="P80" s="130"/>
      <c r="Q80" s="130"/>
      <c r="R80" s="130"/>
      <c r="S80" s="130"/>
      <c r="T80" s="130"/>
      <c r="U80" s="130"/>
      <c r="V80" s="130"/>
      <c r="W80" s="130"/>
    </row>
    <row r="81" spans="2:55" x14ac:dyDescent="0.25">
      <c r="C81" s="130"/>
      <c r="D81" s="130"/>
      <c r="E81" s="130"/>
      <c r="F81" s="130"/>
      <c r="G81" s="130"/>
      <c r="H81" s="130"/>
      <c r="I81" s="130"/>
      <c r="J81" s="130"/>
      <c r="K81" s="130"/>
      <c r="L81" s="130"/>
      <c r="M81" s="130"/>
      <c r="N81" s="130"/>
      <c r="O81" s="130"/>
      <c r="P81" s="130"/>
      <c r="Q81" s="130"/>
      <c r="R81" s="130"/>
      <c r="S81" s="130"/>
      <c r="T81" s="130"/>
      <c r="U81" s="130"/>
      <c r="V81" s="130"/>
      <c r="W81" s="130"/>
    </row>
    <row r="82" spans="2:55" x14ac:dyDescent="0.25">
      <c r="C82" s="130"/>
      <c r="D82" s="130"/>
      <c r="E82" s="130"/>
      <c r="F82" s="130"/>
      <c r="G82" s="130"/>
      <c r="H82" s="130"/>
      <c r="I82" s="130"/>
      <c r="J82" s="130"/>
      <c r="K82" s="130"/>
      <c r="L82" s="130"/>
      <c r="M82" s="130"/>
      <c r="N82" s="130"/>
      <c r="O82" s="130"/>
      <c r="P82" s="130"/>
      <c r="Q82" s="130"/>
      <c r="R82" s="130"/>
      <c r="S82" s="130"/>
      <c r="T82" s="130"/>
      <c r="U82" s="130"/>
      <c r="V82" s="130"/>
      <c r="W82" s="130"/>
    </row>
    <row r="83" spans="2:55" x14ac:dyDescent="0.25">
      <c r="C83" s="130"/>
      <c r="D83" s="130"/>
      <c r="E83" s="130"/>
      <c r="F83" s="130"/>
      <c r="G83" s="130"/>
      <c r="H83" s="130"/>
      <c r="I83" s="130"/>
      <c r="J83" s="130"/>
      <c r="K83" s="130"/>
      <c r="L83" s="130"/>
      <c r="M83" s="130"/>
      <c r="N83" s="130"/>
      <c r="O83" s="130"/>
      <c r="P83" s="130"/>
      <c r="Q83" s="130"/>
      <c r="R83" s="130"/>
      <c r="S83" s="130"/>
      <c r="T83" s="130"/>
      <c r="U83" s="130"/>
      <c r="V83" s="130"/>
      <c r="W83" s="130"/>
    </row>
    <row r="84" spans="2:55" x14ac:dyDescent="0.25">
      <c r="C84" s="130"/>
      <c r="D84" s="130"/>
      <c r="E84" s="130"/>
      <c r="F84" s="130"/>
      <c r="G84" s="130"/>
      <c r="H84" s="130"/>
      <c r="I84" s="130"/>
      <c r="J84" s="130"/>
      <c r="K84" s="130"/>
      <c r="L84" s="130"/>
      <c r="M84" s="130"/>
      <c r="N84" s="130"/>
      <c r="O84" s="130"/>
      <c r="P84" s="130"/>
      <c r="Q84" s="130"/>
      <c r="R84" s="130"/>
      <c r="S84" s="130"/>
      <c r="T84" s="130"/>
      <c r="U84" s="130"/>
      <c r="V84" s="130"/>
      <c r="W84" s="130"/>
    </row>
    <row r="85" spans="2:55" x14ac:dyDescent="0.25">
      <c r="C85" s="130"/>
      <c r="D85" s="130"/>
      <c r="E85" s="130"/>
      <c r="F85" s="130"/>
      <c r="G85" s="130"/>
      <c r="H85" s="130"/>
      <c r="I85" s="130"/>
      <c r="J85" s="130"/>
      <c r="K85" s="130"/>
      <c r="L85" s="130"/>
      <c r="M85" s="130"/>
      <c r="N85" s="130"/>
      <c r="O85" s="130"/>
      <c r="P85" s="130"/>
      <c r="Q85" s="130"/>
      <c r="R85" s="130"/>
      <c r="S85" s="130"/>
      <c r="T85" s="130"/>
      <c r="U85" s="130"/>
      <c r="V85" s="130"/>
      <c r="W85" s="130"/>
    </row>
    <row r="86" spans="2:55" x14ac:dyDescent="0.25">
      <c r="C86" s="130"/>
      <c r="D86" s="130"/>
      <c r="E86" s="130"/>
      <c r="F86" s="130"/>
      <c r="G86" s="130"/>
      <c r="H86" s="130"/>
      <c r="I86" s="130"/>
      <c r="J86" s="130"/>
      <c r="K86" s="130"/>
      <c r="L86" s="130"/>
      <c r="M86" s="130"/>
      <c r="N86" s="130"/>
      <c r="O86" s="130"/>
      <c r="P86" s="130"/>
      <c r="Q86" s="130"/>
      <c r="R86" s="130"/>
      <c r="S86" s="130"/>
      <c r="T86" s="130"/>
      <c r="U86" s="130"/>
      <c r="V86" s="130"/>
      <c r="W86" s="130"/>
    </row>
    <row r="87" spans="2:55" ht="15.75" x14ac:dyDescent="0.25">
      <c r="C87" s="149" t="s">
        <v>423</v>
      </c>
      <c r="D87" s="130"/>
      <c r="E87" s="130"/>
      <c r="F87" s="130"/>
      <c r="G87" s="130"/>
      <c r="H87" s="130"/>
      <c r="I87" s="130"/>
      <c r="J87" s="130"/>
      <c r="K87" s="130"/>
      <c r="L87" s="130"/>
      <c r="M87" s="130"/>
      <c r="N87" s="130"/>
      <c r="O87" s="130"/>
      <c r="P87" s="130"/>
      <c r="Q87" s="130"/>
      <c r="R87" s="130"/>
      <c r="S87" s="130"/>
      <c r="T87" s="130"/>
      <c r="U87" s="130"/>
      <c r="V87" s="130"/>
    </row>
    <row r="88" spans="2:55" x14ac:dyDescent="0.25">
      <c r="C88" s="130"/>
      <c r="D88" s="384" t="s">
        <v>448</v>
      </c>
      <c r="E88" s="384"/>
      <c r="F88" s="384"/>
      <c r="G88" s="134"/>
      <c r="H88" s="384" t="s">
        <v>269</v>
      </c>
      <c r="I88" s="384"/>
      <c r="J88" s="384"/>
      <c r="K88" s="134"/>
      <c r="L88" s="384" t="s">
        <v>270</v>
      </c>
      <c r="M88" s="384"/>
      <c r="N88" s="384"/>
      <c r="O88" s="134"/>
      <c r="P88" s="384" t="s">
        <v>271</v>
      </c>
      <c r="Q88" s="384"/>
      <c r="R88" s="384"/>
      <c r="S88" s="134"/>
      <c r="T88" s="384" t="s">
        <v>272</v>
      </c>
      <c r="U88" s="384"/>
      <c r="V88" s="384"/>
      <c r="W88" s="158"/>
      <c r="X88" s="384" t="s">
        <v>447</v>
      </c>
      <c r="Y88" s="384"/>
      <c r="Z88" s="384"/>
    </row>
    <row r="89" spans="2:55" s="138" customFormat="1" x14ac:dyDescent="0.25">
      <c r="B89" s="139"/>
      <c r="C89" s="140"/>
      <c r="D89" s="140" t="s">
        <v>444</v>
      </c>
      <c r="E89" s="140" t="s">
        <v>445</v>
      </c>
      <c r="F89" s="140" t="s">
        <v>446</v>
      </c>
      <c r="G89" s="140"/>
      <c r="H89" s="140" t="s">
        <v>444</v>
      </c>
      <c r="I89" s="140" t="s">
        <v>445</v>
      </c>
      <c r="J89" s="140" t="s">
        <v>446</v>
      </c>
      <c r="K89" s="140"/>
      <c r="L89" s="140" t="s">
        <v>444</v>
      </c>
      <c r="M89" s="140" t="s">
        <v>445</v>
      </c>
      <c r="N89" s="140" t="s">
        <v>446</v>
      </c>
      <c r="O89" s="140"/>
      <c r="P89" s="140" t="s">
        <v>444</v>
      </c>
      <c r="Q89" s="140" t="s">
        <v>445</v>
      </c>
      <c r="R89" s="140" t="s">
        <v>446</v>
      </c>
      <c r="S89" s="140"/>
      <c r="T89" s="140" t="s">
        <v>444</v>
      </c>
      <c r="U89" s="140" t="s">
        <v>445</v>
      </c>
      <c r="V89" s="140" t="s">
        <v>446</v>
      </c>
      <c r="W89" s="140"/>
      <c r="X89" s="140" t="s">
        <v>444</v>
      </c>
      <c r="Y89" s="140" t="s">
        <v>445</v>
      </c>
      <c r="Z89" s="140" t="s">
        <v>446</v>
      </c>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row>
    <row r="90" spans="2:55" x14ac:dyDescent="0.25">
      <c r="C90" s="130" t="s">
        <v>499</v>
      </c>
      <c r="D90" s="131" t="e">
        <f>D10</f>
        <v>#REF!</v>
      </c>
      <c r="E90" s="131" t="e">
        <f>D11</f>
        <v>#REF!</v>
      </c>
      <c r="F90" s="131" t="e">
        <f>D12</f>
        <v>#REF!</v>
      </c>
      <c r="G90" s="131"/>
      <c r="H90" s="131" t="e">
        <f>E10</f>
        <v>#REF!</v>
      </c>
      <c r="I90" s="131" t="e">
        <f>E11</f>
        <v>#REF!</v>
      </c>
      <c r="J90" s="131" t="e">
        <f>E12</f>
        <v>#REF!</v>
      </c>
      <c r="K90" s="131"/>
      <c r="L90" s="131" t="e">
        <f>F10</f>
        <v>#REF!</v>
      </c>
      <c r="M90" s="131" t="e">
        <f>F11</f>
        <v>#REF!</v>
      </c>
      <c r="N90" s="131" t="e">
        <f>F12</f>
        <v>#REF!</v>
      </c>
      <c r="O90" s="131"/>
      <c r="P90" s="131" t="e">
        <f>G10</f>
        <v>#REF!</v>
      </c>
      <c r="Q90" s="131" t="e">
        <f>G11</f>
        <v>#REF!</v>
      </c>
      <c r="R90" s="131" t="e">
        <f>G12</f>
        <v>#REF!</v>
      </c>
      <c r="S90" s="131"/>
      <c r="T90" s="131" t="e">
        <f>H10</f>
        <v>#REF!</v>
      </c>
      <c r="U90" s="131" t="e">
        <f>H11</f>
        <v>#REF!</v>
      </c>
      <c r="V90" s="131" t="e">
        <f>H12</f>
        <v>#REF!</v>
      </c>
      <c r="W90" s="131"/>
      <c r="X90" s="131" t="e">
        <f>I10</f>
        <v>#REF!</v>
      </c>
      <c r="Y90" s="131" t="e">
        <f>I11</f>
        <v>#REF!</v>
      </c>
      <c r="Z90" s="131" t="e">
        <f>I12</f>
        <v>#REF!</v>
      </c>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row>
    <row r="91" spans="2:55" x14ac:dyDescent="0.25">
      <c r="C91" s="130"/>
      <c r="D91" s="131"/>
      <c r="E91" s="132" t="e">
        <f>ABS(E90-D90)</f>
        <v>#REF!</v>
      </c>
      <c r="F91" s="132" t="e">
        <f>ABS(F90-D90)</f>
        <v>#REF!</v>
      </c>
      <c r="G91" s="132"/>
      <c r="H91" s="130"/>
      <c r="I91" s="132" t="e">
        <f>ABS(I92)</f>
        <v>#REF!</v>
      </c>
      <c r="J91" s="132" t="e">
        <f>ABS(J92)</f>
        <v>#REF!</v>
      </c>
      <c r="K91" s="132"/>
      <c r="L91" s="130"/>
      <c r="M91" s="132" t="e">
        <f>ABS(M92)</f>
        <v>#REF!</v>
      </c>
      <c r="N91" s="132" t="e">
        <f>ABS(N92)</f>
        <v>#REF!</v>
      </c>
      <c r="O91" s="132"/>
      <c r="P91" s="130"/>
      <c r="Q91" s="132" t="e">
        <f>ABS(Q92)</f>
        <v>#REF!</v>
      </c>
      <c r="R91" s="132" t="e">
        <f>ABS(R92)</f>
        <v>#REF!</v>
      </c>
      <c r="S91" s="132"/>
      <c r="T91" s="130"/>
      <c r="U91" s="132" t="e">
        <f>ABS(U92)</f>
        <v>#REF!</v>
      </c>
      <c r="V91" s="132" t="e">
        <f>ABS(V92)</f>
        <v>#REF!</v>
      </c>
      <c r="W91" s="132"/>
      <c r="X91" s="130"/>
      <c r="Y91" s="132" t="e">
        <f>ABS(Y92)</f>
        <v>#REF!</v>
      </c>
      <c r="Z91" s="132" t="e">
        <f>ABS(Z92)</f>
        <v>#REF!</v>
      </c>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row>
    <row r="92" spans="2:55" x14ac:dyDescent="0.25">
      <c r="C92" s="130"/>
      <c r="D92" s="131"/>
      <c r="E92" s="133" t="e">
        <f>E90-D90</f>
        <v>#REF!</v>
      </c>
      <c r="F92" s="133" t="e">
        <f>F90-D90</f>
        <v>#REF!</v>
      </c>
      <c r="G92" s="133"/>
      <c r="H92" s="133"/>
      <c r="I92" s="133" t="e">
        <f>I90-H90</f>
        <v>#REF!</v>
      </c>
      <c r="J92" s="133" t="e">
        <f>J90-H90</f>
        <v>#REF!</v>
      </c>
      <c r="K92" s="133"/>
      <c r="L92" s="133"/>
      <c r="M92" s="133" t="e">
        <f>M90-L90</f>
        <v>#REF!</v>
      </c>
      <c r="N92" s="133" t="e">
        <f>N90-L90</f>
        <v>#REF!</v>
      </c>
      <c r="O92" s="133"/>
      <c r="P92" s="133"/>
      <c r="Q92" s="133" t="e">
        <f>Q90-P90</f>
        <v>#REF!</v>
      </c>
      <c r="R92" s="133" t="e">
        <f>R90-P90</f>
        <v>#REF!</v>
      </c>
      <c r="S92" s="133"/>
      <c r="T92" s="133"/>
      <c r="U92" s="133" t="e">
        <f>U90-T90</f>
        <v>#REF!</v>
      </c>
      <c r="V92" s="133" t="e">
        <f>V90-T90</f>
        <v>#REF!</v>
      </c>
      <c r="W92" s="133"/>
      <c r="X92" s="133"/>
      <c r="Y92" s="133" t="e">
        <f>Y90-X90</f>
        <v>#REF!</v>
      </c>
      <c r="Z92" s="133" t="e">
        <f>Z90-X90</f>
        <v>#REF!</v>
      </c>
      <c r="AA92" s="133"/>
      <c r="AB92" s="133"/>
      <c r="AC92" s="133"/>
      <c r="AD92" s="133"/>
      <c r="AE92" s="133"/>
      <c r="AF92" s="133"/>
      <c r="AG92" s="133"/>
      <c r="AH92" s="133"/>
      <c r="AI92" s="133"/>
      <c r="AJ92" s="133"/>
      <c r="AK92" s="133"/>
      <c r="AL92" s="133"/>
      <c r="AM92" s="133"/>
      <c r="AN92" s="133"/>
      <c r="AO92" s="133"/>
      <c r="AP92" s="133"/>
      <c r="AQ92" s="133"/>
      <c r="AR92" s="133"/>
      <c r="AS92" s="133"/>
      <c r="AT92" s="133"/>
      <c r="AU92" s="133"/>
      <c r="AV92" s="133"/>
      <c r="AW92" s="133"/>
      <c r="AX92" s="133"/>
      <c r="AY92" s="133"/>
      <c r="AZ92" s="133"/>
      <c r="BA92" s="133"/>
      <c r="BB92" s="133"/>
      <c r="BC92" s="133"/>
    </row>
    <row r="93" spans="2:55" x14ac:dyDescent="0.25">
      <c r="C93" s="130" t="s">
        <v>500</v>
      </c>
      <c r="D93" s="131" t="e">
        <f>D20</f>
        <v>#REF!</v>
      </c>
      <c r="E93" s="131" t="e">
        <f>D21</f>
        <v>#REF!</v>
      </c>
      <c r="F93" s="131" t="e">
        <f>D22</f>
        <v>#REF!</v>
      </c>
      <c r="G93" s="131"/>
      <c r="H93" s="131" t="e">
        <f>E20</f>
        <v>#REF!</v>
      </c>
      <c r="I93" s="131" t="e">
        <f>E21</f>
        <v>#REF!</v>
      </c>
      <c r="J93" s="131" t="e">
        <f>E22</f>
        <v>#REF!</v>
      </c>
      <c r="K93" s="131"/>
      <c r="L93" s="131" t="e">
        <f>F20</f>
        <v>#REF!</v>
      </c>
      <c r="M93" s="131" t="e">
        <f>F21</f>
        <v>#REF!</v>
      </c>
      <c r="N93" s="131" t="e">
        <f>F22</f>
        <v>#REF!</v>
      </c>
      <c r="O93" s="131"/>
      <c r="P93" s="131" t="e">
        <f>G20</f>
        <v>#REF!</v>
      </c>
      <c r="Q93" s="131" t="e">
        <f>G21</f>
        <v>#REF!</v>
      </c>
      <c r="R93" s="131" t="e">
        <f>G22</f>
        <v>#REF!</v>
      </c>
      <c r="S93" s="131"/>
      <c r="T93" s="131" t="e">
        <f>H20</f>
        <v>#REF!</v>
      </c>
      <c r="U93" s="131" t="e">
        <f>H21</f>
        <v>#REF!</v>
      </c>
      <c r="V93" s="131" t="e">
        <f>H22</f>
        <v>#REF!</v>
      </c>
      <c r="W93" s="131"/>
      <c r="X93" s="131" t="e">
        <f>I20</f>
        <v>#REF!</v>
      </c>
      <c r="Y93" s="131" t="e">
        <f>I21</f>
        <v>#REF!</v>
      </c>
      <c r="Z93" s="131" t="e">
        <f>I22</f>
        <v>#REF!</v>
      </c>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row>
    <row r="94" spans="2:55" x14ac:dyDescent="0.25">
      <c r="C94" s="130"/>
      <c r="D94" s="131"/>
      <c r="E94" s="132" t="e">
        <f>ABS(E93-D93)</f>
        <v>#REF!</v>
      </c>
      <c r="F94" s="132" t="e">
        <f>ABS(F93-D93)</f>
        <v>#REF!</v>
      </c>
      <c r="G94" s="132"/>
      <c r="H94" s="130"/>
      <c r="I94" s="132" t="e">
        <f>ABS(I95)</f>
        <v>#REF!</v>
      </c>
      <c r="J94" s="132" t="e">
        <f>ABS(J95)</f>
        <v>#REF!</v>
      </c>
      <c r="K94" s="132"/>
      <c r="L94" s="130"/>
      <c r="M94" s="132" t="e">
        <f>ABS(M95)</f>
        <v>#REF!</v>
      </c>
      <c r="N94" s="132" t="e">
        <f>ABS(N95)</f>
        <v>#REF!</v>
      </c>
      <c r="O94" s="132"/>
      <c r="P94" s="130"/>
      <c r="Q94" s="132" t="e">
        <f>ABS(Q95)</f>
        <v>#REF!</v>
      </c>
      <c r="R94" s="132" t="e">
        <f>ABS(R95)</f>
        <v>#REF!</v>
      </c>
      <c r="S94" s="132"/>
      <c r="T94" s="130"/>
      <c r="U94" s="132" t="e">
        <f>ABS(U95)</f>
        <v>#REF!</v>
      </c>
      <c r="V94" s="132" t="e">
        <f>ABS(V95)</f>
        <v>#REF!</v>
      </c>
      <c r="W94" s="132"/>
      <c r="X94" s="130"/>
      <c r="Y94" s="132" t="e">
        <f>ABS(Y95)</f>
        <v>#REF!</v>
      </c>
      <c r="Z94" s="132" t="e">
        <f>ABS(Z95)</f>
        <v>#REF!</v>
      </c>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row>
    <row r="95" spans="2:55" x14ac:dyDescent="0.25">
      <c r="B95" s="164"/>
      <c r="C95" s="133"/>
      <c r="D95" s="133"/>
      <c r="E95" s="133" t="e">
        <f>E93-D93</f>
        <v>#REF!</v>
      </c>
      <c r="F95" s="133" t="e">
        <f>F93-D93</f>
        <v>#REF!</v>
      </c>
      <c r="G95" s="133"/>
      <c r="H95" s="133"/>
      <c r="I95" s="133" t="e">
        <f>I93-H93</f>
        <v>#REF!</v>
      </c>
      <c r="J95" s="133" t="e">
        <f>J93-H93</f>
        <v>#REF!</v>
      </c>
      <c r="K95" s="133"/>
      <c r="L95" s="133"/>
      <c r="M95" s="133" t="e">
        <f>M93-L93</f>
        <v>#REF!</v>
      </c>
      <c r="N95" s="133" t="e">
        <f>N93-L93</f>
        <v>#REF!</v>
      </c>
      <c r="O95" s="133"/>
      <c r="P95" s="133"/>
      <c r="Q95" s="133" t="e">
        <f>Q93-P93</f>
        <v>#REF!</v>
      </c>
      <c r="R95" s="133" t="e">
        <f>R93-P93</f>
        <v>#REF!</v>
      </c>
      <c r="S95" s="133"/>
      <c r="T95" s="133"/>
      <c r="U95" s="133" t="e">
        <f>U93-T93</f>
        <v>#REF!</v>
      </c>
      <c r="V95" s="133" t="e">
        <f>V93-T93</f>
        <v>#REF!</v>
      </c>
      <c r="W95" s="133"/>
      <c r="X95" s="133"/>
      <c r="Y95" s="133" t="e">
        <f>Y93-X93</f>
        <v>#REF!</v>
      </c>
      <c r="Z95" s="133" t="e">
        <f>Z93-X93</f>
        <v>#REF!</v>
      </c>
      <c r="AA95" s="133"/>
      <c r="AB95" s="133"/>
      <c r="AC95" s="133"/>
      <c r="AD95" s="133"/>
      <c r="AE95" s="133"/>
      <c r="AF95" s="133"/>
      <c r="AG95" s="133"/>
      <c r="AH95" s="133"/>
      <c r="AI95" s="133"/>
      <c r="AJ95" s="133"/>
      <c r="AK95" s="133"/>
      <c r="AL95" s="133"/>
      <c r="AM95" s="133"/>
      <c r="AN95" s="133"/>
      <c r="AO95" s="133"/>
      <c r="AP95" s="133"/>
      <c r="AQ95" s="133"/>
      <c r="AR95" s="133"/>
      <c r="AS95" s="133"/>
      <c r="AT95" s="133"/>
      <c r="AU95" s="133"/>
      <c r="AV95" s="133"/>
      <c r="AW95" s="133"/>
      <c r="AX95" s="133"/>
      <c r="AY95" s="133"/>
      <c r="AZ95" s="133"/>
      <c r="BA95" s="133"/>
      <c r="BB95" s="133"/>
      <c r="BC95" s="133"/>
    </row>
    <row r="96" spans="2:55" x14ac:dyDescent="0.25">
      <c r="C96" s="130"/>
      <c r="D96" s="130"/>
      <c r="E96" s="130"/>
      <c r="F96" s="130"/>
      <c r="G96" s="130"/>
      <c r="H96" s="130"/>
      <c r="I96" s="130"/>
      <c r="J96" s="130"/>
      <c r="K96" s="130"/>
      <c r="L96" s="130"/>
      <c r="M96" s="130"/>
      <c r="N96" s="130"/>
      <c r="O96" s="130"/>
      <c r="P96" s="130"/>
      <c r="Q96" s="130"/>
      <c r="R96" s="130"/>
      <c r="S96" s="130"/>
      <c r="T96" s="130"/>
      <c r="U96" s="130"/>
      <c r="V96" s="130"/>
      <c r="W96" s="130"/>
    </row>
    <row r="97" spans="3:23" x14ac:dyDescent="0.25">
      <c r="C97" s="130"/>
      <c r="D97" s="130"/>
      <c r="E97" s="130"/>
      <c r="F97" s="130"/>
      <c r="G97" s="130"/>
      <c r="H97" s="130"/>
      <c r="I97" s="130"/>
      <c r="J97" s="130"/>
      <c r="K97" s="130"/>
      <c r="L97" s="130"/>
      <c r="M97" s="130"/>
      <c r="N97" s="130"/>
      <c r="O97" s="130"/>
      <c r="P97" s="130"/>
      <c r="Q97" s="130"/>
      <c r="R97" s="130"/>
      <c r="S97" s="130"/>
      <c r="T97" s="130"/>
      <c r="U97" s="130"/>
      <c r="V97" s="130"/>
      <c r="W97" s="130"/>
    </row>
  </sheetData>
  <mergeCells count="8">
    <mergeCell ref="X88:Z88"/>
    <mergeCell ref="P88:R88"/>
    <mergeCell ref="T88:V88"/>
    <mergeCell ref="D38:E38"/>
    <mergeCell ref="A2:A3"/>
    <mergeCell ref="D88:F88"/>
    <mergeCell ref="H88:J88"/>
    <mergeCell ref="L88:N88"/>
  </mergeCells>
  <dataValidations count="1">
    <dataValidation type="list" allowBlank="1" showInputMessage="1" showErrorMessage="1" sqref="P19 D38" xr:uid="{06BCE33D-6E3A-49FC-B772-DE1C3C3CF7E4}">
      <formula1>"Actual,Approx"</formula1>
    </dataValidation>
  </dataValidations>
  <pageMargins left="0.7" right="0.7" top="0.75" bottom="0.75" header="0.3" footer="0.3"/>
  <pageSetup paperSize="9" orientation="portrait" r:id="rId1"/>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F7FCA-F843-45E7-BE35-70881A686D92}">
  <sheetPr>
    <tabColor rgb="FFFFB13F"/>
  </sheetPr>
  <dimension ref="A1:BC97"/>
  <sheetViews>
    <sheetView showGridLines="0" topLeftCell="B1" zoomScale="85" zoomScaleNormal="85" workbookViewId="0">
      <pane ySplit="3" topLeftCell="A4" activePane="bottomLeft" state="frozen"/>
      <selection pane="bottomLeft" activeCell="V33" sqref="V33"/>
    </sheetView>
  </sheetViews>
  <sheetFormatPr defaultColWidth="10.5703125" defaultRowHeight="15" outlineLevelCol="1" x14ac:dyDescent="0.25"/>
  <cols>
    <col min="1" max="1" width="100.5703125" hidden="1" customWidth="1" outlineLevel="1"/>
    <col min="2" max="2" width="10.5703125" style="6" customWidth="1" collapsed="1"/>
    <col min="3" max="3" width="16" customWidth="1"/>
    <col min="4" max="55" width="10.5703125" customWidth="1"/>
  </cols>
  <sheetData>
    <row r="1" spans="1:55" ht="15" customHeight="1" x14ac:dyDescent="0.25">
      <c r="A1" s="1" t="s">
        <v>20</v>
      </c>
      <c r="B1" s="21"/>
      <c r="C1" s="22"/>
      <c r="D1" s="22"/>
      <c r="E1" s="22"/>
      <c r="F1" s="22"/>
      <c r="G1" s="22"/>
      <c r="H1" s="123" t="s">
        <v>411</v>
      </c>
      <c r="I1" s="96"/>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row>
    <row r="2" spans="1:55" s="4" customFormat="1" ht="50.1" customHeight="1" x14ac:dyDescent="0.25">
      <c r="A2" s="382" t="s">
        <v>21</v>
      </c>
      <c r="B2" s="25"/>
      <c r="C2" s="25" t="str">
        <f>Disclaimer!$B$1</f>
        <v>VDO calculation model</v>
      </c>
      <c r="D2" s="25"/>
      <c r="E2" s="25"/>
      <c r="F2" s="25"/>
      <c r="G2" s="25"/>
      <c r="H2" s="41" t="str">
        <f>Calc_Rates!$D$5</f>
        <v>VDO 2022-23 - Draft</v>
      </c>
      <c r="I2" s="41" t="str">
        <f>Calc_Rates!$D$254</f>
        <v>VDO 2022 - Final</v>
      </c>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row>
    <row r="3" spans="1:55" s="4" customFormat="1" ht="30" customHeight="1" x14ac:dyDescent="0.25">
      <c r="A3" s="383"/>
      <c r="B3" s="27">
        <f ca="1">_xlfn.SHEET()</f>
        <v>21</v>
      </c>
      <c r="C3" s="26" t="s">
        <v>440</v>
      </c>
      <c r="D3" s="26"/>
      <c r="E3" s="26"/>
      <c r="F3" s="26"/>
      <c r="G3" s="26"/>
      <c r="H3" s="95" t="e">
        <f>SUM(D14:H14,D24:H24)</f>
        <v>#REF!</v>
      </c>
      <c r="I3" s="95" t="e">
        <f>SUM(D15:H16,D25:H26,O15:S16,O25:S26,AH15:AL16,AH25:AL26)</f>
        <v>#REF!</v>
      </c>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row>
    <row r="4" spans="1:55" x14ac:dyDescent="0.25">
      <c r="B4"/>
    </row>
    <row r="5" spans="1:55" ht="16.5" thickBot="1" x14ac:dyDescent="0.3">
      <c r="A5" s="1" t="s">
        <v>23</v>
      </c>
      <c r="B5" s="9">
        <f ca="1">MAX(B$3:B4)+0.1</f>
        <v>21.1</v>
      </c>
      <c r="C5" s="28" t="s">
        <v>433</v>
      </c>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row>
    <row r="6" spans="1:55" x14ac:dyDescent="0.25">
      <c r="Q6" s="165"/>
    </row>
    <row r="7" spans="1:55" ht="15.75" x14ac:dyDescent="0.25">
      <c r="C7" s="146" t="s">
        <v>432</v>
      </c>
      <c r="J7" s="146"/>
      <c r="O7" s="146" t="s">
        <v>435</v>
      </c>
      <c r="U7" s="166"/>
      <c r="AG7" s="146" t="s">
        <v>436</v>
      </c>
    </row>
    <row r="8" spans="1:55" ht="15.75" x14ac:dyDescent="0.25">
      <c r="C8" s="29" t="s">
        <v>92</v>
      </c>
      <c r="D8" s="130"/>
      <c r="E8" s="130"/>
      <c r="F8" s="130"/>
      <c r="G8" s="130"/>
      <c r="H8" s="130"/>
      <c r="J8" s="29"/>
      <c r="O8" s="29" t="s">
        <v>92</v>
      </c>
      <c r="P8" s="130"/>
      <c r="Q8" s="130"/>
      <c r="R8" s="130"/>
      <c r="S8" s="130"/>
      <c r="T8" s="130"/>
      <c r="U8" s="29"/>
      <c r="V8" s="130"/>
      <c r="W8" s="29" t="s">
        <v>459</v>
      </c>
      <c r="Z8" s="29" t="s">
        <v>462</v>
      </c>
      <c r="AC8" s="29" t="s">
        <v>458</v>
      </c>
      <c r="AG8" s="29" t="s">
        <v>92</v>
      </c>
      <c r="AH8" s="130"/>
      <c r="AI8" s="130"/>
      <c r="AJ8" s="130"/>
      <c r="AK8" s="130"/>
    </row>
    <row r="9" spans="1:55" ht="15.75" x14ac:dyDescent="0.25">
      <c r="C9" s="43" t="s">
        <v>90</v>
      </c>
      <c r="D9" s="60" t="s">
        <v>268</v>
      </c>
      <c r="E9" s="60" t="s">
        <v>269</v>
      </c>
      <c r="F9" s="60" t="s">
        <v>270</v>
      </c>
      <c r="G9" s="60" t="s">
        <v>271</v>
      </c>
      <c r="H9" s="60" t="s">
        <v>272</v>
      </c>
      <c r="I9" s="163" t="s">
        <v>447</v>
      </c>
      <c r="K9" s="42" t="s">
        <v>455</v>
      </c>
      <c r="L9" s="42" t="s">
        <v>456</v>
      </c>
      <c r="M9" s="42" t="s">
        <v>457</v>
      </c>
      <c r="O9" s="43" t="s">
        <v>90</v>
      </c>
      <c r="P9" s="60" t="s">
        <v>268</v>
      </c>
      <c r="Q9" s="60" t="s">
        <v>269</v>
      </c>
      <c r="R9" s="60" t="s">
        <v>270</v>
      </c>
      <c r="S9" s="60" t="s">
        <v>271</v>
      </c>
      <c r="T9" s="60" t="s">
        <v>272</v>
      </c>
      <c r="U9" s="163" t="s">
        <v>447</v>
      </c>
      <c r="V9" s="130"/>
      <c r="W9" s="50" t="s">
        <v>460</v>
      </c>
      <c r="X9" s="50" t="s">
        <v>461</v>
      </c>
      <c r="Y9" s="138"/>
      <c r="Z9" s="50" t="s">
        <v>460</v>
      </c>
      <c r="AA9" s="50" t="s">
        <v>461</v>
      </c>
      <c r="AB9" s="138"/>
      <c r="AC9" s="50" t="s">
        <v>460</v>
      </c>
      <c r="AD9" s="50" t="s">
        <v>461</v>
      </c>
      <c r="AE9" s="130"/>
      <c r="AF9" s="130"/>
      <c r="AG9" s="43" t="s">
        <v>90</v>
      </c>
      <c r="AH9" s="60" t="s">
        <v>268</v>
      </c>
      <c r="AI9" s="60" t="s">
        <v>269</v>
      </c>
      <c r="AJ9" s="60" t="s">
        <v>270</v>
      </c>
      <c r="AK9" s="60" t="s">
        <v>271</v>
      </c>
      <c r="AL9" s="60" t="s">
        <v>272</v>
      </c>
      <c r="AM9" s="163" t="s">
        <v>447</v>
      </c>
      <c r="AN9" s="130"/>
      <c r="AO9" s="130"/>
      <c r="AP9" s="130"/>
      <c r="AQ9" s="130"/>
      <c r="AR9" s="130"/>
      <c r="AS9" s="130"/>
      <c r="AT9" s="130"/>
      <c r="AU9" s="130"/>
      <c r="AV9" s="130"/>
      <c r="AW9" s="130"/>
      <c r="AX9" s="130"/>
      <c r="AY9" s="130"/>
      <c r="AZ9" s="130"/>
      <c r="BA9" s="130"/>
      <c r="BB9" s="130"/>
      <c r="BC9" s="130"/>
    </row>
    <row r="10" spans="1:55" x14ac:dyDescent="0.25">
      <c r="C10" s="82" t="str">
        <f>Calc_Rates!$D$5</f>
        <v>VDO 2022-23 - Draft</v>
      </c>
      <c r="D10" s="137" t="e">
        <f>'CH_Bill impacts full year 2'!#REF!*FM_Prop</f>
        <v>#REF!</v>
      </c>
      <c r="E10" s="137" t="e">
        <f>'CH_Bill impacts full year 2'!#REF!*FM_Prop</f>
        <v>#REF!</v>
      </c>
      <c r="F10" s="137" t="e">
        <f>'CH_Bill impacts full year 2'!#REF!*FM_Prop</f>
        <v>#REF!</v>
      </c>
      <c r="G10" s="137" t="e">
        <f>'CH_Bill impacts full year 2'!#REF!*FM_Prop</f>
        <v>#REF!</v>
      </c>
      <c r="H10" s="137" t="e">
        <f>'CH_Bill impacts full year 2'!#REF!*FM_Prop</f>
        <v>#REF!</v>
      </c>
      <c r="I10" s="161" t="e">
        <f>AVERAGE(HYBills_RES80[[#This Row],[Ausnet]:[United Energy]])</f>
        <v>#REF!</v>
      </c>
      <c r="K10" s="171" t="e">
        <f>MIN(HYBills_RES80[[#This Row],[Ausnet]:[Victoria]])</f>
        <v>#REF!</v>
      </c>
      <c r="L10" s="171" t="e">
        <f>MAX(HYBills_RES80[[#This Row],[Ausnet]:[Victoria]])</f>
        <v>#REF!</v>
      </c>
      <c r="M10" s="171" t="e">
        <f>L10-K10</f>
        <v>#REF!</v>
      </c>
      <c r="O10" s="59"/>
      <c r="P10" s="137"/>
      <c r="Q10" s="137"/>
      <c r="R10" s="137"/>
      <c r="S10" s="137"/>
      <c r="T10" s="137"/>
      <c r="U10" s="161"/>
      <c r="V10" s="130"/>
      <c r="W10" s="173"/>
      <c r="X10" s="138"/>
      <c r="Y10" s="138"/>
      <c r="Z10" s="173"/>
      <c r="AA10" s="138"/>
      <c r="AB10" s="138"/>
      <c r="AC10" s="138"/>
      <c r="AD10" s="138"/>
      <c r="AE10" s="130"/>
      <c r="AF10" s="130"/>
      <c r="AG10" s="59"/>
      <c r="AH10" s="148"/>
      <c r="AI10" s="148"/>
      <c r="AJ10" s="148"/>
      <c r="AK10" s="148"/>
      <c r="AL10" s="148"/>
      <c r="AM10" s="162"/>
      <c r="AN10" s="130"/>
      <c r="AO10" s="130"/>
      <c r="AP10" s="130"/>
      <c r="AQ10" s="130"/>
      <c r="AR10" s="130"/>
      <c r="AS10" s="130"/>
      <c r="AT10" s="130"/>
      <c r="AU10" s="130"/>
      <c r="AV10" s="130"/>
      <c r="AW10" s="130"/>
      <c r="AX10" s="130"/>
      <c r="AY10" s="130"/>
      <c r="AZ10" s="130"/>
      <c r="BA10" s="130"/>
      <c r="BB10" s="130"/>
      <c r="BC10" s="130"/>
    </row>
    <row r="11" spans="1:55" x14ac:dyDescent="0.25">
      <c r="C11" s="82" t="str">
        <f>Calc_Rates!$D$254&amp;" - Flat"</f>
        <v>VDO 2022 - Final - Flat</v>
      </c>
      <c r="D11" s="137" t="e">
        <f>'CH_Bill impacts full year 2'!#REF!*FM_Prop</f>
        <v>#REF!</v>
      </c>
      <c r="E11" s="137" t="e">
        <f>'CH_Bill impacts full year 2'!#REF!*FM_Prop</f>
        <v>#REF!</v>
      </c>
      <c r="F11" s="137" t="e">
        <f>'CH_Bill impacts full year 2'!#REF!*FM_Prop</f>
        <v>#REF!</v>
      </c>
      <c r="G11" s="137" t="e">
        <f>'CH_Bill impacts full year 2'!#REF!*FM_Prop</f>
        <v>#REF!</v>
      </c>
      <c r="H11" s="137" t="e">
        <f>'CH_Bill impacts full year 2'!#REF!*FM_Prop</f>
        <v>#REF!</v>
      </c>
      <c r="I11" s="161" t="e">
        <f>AVERAGE(HYBills_RES80[[#This Row],[Ausnet]:[United Energy]])</f>
        <v>#REF!</v>
      </c>
      <c r="K11" s="171" t="e">
        <f>MIN(HYBills_RES80[[#This Row],[Ausnet]:[Victoria]])</f>
        <v>#REF!</v>
      </c>
      <c r="L11" s="171" t="e">
        <f>MAX(HYBills_RES80[[#This Row],[Ausnet]:[Victoria]])</f>
        <v>#REF!</v>
      </c>
      <c r="M11" s="171" t="e">
        <f t="shared" ref="M11:M12" si="0">L11-K11</f>
        <v>#REF!</v>
      </c>
      <c r="O11" s="82" t="str">
        <f>Calc_Rates!$D$254&amp;" - Flat"</f>
        <v>VDO 2022 - Final - Flat</v>
      </c>
      <c r="P11" s="145" t="e">
        <f>D11-D$10</f>
        <v>#REF!</v>
      </c>
      <c r="Q11" s="145" t="e">
        <f t="shared" ref="P11:U12" si="1">E11-E$10</f>
        <v>#REF!</v>
      </c>
      <c r="R11" s="145" t="e">
        <f t="shared" si="1"/>
        <v>#REF!</v>
      </c>
      <c r="S11" s="145" t="e">
        <f t="shared" si="1"/>
        <v>#REF!</v>
      </c>
      <c r="T11" s="145" t="e">
        <f t="shared" si="1"/>
        <v>#REF!</v>
      </c>
      <c r="U11" s="145" t="e">
        <f t="shared" si="1"/>
        <v>#REF!</v>
      </c>
      <c r="V11" s="130"/>
      <c r="W11" s="173">
        <f>_xlfn.MINIFS(HYBillImpact_RES82[[#This Row],[Ausnet]:[Victoria]],HYBillImpact_RES82[[#This Row],[Ausnet]:[Victoria]],"&lt;0")</f>
        <v>0</v>
      </c>
      <c r="X11" s="173" t="str">
        <f>IF(_xlfn.MAXIFS(HYBillImpact_RES82[[#This Row],[Ausnet]:[Victoria]],HYBillImpact_RES82[[#This Row],[Ausnet]:[Victoria]],"&lt;0")=W11,"-",_xlfn.MAXIFS(HYBillImpact_RES82[[#This Row],[Ausnet]:[Victoria]],HYBillImpact_RES82[[#This Row],[Ausnet]:[Victoria]],"&lt;0"))</f>
        <v>-</v>
      </c>
      <c r="Y11" s="138"/>
      <c r="Z11" s="173">
        <f>_xlfn.MINIFS(HYBillImpact_RES82[[#This Row],[Ausnet]:[Victoria]],HYBillImpact_RES82[[#This Row],[Ausnet]:[Victoria]],"&gt;0")</f>
        <v>0</v>
      </c>
      <c r="AA11" s="173" t="str">
        <f>IF(_xlfn.MAXIFS(HYBillImpact_RES82[[#This Row],[Ausnet]:[Victoria]],HYBillImpact_RES82[[#This Row],[Ausnet]:[Victoria]],"&gt;0")=Z11,"-",_xlfn.MAXIFS(HYBillImpact_RES82[[#This Row],[Ausnet]:[Victoria]],HYBillImpact_RES82[[#This Row],[Ausnet]:[Victoria]],"&gt;0"))</f>
        <v>-</v>
      </c>
      <c r="AB11" s="138"/>
      <c r="AC11" s="173">
        <f>MIN(W11:X11)</f>
        <v>0</v>
      </c>
      <c r="AD11" s="173">
        <f>MAX(Z11:AA11)</f>
        <v>0</v>
      </c>
      <c r="AE11" s="130"/>
      <c r="AF11" s="130"/>
      <c r="AG11" s="82" t="str">
        <f>Calc_Rates!$D$254&amp;" - Flat"</f>
        <v>VDO 2022 - Final - Flat</v>
      </c>
      <c r="AH11" s="147" t="e">
        <f t="shared" ref="AH11:AM12" si="2">P11/D$10</f>
        <v>#REF!</v>
      </c>
      <c r="AI11" s="147" t="e">
        <f t="shared" si="2"/>
        <v>#REF!</v>
      </c>
      <c r="AJ11" s="147" t="e">
        <f t="shared" si="2"/>
        <v>#REF!</v>
      </c>
      <c r="AK11" s="147" t="e">
        <f t="shared" si="2"/>
        <v>#REF!</v>
      </c>
      <c r="AL11" s="147" t="e">
        <f t="shared" si="2"/>
        <v>#REF!</v>
      </c>
      <c r="AM11" s="147" t="e">
        <f t="shared" si="2"/>
        <v>#REF!</v>
      </c>
      <c r="AN11" s="130"/>
      <c r="AO11" s="130"/>
      <c r="AP11" s="130"/>
      <c r="AQ11" s="130"/>
      <c r="AR11" s="130"/>
      <c r="AS11" s="130"/>
      <c r="AT11" s="130"/>
      <c r="AU11" s="130"/>
      <c r="AV11" s="130"/>
      <c r="AW11" s="130"/>
      <c r="AX11" s="130"/>
      <c r="AY11" s="130"/>
      <c r="AZ11" s="130"/>
      <c r="BA11" s="130"/>
      <c r="BB11" s="130"/>
      <c r="BC11" s="130"/>
    </row>
    <row r="12" spans="1:55" x14ac:dyDescent="0.25">
      <c r="C12" s="82" t="str">
        <f>Calc_Rates!$D$254&amp;" - TOU"</f>
        <v>VDO 2022 - Final - TOU</v>
      </c>
      <c r="D12" s="137" t="e">
        <f>'CH_Bill impacts full year 2'!#REF!*FM_Prop</f>
        <v>#REF!</v>
      </c>
      <c r="E12" s="137" t="e">
        <f>'CH_Bill impacts full year 2'!#REF!*FM_Prop</f>
        <v>#REF!</v>
      </c>
      <c r="F12" s="137" t="e">
        <f>'CH_Bill impacts full year 2'!#REF!*FM_Prop</f>
        <v>#REF!</v>
      </c>
      <c r="G12" s="137" t="e">
        <f>'CH_Bill impacts full year 2'!#REF!*FM_Prop</f>
        <v>#REF!</v>
      </c>
      <c r="H12" s="137" t="e">
        <f>'CH_Bill impacts full year 2'!#REF!*FM_Prop</f>
        <v>#REF!</v>
      </c>
      <c r="I12" s="161" t="e">
        <f>AVERAGE(HYBills_RES80[[#This Row],[Ausnet]:[United Energy]])</f>
        <v>#REF!</v>
      </c>
      <c r="K12" s="171" t="e">
        <f>MIN(HYBills_RES80[[#This Row],[Ausnet]:[Victoria]])</f>
        <v>#REF!</v>
      </c>
      <c r="L12" s="171" t="e">
        <f>MAX(HYBills_RES80[[#This Row],[Ausnet]:[Victoria]])</f>
        <v>#REF!</v>
      </c>
      <c r="M12" s="171" t="e">
        <f t="shared" si="0"/>
        <v>#REF!</v>
      </c>
      <c r="O12" s="82" t="str">
        <f>Calc_Rates!$D$254&amp;" - TOU"</f>
        <v>VDO 2022 - Final - TOU</v>
      </c>
      <c r="P12" s="145" t="e">
        <f t="shared" si="1"/>
        <v>#REF!</v>
      </c>
      <c r="Q12" s="145" t="e">
        <f t="shared" si="1"/>
        <v>#REF!</v>
      </c>
      <c r="R12" s="145" t="e">
        <f t="shared" si="1"/>
        <v>#REF!</v>
      </c>
      <c r="S12" s="145" t="e">
        <f t="shared" si="1"/>
        <v>#REF!</v>
      </c>
      <c r="T12" s="145" t="e">
        <f t="shared" si="1"/>
        <v>#REF!</v>
      </c>
      <c r="U12" s="145" t="e">
        <f t="shared" si="1"/>
        <v>#REF!</v>
      </c>
      <c r="V12" s="130"/>
      <c r="W12" s="173">
        <f>_xlfn.MINIFS(HYBillImpact_RES82[[#This Row],[Ausnet]:[Victoria]],HYBillImpact_RES82[[#This Row],[Ausnet]:[Victoria]],"&lt;0")</f>
        <v>0</v>
      </c>
      <c r="X12" s="173" t="str">
        <f>IF(_xlfn.MAXIFS(HYBillImpact_RES82[[#This Row],[Ausnet]:[Victoria]],HYBillImpact_RES82[[#This Row],[Ausnet]:[Victoria]],"&lt;0")=W12,"-",_xlfn.MAXIFS(HYBillImpact_RES82[[#This Row],[Ausnet]:[Victoria]],HYBillImpact_RES82[[#This Row],[Ausnet]:[Victoria]],"&lt;0"))</f>
        <v>-</v>
      </c>
      <c r="Y12" s="138"/>
      <c r="Z12" s="173">
        <f>_xlfn.MINIFS(HYBillImpact_RES82[[#This Row],[Ausnet]:[Victoria]],HYBillImpact_RES82[[#This Row],[Ausnet]:[Victoria]],"&gt;0")</f>
        <v>0</v>
      </c>
      <c r="AA12" s="173" t="str">
        <f>IF(_xlfn.MAXIFS(HYBillImpact_RES82[[#This Row],[Ausnet]:[Victoria]],HYBillImpact_RES82[[#This Row],[Ausnet]:[Victoria]],"&gt;0")=Z12,"-",_xlfn.MAXIFS(HYBillImpact_RES82[[#This Row],[Ausnet]:[Victoria]],HYBillImpact_RES82[[#This Row],[Ausnet]:[Victoria]],"&gt;0"))</f>
        <v>-</v>
      </c>
      <c r="AB12" s="138"/>
      <c r="AC12" s="173">
        <f>MIN(W12:X12)</f>
        <v>0</v>
      </c>
      <c r="AD12" s="173">
        <f>MAX(Z12:AA12)</f>
        <v>0</v>
      </c>
      <c r="AE12" s="130"/>
      <c r="AF12" s="130"/>
      <c r="AG12" s="82" t="str">
        <f>Calc_Rates!$D$254&amp;" - TOU"</f>
        <v>VDO 2022 - Final - TOU</v>
      </c>
      <c r="AH12" s="147" t="e">
        <f t="shared" si="2"/>
        <v>#REF!</v>
      </c>
      <c r="AI12" s="147" t="e">
        <f t="shared" si="2"/>
        <v>#REF!</v>
      </c>
      <c r="AJ12" s="147" t="e">
        <f t="shared" si="2"/>
        <v>#REF!</v>
      </c>
      <c r="AK12" s="147" t="e">
        <f t="shared" si="2"/>
        <v>#REF!</v>
      </c>
      <c r="AL12" s="147" t="e">
        <f t="shared" si="2"/>
        <v>#REF!</v>
      </c>
      <c r="AM12" s="147" t="e">
        <f t="shared" si="2"/>
        <v>#REF!</v>
      </c>
      <c r="AN12" s="130"/>
      <c r="AO12" s="130"/>
      <c r="AP12" s="130"/>
      <c r="AQ12" s="130"/>
      <c r="AR12" s="130"/>
      <c r="AS12" s="130"/>
      <c r="AT12" s="130"/>
      <c r="AU12" s="130"/>
      <c r="AV12" s="130"/>
      <c r="AW12" s="130"/>
      <c r="AX12" s="130"/>
      <c r="AY12" s="130"/>
      <c r="AZ12" s="130"/>
      <c r="BA12" s="130"/>
      <c r="BB12" s="130"/>
      <c r="BC12" s="130"/>
    </row>
    <row r="13" spans="1:55" x14ac:dyDescent="0.25">
      <c r="C13" s="130"/>
      <c r="D13" s="130"/>
      <c r="E13" s="130"/>
      <c r="F13" s="130"/>
      <c r="G13" s="130"/>
      <c r="H13" s="130"/>
      <c r="J13" s="130"/>
      <c r="O13" s="130"/>
      <c r="P13" s="130"/>
      <c r="Q13" s="130"/>
      <c r="R13" s="130"/>
      <c r="S13" s="130"/>
      <c r="T13" s="130"/>
      <c r="U13" s="130"/>
      <c r="V13" s="130"/>
      <c r="W13" s="138"/>
      <c r="X13" s="138"/>
      <c r="Y13" s="138"/>
      <c r="Z13" s="138"/>
      <c r="AA13" s="138"/>
      <c r="AB13" s="138"/>
      <c r="AC13" s="138"/>
      <c r="AD13" s="138"/>
      <c r="AG13" s="130"/>
      <c r="AH13" s="130"/>
      <c r="AI13" s="130"/>
      <c r="AJ13" s="130"/>
      <c r="AK13" s="130"/>
    </row>
    <row r="14" spans="1:55" ht="15.75" x14ac:dyDescent="0.25">
      <c r="C14" s="130"/>
      <c r="D14" s="93" t="e">
        <f>IF(D10=INDEX(#REF!,MATCH($C10,#REF!,0),MATCH(HYBills_RES80[[#Headers],[Ausnet]],#REF!,0))*FM_Prop,0,1)</f>
        <v>#REF!</v>
      </c>
      <c r="E14" s="93" t="e">
        <f>IF(E10=INDEX(#REF!,MATCH($C10,#REF!,0),MATCH(HYBills_RES80[[#Headers],[Citipower]],#REF!,0))*FM_Prop,0,1)</f>
        <v>#REF!</v>
      </c>
      <c r="F14" s="93" t="e">
        <f>IF(F10=INDEX(#REF!,MATCH($C10,#REF!,0),MATCH(HYBills_RES80[[#Headers],[Jemena]],#REF!,0))*FM_Prop,0,1)</f>
        <v>#REF!</v>
      </c>
      <c r="G14" s="93" t="e">
        <f>IF(G10=INDEX(#REF!,MATCH($C10,#REF!,0),MATCH(HYBills_RES80[[#Headers],[Powercor]],#REF!,0))*FM_Prop,0,1)</f>
        <v>#REF!</v>
      </c>
      <c r="H14" s="93" t="e">
        <f>IF(H10=INDEX(#REF!,MATCH($C10,#REF!,0),MATCH(HYBills_RES80[[#Headers],[United Energy]],#REF!,0))*FM_Prop,0,1)</f>
        <v>#REF!</v>
      </c>
      <c r="I14" s="93" t="e">
        <f>IF(I10=AVERAGE(D10:H10),0,1)</f>
        <v>#REF!</v>
      </c>
      <c r="J14" s="130"/>
      <c r="P14" s="130"/>
      <c r="Q14" s="130"/>
      <c r="R14" s="130"/>
      <c r="S14" s="130"/>
      <c r="T14" s="130"/>
      <c r="U14" s="130"/>
      <c r="V14" s="130"/>
      <c r="W14" s="138"/>
      <c r="X14" s="138"/>
      <c r="Y14" s="138"/>
      <c r="Z14" s="138"/>
      <c r="AA14" s="138"/>
      <c r="AB14" s="138"/>
      <c r="AC14" s="138"/>
      <c r="AD14" s="138"/>
      <c r="AG14" s="130"/>
      <c r="AH14" s="130"/>
      <c r="AI14" s="130"/>
      <c r="AJ14" s="130"/>
      <c r="AK14" s="130"/>
    </row>
    <row r="15" spans="1:55" ht="15.75" x14ac:dyDescent="0.25">
      <c r="C15" s="130"/>
      <c r="D15" s="93" t="e">
        <f>IF(D11=INDEX(#REF!,MATCH($C11,#REF!,0),MATCH(HYBills_RES80[[#Headers],[Ausnet]],#REF!,0))*FM_Prop,0,1)</f>
        <v>#REF!</v>
      </c>
      <c r="E15" s="93" t="e">
        <f>IF(E11=INDEX(#REF!,MATCH($C11,#REF!,0),MATCH(HYBills_RES80[[#Headers],[Citipower]],#REF!,0))*FM_Prop,0,1)</f>
        <v>#REF!</v>
      </c>
      <c r="F15" s="93" t="e">
        <f>IF(F11=INDEX(#REF!,MATCH($C11,#REF!,0),MATCH(HYBills_RES80[[#Headers],[Jemena]],#REF!,0))*FM_Prop,0,1)</f>
        <v>#REF!</v>
      </c>
      <c r="G15" s="93" t="e">
        <f>IF(G11=INDEX(#REF!,MATCH($C11,#REF!,0),MATCH(HYBills_RES80[[#Headers],[Powercor]],#REF!,0))*FM_Prop,0,1)</f>
        <v>#REF!</v>
      </c>
      <c r="H15" s="93" t="e">
        <f>IF(H11=INDEX(#REF!,MATCH($C11,#REF!,0),MATCH(HYBills_RES80[[#Headers],[United Energy]],#REF!,0))*FM_Prop,0,1)</f>
        <v>#REF!</v>
      </c>
      <c r="I15" s="93" t="e">
        <f t="shared" ref="I15:I16" si="3">IF(I11=AVERAGE(D11:H11),0,1)</f>
        <v>#REF!</v>
      </c>
      <c r="J15" s="130"/>
      <c r="P15" s="93" t="e">
        <f t="shared" ref="P15:U15" si="4">IF(P11=D11-D10,0,1)</f>
        <v>#REF!</v>
      </c>
      <c r="Q15" s="93" t="e">
        <f t="shared" si="4"/>
        <v>#REF!</v>
      </c>
      <c r="R15" s="93" t="e">
        <f t="shared" si="4"/>
        <v>#REF!</v>
      </c>
      <c r="S15" s="93" t="e">
        <f t="shared" si="4"/>
        <v>#REF!</v>
      </c>
      <c r="T15" s="93" t="e">
        <f t="shared" si="4"/>
        <v>#REF!</v>
      </c>
      <c r="U15" s="93" t="e">
        <f t="shared" si="4"/>
        <v>#REF!</v>
      </c>
      <c r="W15" s="138"/>
      <c r="X15" s="138"/>
      <c r="Y15" s="138"/>
      <c r="Z15" s="138"/>
      <c r="AA15" s="138"/>
      <c r="AB15" s="138"/>
      <c r="AC15" s="138"/>
      <c r="AD15" s="138"/>
      <c r="AH15" s="93" t="e">
        <f t="shared" ref="AH15:AM15" si="5">IF(AH11=(D11-D10)/D10,0,1)</f>
        <v>#REF!</v>
      </c>
      <c r="AI15" s="93" t="e">
        <f t="shared" si="5"/>
        <v>#REF!</v>
      </c>
      <c r="AJ15" s="93" t="e">
        <f t="shared" si="5"/>
        <v>#REF!</v>
      </c>
      <c r="AK15" s="93" t="e">
        <f t="shared" si="5"/>
        <v>#REF!</v>
      </c>
      <c r="AL15" s="93" t="e">
        <f t="shared" si="5"/>
        <v>#REF!</v>
      </c>
      <c r="AM15" s="93" t="e">
        <f t="shared" si="5"/>
        <v>#REF!</v>
      </c>
    </row>
    <row r="16" spans="1:55" ht="15.75" x14ac:dyDescent="0.25">
      <c r="C16" s="130"/>
      <c r="D16" s="93" t="e">
        <f>IF(D12=INDEX(#REF!,MATCH($C12,#REF!,0),MATCH(HYBills_RES80[[#Headers],[Ausnet]],#REF!,0))*FM_Prop,0,1)</f>
        <v>#REF!</v>
      </c>
      <c r="E16" s="93" t="e">
        <f>IF(E12=INDEX(#REF!,MATCH($C12,#REF!,0),MATCH(HYBills_RES80[[#Headers],[Citipower]],#REF!,0))*FM_Prop,0,1)</f>
        <v>#REF!</v>
      </c>
      <c r="F16" s="93" t="e">
        <f>IF(F12=INDEX(#REF!,MATCH($C12,#REF!,0),MATCH(HYBills_RES80[[#Headers],[Jemena]],#REF!,0))*FM_Prop,0,1)</f>
        <v>#REF!</v>
      </c>
      <c r="G16" s="93" t="e">
        <f>IF(G12=INDEX(#REF!,MATCH($C12,#REF!,0),MATCH(HYBills_RES80[[#Headers],[Powercor]],#REF!,0))*FM_Prop,0,1)</f>
        <v>#REF!</v>
      </c>
      <c r="H16" s="93" t="e">
        <f>IF(H12=INDEX(#REF!,MATCH($C12,#REF!,0),MATCH(HYBills_RES80[[#Headers],[United Energy]],#REF!,0))*FM_Prop,0,1)</f>
        <v>#REF!</v>
      </c>
      <c r="I16" s="93" t="e">
        <f t="shared" si="3"/>
        <v>#REF!</v>
      </c>
      <c r="J16" s="130"/>
      <c r="P16" s="93" t="e">
        <f t="shared" ref="P16:U16" si="6">IF(P12=D12-D10,0,1)</f>
        <v>#REF!</v>
      </c>
      <c r="Q16" s="93" t="e">
        <f t="shared" si="6"/>
        <v>#REF!</v>
      </c>
      <c r="R16" s="93" t="e">
        <f t="shared" si="6"/>
        <v>#REF!</v>
      </c>
      <c r="S16" s="93" t="e">
        <f t="shared" si="6"/>
        <v>#REF!</v>
      </c>
      <c r="T16" s="93" t="e">
        <f t="shared" si="6"/>
        <v>#REF!</v>
      </c>
      <c r="U16" s="93" t="e">
        <f t="shared" si="6"/>
        <v>#REF!</v>
      </c>
      <c r="W16" s="138"/>
      <c r="X16" s="138"/>
      <c r="Y16" s="138"/>
      <c r="Z16" s="138"/>
      <c r="AA16" s="138"/>
      <c r="AB16" s="138"/>
      <c r="AC16" s="138"/>
      <c r="AD16" s="138"/>
      <c r="AH16" s="93" t="e">
        <f t="shared" ref="AH16:AM16" si="7">IF(AH12=(D12-D10)/D10,0,1)</f>
        <v>#REF!</v>
      </c>
      <c r="AI16" s="93" t="e">
        <f t="shared" si="7"/>
        <v>#REF!</v>
      </c>
      <c r="AJ16" s="93" t="e">
        <f t="shared" si="7"/>
        <v>#REF!</v>
      </c>
      <c r="AK16" s="93" t="e">
        <f t="shared" si="7"/>
        <v>#REF!</v>
      </c>
      <c r="AL16" s="93" t="e">
        <f t="shared" si="7"/>
        <v>#REF!</v>
      </c>
      <c r="AM16" s="93" t="e">
        <f t="shared" si="7"/>
        <v>#REF!</v>
      </c>
    </row>
    <row r="17" spans="1:55" x14ac:dyDescent="0.25">
      <c r="C17" s="130"/>
      <c r="D17" s="130"/>
      <c r="E17" s="130"/>
      <c r="F17" s="130"/>
      <c r="G17" s="130"/>
      <c r="H17" s="130"/>
      <c r="J17" s="130"/>
      <c r="O17" s="130"/>
      <c r="P17" s="130"/>
      <c r="Q17" s="130"/>
      <c r="R17" s="130"/>
      <c r="S17" s="130"/>
      <c r="T17" s="130"/>
      <c r="U17" s="165"/>
      <c r="V17" s="130"/>
      <c r="W17" s="138"/>
      <c r="X17" s="138"/>
      <c r="Y17" s="138"/>
      <c r="Z17" s="138"/>
      <c r="AA17" s="138"/>
      <c r="AB17" s="138"/>
      <c r="AC17" s="138"/>
      <c r="AD17" s="138"/>
      <c r="AG17" s="130"/>
      <c r="AH17" s="130"/>
      <c r="AI17" s="130"/>
      <c r="AJ17" s="130"/>
      <c r="AK17" s="130"/>
    </row>
    <row r="18" spans="1:55" ht="15.75" x14ac:dyDescent="0.25">
      <c r="C18" s="29" t="s">
        <v>93</v>
      </c>
      <c r="D18" s="130"/>
      <c r="E18" s="130"/>
      <c r="F18" s="130"/>
      <c r="G18" s="130"/>
      <c r="H18" s="130"/>
      <c r="J18" s="29"/>
      <c r="O18" s="29" t="s">
        <v>93</v>
      </c>
      <c r="P18" s="130"/>
      <c r="Q18" s="130"/>
      <c r="R18" s="130"/>
      <c r="S18" s="130"/>
      <c r="T18" s="130"/>
      <c r="U18" s="166"/>
      <c r="V18" s="130"/>
      <c r="W18" s="138"/>
      <c r="X18" s="138"/>
      <c r="Y18" s="138"/>
      <c r="Z18" s="138"/>
      <c r="AA18" s="138"/>
      <c r="AB18" s="138"/>
      <c r="AC18" s="138"/>
      <c r="AD18" s="138"/>
      <c r="AG18" s="29" t="s">
        <v>93</v>
      </c>
      <c r="AH18" s="130"/>
      <c r="AI18" s="130"/>
      <c r="AJ18" s="130"/>
      <c r="AK18" s="130"/>
    </row>
    <row r="19" spans="1:55" ht="15.75" x14ac:dyDescent="0.25">
      <c r="C19" s="43" t="s">
        <v>90</v>
      </c>
      <c r="D19" s="60" t="s">
        <v>268</v>
      </c>
      <c r="E19" s="60" t="s">
        <v>269</v>
      </c>
      <c r="F19" s="60" t="s">
        <v>270</v>
      </c>
      <c r="G19" s="60" t="s">
        <v>271</v>
      </c>
      <c r="H19" s="60" t="s">
        <v>272</v>
      </c>
      <c r="I19" s="163" t="s">
        <v>447</v>
      </c>
      <c r="K19" s="42" t="s">
        <v>455</v>
      </c>
      <c r="L19" s="42" t="s">
        <v>456</v>
      </c>
      <c r="M19" s="42" t="s">
        <v>457</v>
      </c>
      <c r="O19" s="43" t="s">
        <v>90</v>
      </c>
      <c r="P19" s="60" t="s">
        <v>268</v>
      </c>
      <c r="Q19" s="60" t="s">
        <v>269</v>
      </c>
      <c r="R19" s="60" t="s">
        <v>270</v>
      </c>
      <c r="S19" s="60" t="s">
        <v>271</v>
      </c>
      <c r="T19" s="60" t="s">
        <v>272</v>
      </c>
      <c r="U19" s="163" t="s">
        <v>447</v>
      </c>
      <c r="V19" s="130"/>
      <c r="W19" s="50" t="s">
        <v>460</v>
      </c>
      <c r="X19" s="50" t="s">
        <v>461</v>
      </c>
      <c r="Y19" s="138"/>
      <c r="Z19" s="50" t="s">
        <v>460</v>
      </c>
      <c r="AA19" s="50" t="s">
        <v>461</v>
      </c>
      <c r="AB19" s="138"/>
      <c r="AC19" s="50" t="s">
        <v>460</v>
      </c>
      <c r="AD19" s="50" t="s">
        <v>461</v>
      </c>
      <c r="AE19" s="130"/>
      <c r="AF19" s="130"/>
      <c r="AG19" s="43" t="s">
        <v>90</v>
      </c>
      <c r="AH19" s="60" t="s">
        <v>268</v>
      </c>
      <c r="AI19" s="60" t="s">
        <v>269</v>
      </c>
      <c r="AJ19" s="60" t="s">
        <v>270</v>
      </c>
      <c r="AK19" s="60" t="s">
        <v>271</v>
      </c>
      <c r="AL19" s="60" t="s">
        <v>272</v>
      </c>
      <c r="AM19" s="163" t="s">
        <v>447</v>
      </c>
      <c r="AN19" s="130"/>
      <c r="AO19" s="130"/>
      <c r="AP19" s="130"/>
      <c r="AQ19" s="130"/>
      <c r="AR19" s="130"/>
      <c r="AS19" s="130"/>
      <c r="AT19" s="130"/>
      <c r="AU19" s="130"/>
      <c r="AV19" s="130"/>
      <c r="AW19" s="130"/>
      <c r="AX19" s="130"/>
      <c r="AY19" s="130"/>
      <c r="AZ19" s="130"/>
      <c r="BA19" s="130"/>
      <c r="BB19" s="130"/>
      <c r="BC19" s="130"/>
    </row>
    <row r="20" spans="1:55" x14ac:dyDescent="0.25">
      <c r="C20" s="82" t="str">
        <f>Calc_Rates!$D$5</f>
        <v>VDO 2022-23 - Draft</v>
      </c>
      <c r="D20" s="137" t="e">
        <f>'CH_Bill impacts full year 2'!#REF!*FM_Prop</f>
        <v>#REF!</v>
      </c>
      <c r="E20" s="137" t="e">
        <f>'CH_Bill impacts full year 2'!#REF!*FM_Prop</f>
        <v>#REF!</v>
      </c>
      <c r="F20" s="137" t="e">
        <f>'CH_Bill impacts full year 2'!#REF!*FM_Prop</f>
        <v>#REF!</v>
      </c>
      <c r="G20" s="137" t="e">
        <f>'CH_Bill impacts full year 2'!#REF!*FM_Prop</f>
        <v>#REF!</v>
      </c>
      <c r="H20" s="137" t="e">
        <f>'CH_Bill impacts full year 2'!#REF!*FM_Prop</f>
        <v>#REF!</v>
      </c>
      <c r="I20" s="137" t="e">
        <f>AVERAGE(HYBills_SME81[[#This Row],[Ausnet]:[United Energy]])</f>
        <v>#REF!</v>
      </c>
      <c r="K20" s="171" t="e">
        <f>MIN(HYBills_SME81[[#This Row],[Ausnet]:[Victoria]])</f>
        <v>#REF!</v>
      </c>
      <c r="L20" s="171" t="e">
        <f>MAX(HYBills_SME81[[#This Row],[Ausnet]:[Victoria]])</f>
        <v>#REF!</v>
      </c>
      <c r="M20" s="171" t="e">
        <f>L20-K20</f>
        <v>#REF!</v>
      </c>
      <c r="O20" s="59"/>
      <c r="P20" s="137"/>
      <c r="Q20" s="137"/>
      <c r="R20" s="137"/>
      <c r="S20" s="137"/>
      <c r="T20" s="137"/>
      <c r="U20" s="145"/>
      <c r="V20" s="130"/>
      <c r="W20" s="173"/>
      <c r="X20" s="138"/>
      <c r="Y20" s="138"/>
      <c r="Z20" s="173"/>
      <c r="AA20" s="138"/>
      <c r="AB20" s="138"/>
      <c r="AC20" s="138"/>
      <c r="AD20" s="138"/>
      <c r="AE20" s="130"/>
      <c r="AF20" s="130"/>
      <c r="AG20" s="59"/>
      <c r="AH20" s="148"/>
      <c r="AI20" s="148"/>
      <c r="AJ20" s="148"/>
      <c r="AK20" s="148"/>
      <c r="AL20" s="148"/>
      <c r="AM20" s="148"/>
      <c r="AN20" s="130"/>
      <c r="AO20" s="130"/>
      <c r="AP20" s="130"/>
      <c r="AQ20" s="130"/>
      <c r="AR20" s="130"/>
      <c r="AS20" s="130"/>
      <c r="AT20" s="130"/>
      <c r="AU20" s="130"/>
      <c r="AV20" s="130"/>
      <c r="AW20" s="130"/>
      <c r="AX20" s="130"/>
      <c r="AY20" s="130"/>
      <c r="AZ20" s="130"/>
      <c r="BA20" s="130"/>
      <c r="BB20" s="130"/>
      <c r="BC20" s="130"/>
    </row>
    <row r="21" spans="1:55" x14ac:dyDescent="0.25">
      <c r="C21" s="82" t="str">
        <f>Calc_Rates!$D$254&amp;" - Flat"</f>
        <v>VDO 2022 - Final - Flat</v>
      </c>
      <c r="D21" s="137" t="e">
        <f>'CH_Bill impacts full year 2'!#REF!*FM_Prop</f>
        <v>#REF!</v>
      </c>
      <c r="E21" s="137" t="e">
        <f>'CH_Bill impacts full year 2'!#REF!*FM_Prop</f>
        <v>#REF!</v>
      </c>
      <c r="F21" s="137" t="e">
        <f>'CH_Bill impacts full year 2'!#REF!*FM_Prop</f>
        <v>#REF!</v>
      </c>
      <c r="G21" s="137" t="e">
        <f>'CH_Bill impacts full year 2'!#REF!*FM_Prop</f>
        <v>#REF!</v>
      </c>
      <c r="H21" s="137" t="e">
        <f>'CH_Bill impacts full year 2'!#REF!*FM_Prop</f>
        <v>#REF!</v>
      </c>
      <c r="I21" s="137" t="e">
        <f>AVERAGE(HYBills_SME81[[#This Row],[Ausnet]:[United Energy]])</f>
        <v>#REF!</v>
      </c>
      <c r="K21" s="171" t="e">
        <f>MIN(HYBills_SME81[[#This Row],[Ausnet]:[Victoria]])</f>
        <v>#REF!</v>
      </c>
      <c r="L21" s="171" t="e">
        <f>MAX(HYBills_SME81[[#This Row],[Ausnet]:[Victoria]])</f>
        <v>#REF!</v>
      </c>
      <c r="M21" s="171" t="e">
        <f t="shared" ref="M21:M22" si="8">L21-K21</f>
        <v>#REF!</v>
      </c>
      <c r="O21" s="82" t="str">
        <f>Calc_Rates!$D$254&amp;" - Flat"</f>
        <v>VDO 2022 - Final - Flat</v>
      </c>
      <c r="P21" s="145" t="e">
        <f t="shared" ref="P21:U22" si="9">D21-D$20</f>
        <v>#REF!</v>
      </c>
      <c r="Q21" s="145" t="e">
        <f t="shared" si="9"/>
        <v>#REF!</v>
      </c>
      <c r="R21" s="145" t="e">
        <f t="shared" si="9"/>
        <v>#REF!</v>
      </c>
      <c r="S21" s="145" t="e">
        <f t="shared" si="9"/>
        <v>#REF!</v>
      </c>
      <c r="T21" s="145" t="e">
        <f t="shared" si="9"/>
        <v>#REF!</v>
      </c>
      <c r="U21" s="145" t="e">
        <f t="shared" si="9"/>
        <v>#REF!</v>
      </c>
      <c r="V21" s="130"/>
      <c r="W21" s="173">
        <f>_xlfn.MINIFS(HYBillImpact_SME83[[#This Row],[Ausnet]:[Victoria]],HYBillImpact_SME83[[#This Row],[Ausnet]:[Victoria]],"&lt;0")</f>
        <v>0</v>
      </c>
      <c r="X21" s="173" t="str">
        <f>IF(_xlfn.MAXIFS(HYBillImpact_SME83[[#This Row],[Ausnet]:[Victoria]],HYBillImpact_SME83[[#This Row],[Ausnet]:[Victoria]],"&lt;0")=W21,"-",_xlfn.MAXIFS(HYBillImpact_SME83[[#This Row],[Ausnet]:[Victoria]],HYBillImpact_SME83[[#This Row],[Ausnet]:[Victoria]],"&lt;0"))</f>
        <v>-</v>
      </c>
      <c r="Y21" s="138"/>
      <c r="Z21" s="173">
        <f>_xlfn.MINIFS(HYBillImpact_SME83[[#This Row],[Ausnet]:[Victoria]],HYBillImpact_SME83[[#This Row],[Ausnet]:[Victoria]],"&gt;0")</f>
        <v>0</v>
      </c>
      <c r="AA21" s="173" t="str">
        <f>IF(_xlfn.MAXIFS(HYBillImpact_SME83[[#This Row],[Ausnet]:[Victoria]],HYBillImpact_SME83[[#This Row],[Ausnet]:[Victoria]],"&gt;0")=Z21,"-",_xlfn.MAXIFS(HYBillImpact_SME83[[#This Row],[Ausnet]:[Victoria]],HYBillImpact_SME83[[#This Row],[Ausnet]:[Victoria]],"&gt;0"))</f>
        <v>-</v>
      </c>
      <c r="AB21" s="138"/>
      <c r="AC21" s="173">
        <f t="shared" ref="AC21" si="10">MIN(W21:X21)</f>
        <v>0</v>
      </c>
      <c r="AD21" s="173">
        <f t="shared" ref="AD21" si="11">MAX(Z21:AA21)</f>
        <v>0</v>
      </c>
      <c r="AE21" s="130"/>
      <c r="AF21" s="130"/>
      <c r="AG21" s="82" t="str">
        <f>Calc_Rates!$D$254&amp;" - Flat"</f>
        <v>VDO 2022 - Final - Flat</v>
      </c>
      <c r="AH21" s="147" t="e">
        <f t="shared" ref="AH21:AM22" si="12">P21/D$20</f>
        <v>#REF!</v>
      </c>
      <c r="AI21" s="147" t="e">
        <f t="shared" si="12"/>
        <v>#REF!</v>
      </c>
      <c r="AJ21" s="147" t="e">
        <f t="shared" si="12"/>
        <v>#REF!</v>
      </c>
      <c r="AK21" s="147" t="e">
        <f t="shared" si="12"/>
        <v>#REF!</v>
      </c>
      <c r="AL21" s="147" t="e">
        <f t="shared" si="12"/>
        <v>#REF!</v>
      </c>
      <c r="AM21" s="147" t="e">
        <f t="shared" si="12"/>
        <v>#REF!</v>
      </c>
      <c r="AN21" s="130"/>
      <c r="AO21" s="130"/>
      <c r="AP21" s="130"/>
      <c r="AQ21" s="130"/>
      <c r="AR21" s="130"/>
      <c r="AS21" s="130"/>
      <c r="AT21" s="130"/>
      <c r="AU21" s="130"/>
      <c r="AV21" s="130"/>
      <c r="AW21" s="130"/>
      <c r="AX21" s="130"/>
      <c r="AY21" s="130"/>
      <c r="AZ21" s="130"/>
      <c r="BA21" s="130"/>
      <c r="BB21" s="130"/>
      <c r="BC21" s="130"/>
    </row>
    <row r="22" spans="1:55" x14ac:dyDescent="0.25">
      <c r="C22" s="82" t="str">
        <f>Calc_Rates!$D$254&amp;" - TOU"</f>
        <v>VDO 2022 - Final - TOU</v>
      </c>
      <c r="D22" s="137" t="e">
        <f>'CH_Bill impacts full year 2'!#REF!*FM_Prop</f>
        <v>#REF!</v>
      </c>
      <c r="E22" s="137" t="e">
        <f>'CH_Bill impacts full year 2'!#REF!*FM_Prop</f>
        <v>#REF!</v>
      </c>
      <c r="F22" s="137" t="e">
        <f>'CH_Bill impacts full year 2'!#REF!*FM_Prop</f>
        <v>#REF!</v>
      </c>
      <c r="G22" s="137" t="e">
        <f>'CH_Bill impacts full year 2'!#REF!*FM_Prop</f>
        <v>#REF!</v>
      </c>
      <c r="H22" s="137" t="e">
        <f>'CH_Bill impacts full year 2'!#REF!*FM_Prop</f>
        <v>#REF!</v>
      </c>
      <c r="I22" s="137" t="e">
        <f>AVERAGE(HYBills_SME81[[#This Row],[Ausnet]:[United Energy]])</f>
        <v>#REF!</v>
      </c>
      <c r="K22" s="171" t="e">
        <f>MIN(HYBills_SME81[[#This Row],[Ausnet]:[Victoria]])</f>
        <v>#REF!</v>
      </c>
      <c r="L22" s="171" t="e">
        <f>MAX(HYBills_SME81[[#This Row],[Ausnet]:[Victoria]])</f>
        <v>#REF!</v>
      </c>
      <c r="M22" s="171" t="e">
        <f t="shared" si="8"/>
        <v>#REF!</v>
      </c>
      <c r="O22" s="82" t="str">
        <f>Calc_Rates!$D$254&amp;" - TOU"</f>
        <v>VDO 2022 - Final - TOU</v>
      </c>
      <c r="P22" s="175" t="e">
        <f>D22-D$20</f>
        <v>#REF!</v>
      </c>
      <c r="Q22" s="175" t="e">
        <f t="shared" si="9"/>
        <v>#REF!</v>
      </c>
      <c r="R22" s="175" t="e">
        <f t="shared" si="9"/>
        <v>#REF!</v>
      </c>
      <c r="S22" s="175" t="e">
        <f t="shared" si="9"/>
        <v>#REF!</v>
      </c>
      <c r="T22" s="175" t="e">
        <f>H22-H$20</f>
        <v>#REF!</v>
      </c>
      <c r="U22" s="175" t="e">
        <f>I22-I$20</f>
        <v>#REF!</v>
      </c>
      <c r="V22" s="130"/>
      <c r="W22" s="173">
        <f>_xlfn.MINIFS(HYBillImpact_SME83[[#This Row],[Ausnet]:[Victoria]],HYBillImpact_SME83[[#This Row],[Ausnet]:[Victoria]],"&lt;0")</f>
        <v>0</v>
      </c>
      <c r="X22" s="173" t="str">
        <f>IF(_xlfn.MAXIFS(HYBillImpact_SME83[[#This Row],[Ausnet]:[Victoria]],HYBillImpact_SME83[[#This Row],[Ausnet]:[Victoria]],"&lt;0")=W22,"-",_xlfn.MAXIFS(HYBillImpact_SME83[[#This Row],[Ausnet]:[Victoria]],HYBillImpact_SME83[[#This Row],[Ausnet]:[Victoria]],"&lt;0"))</f>
        <v>-</v>
      </c>
      <c r="Y22" s="138"/>
      <c r="Z22" s="173">
        <f>_xlfn.MINIFS(HYBillImpact_SME83[[#This Row],[Ausnet]:[Victoria]],HYBillImpact_SME83[[#This Row],[Ausnet]:[Victoria]],"&gt;0")</f>
        <v>0</v>
      </c>
      <c r="AA22" s="173" t="str">
        <f>IF(_xlfn.MAXIFS(HYBillImpact_SME83[[#This Row],[Ausnet]:[Victoria]],HYBillImpact_SME83[[#This Row],[Ausnet]:[Victoria]],"&gt;0")=Z22,"-",_xlfn.MAXIFS(HYBillImpact_SME83[[#This Row],[Ausnet]:[Victoria]],HYBillImpact_SME83[[#This Row],[Ausnet]:[Victoria]],"&gt;0"))</f>
        <v>-</v>
      </c>
      <c r="AB22" s="138"/>
      <c r="AC22" s="173">
        <f>MIN(W22:X22)</f>
        <v>0</v>
      </c>
      <c r="AD22" s="173">
        <f>MAX(Z22:AA22)</f>
        <v>0</v>
      </c>
      <c r="AE22" s="130"/>
      <c r="AF22" s="130"/>
      <c r="AG22" s="82" t="str">
        <f>Calc_Rates!$D$254&amp;" - TOU"</f>
        <v>VDO 2022 - Final - TOU</v>
      </c>
      <c r="AH22" s="147" t="e">
        <f t="shared" si="12"/>
        <v>#REF!</v>
      </c>
      <c r="AI22" s="147" t="e">
        <f t="shared" si="12"/>
        <v>#REF!</v>
      </c>
      <c r="AJ22" s="147" t="e">
        <f t="shared" si="12"/>
        <v>#REF!</v>
      </c>
      <c r="AK22" s="147" t="e">
        <f t="shared" si="12"/>
        <v>#REF!</v>
      </c>
      <c r="AL22" s="147" t="e">
        <f t="shared" si="12"/>
        <v>#REF!</v>
      </c>
      <c r="AM22" s="147" t="e">
        <f t="shared" si="12"/>
        <v>#REF!</v>
      </c>
      <c r="AN22" s="130"/>
      <c r="AO22" s="130"/>
      <c r="AP22" s="130"/>
      <c r="AQ22" s="130"/>
      <c r="AR22" s="130"/>
      <c r="AS22" s="130"/>
      <c r="AT22" s="130"/>
      <c r="AU22" s="130"/>
      <c r="AV22" s="130"/>
      <c r="AW22" s="130"/>
      <c r="AX22" s="130"/>
      <c r="AY22" s="130"/>
      <c r="AZ22" s="130"/>
      <c r="BA22" s="130"/>
      <c r="BB22" s="130"/>
      <c r="BC22" s="130"/>
    </row>
    <row r="23" spans="1:55" x14ac:dyDescent="0.25">
      <c r="C23" s="130"/>
      <c r="D23" s="130"/>
      <c r="E23" s="130"/>
      <c r="F23" s="130"/>
      <c r="G23" s="130"/>
      <c r="H23" s="130"/>
      <c r="I23" s="130"/>
      <c r="J23" s="130"/>
      <c r="O23" s="130"/>
      <c r="P23" s="130"/>
      <c r="Q23" s="130"/>
      <c r="R23" s="130"/>
      <c r="S23" s="130"/>
      <c r="T23" s="130"/>
      <c r="U23" s="130"/>
      <c r="V23" s="130"/>
      <c r="AG23" s="130"/>
      <c r="AH23" s="130"/>
      <c r="AI23" s="130"/>
      <c r="AJ23" s="130"/>
      <c r="AK23" s="130"/>
    </row>
    <row r="24" spans="1:55" ht="15.75" x14ac:dyDescent="0.25">
      <c r="C24" s="130"/>
      <c r="D24" s="93" t="e">
        <f>IF(D20=INDEX(#REF!,MATCH($C20,#REF!,0),MATCH(HYBills_RES80[[#Headers],[Ausnet]],#REF!,0))*FM_Prop,0,1)</f>
        <v>#REF!</v>
      </c>
      <c r="E24" s="93" t="e">
        <f>IF(E20=INDEX(#REF!,MATCH($C20,#REF!,0),MATCH(HYBills_RES80[[#Headers],[Citipower]],#REF!,0))*FM_Prop,0,1)</f>
        <v>#REF!</v>
      </c>
      <c r="F24" s="93" t="e">
        <f>IF(F20=INDEX(#REF!,MATCH($C20,#REF!,0),MATCH(HYBills_RES80[[#Headers],[Jemena]],#REF!,0))*FM_Prop,0,1)</f>
        <v>#REF!</v>
      </c>
      <c r="G24" s="93" t="e">
        <f>IF(G20=INDEX(#REF!,MATCH($C20,#REF!,0),MATCH(HYBills_RES80[[#Headers],[Powercor]],#REF!,0))*FM_Prop,0,1)</f>
        <v>#REF!</v>
      </c>
      <c r="H24" s="93" t="e">
        <f>IF(H20=INDEX(#REF!,MATCH($C20,#REF!,0),MATCH(HYBills_RES80[[#Headers],[United Energy]],#REF!,0))*FM_Prop,0,1)</f>
        <v>#REF!</v>
      </c>
      <c r="I24" s="93" t="e">
        <f t="shared" ref="I24:I26" si="13">IF(I20=AVERAGE(D20:H20),0,1)</f>
        <v>#REF!</v>
      </c>
      <c r="J24" s="130"/>
      <c r="O24" s="130"/>
      <c r="P24" s="130"/>
      <c r="Q24" s="130"/>
      <c r="R24" s="130"/>
      <c r="S24" s="130"/>
      <c r="T24" s="130"/>
      <c r="U24" s="130"/>
      <c r="V24" s="130"/>
      <c r="AG24" s="130"/>
      <c r="AH24" s="130"/>
      <c r="AI24" s="130"/>
      <c r="AJ24" s="130"/>
      <c r="AK24" s="130"/>
    </row>
    <row r="25" spans="1:55" ht="15.75" x14ac:dyDescent="0.25">
      <c r="C25" s="130"/>
      <c r="D25" s="93" t="e">
        <f>IF(D21=INDEX(#REF!,MATCH($C21,#REF!,0),MATCH(HYBills_RES80[[#Headers],[Ausnet]],#REF!,0))*FM_Prop,0,1)</f>
        <v>#REF!</v>
      </c>
      <c r="E25" s="93" t="e">
        <f>IF(E21=INDEX(#REF!,MATCH($C21,#REF!,0),MATCH(HYBills_RES80[[#Headers],[Citipower]],#REF!,0))*FM_Prop,0,1)</f>
        <v>#REF!</v>
      </c>
      <c r="F25" s="93" t="e">
        <f>IF(F21=INDEX(#REF!,MATCH($C21,#REF!,0),MATCH(HYBills_RES80[[#Headers],[Jemena]],#REF!,0))*FM_Prop,0,1)</f>
        <v>#REF!</v>
      </c>
      <c r="G25" s="93" t="e">
        <f>IF(G21=INDEX(#REF!,MATCH($C21,#REF!,0),MATCH(HYBills_RES80[[#Headers],[Powercor]],#REF!,0))*FM_Prop,0,1)</f>
        <v>#REF!</v>
      </c>
      <c r="H25" s="93" t="e">
        <f>IF(H21=INDEX(#REF!,MATCH($C21,#REF!,0),MATCH(HYBills_RES80[[#Headers],[United Energy]],#REF!,0))*FM_Prop,0,1)</f>
        <v>#REF!</v>
      </c>
      <c r="I25" s="93" t="e">
        <f t="shared" si="13"/>
        <v>#REF!</v>
      </c>
      <c r="J25" s="130"/>
      <c r="P25" s="93" t="e">
        <f t="shared" ref="P25:U25" si="14">IF(P21=D21-D20,0,1)</f>
        <v>#REF!</v>
      </c>
      <c r="Q25" s="93" t="e">
        <f t="shared" si="14"/>
        <v>#REF!</v>
      </c>
      <c r="R25" s="93" t="e">
        <f t="shared" si="14"/>
        <v>#REF!</v>
      </c>
      <c r="S25" s="93" t="e">
        <f t="shared" si="14"/>
        <v>#REF!</v>
      </c>
      <c r="T25" s="93" t="e">
        <f t="shared" si="14"/>
        <v>#REF!</v>
      </c>
      <c r="U25" s="93" t="e">
        <f t="shared" si="14"/>
        <v>#REF!</v>
      </c>
      <c r="AH25" s="93" t="e">
        <f t="shared" ref="AH25:AM25" si="15">IF(AH21=(D21-D20)/D20,0,1)</f>
        <v>#REF!</v>
      </c>
      <c r="AI25" s="93" t="e">
        <f t="shared" si="15"/>
        <v>#REF!</v>
      </c>
      <c r="AJ25" s="93" t="e">
        <f t="shared" si="15"/>
        <v>#REF!</v>
      </c>
      <c r="AK25" s="93" t="e">
        <f t="shared" si="15"/>
        <v>#REF!</v>
      </c>
      <c r="AL25" s="93" t="e">
        <f t="shared" si="15"/>
        <v>#REF!</v>
      </c>
      <c r="AM25" s="93" t="e">
        <f t="shared" si="15"/>
        <v>#REF!</v>
      </c>
    </row>
    <row r="26" spans="1:55" ht="15.75" x14ac:dyDescent="0.25">
      <c r="C26" s="130"/>
      <c r="D26" s="93" t="e">
        <f>IF(D22=INDEX(#REF!,MATCH($C22,#REF!,0),MATCH(HYBills_RES80[[#Headers],[Ausnet]],#REF!,0))*FM_Prop,0,1)</f>
        <v>#REF!</v>
      </c>
      <c r="E26" s="93" t="e">
        <f>IF(E22=INDEX(#REF!,MATCH($C22,#REF!,0),MATCH(HYBills_RES80[[#Headers],[Citipower]],#REF!,0))*FM_Prop,0,1)</f>
        <v>#REF!</v>
      </c>
      <c r="F26" s="93" t="e">
        <f>IF(F22=INDEX(#REF!,MATCH($C22,#REF!,0),MATCH(HYBills_RES80[[#Headers],[Jemena]],#REF!,0))*FM_Prop,0,1)</f>
        <v>#REF!</v>
      </c>
      <c r="G26" s="93" t="e">
        <f>IF(G22=INDEX(#REF!,MATCH($C22,#REF!,0),MATCH(HYBills_RES80[[#Headers],[Powercor]],#REF!,0))*FM_Prop,0,1)</f>
        <v>#REF!</v>
      </c>
      <c r="H26" s="93" t="e">
        <f>IF(H22=INDEX(#REF!,MATCH($C22,#REF!,0),MATCH(HYBills_RES80[[#Headers],[United Energy]],#REF!,0))*FM_Prop,0,1)</f>
        <v>#REF!</v>
      </c>
      <c r="I26" s="93" t="e">
        <f t="shared" si="13"/>
        <v>#REF!</v>
      </c>
      <c r="J26" s="130"/>
      <c r="P26" s="93" t="e">
        <f t="shared" ref="P26:U26" si="16">IF(P22=D22-D20,0,1)</f>
        <v>#REF!</v>
      </c>
      <c r="Q26" s="93" t="e">
        <f t="shared" si="16"/>
        <v>#REF!</v>
      </c>
      <c r="R26" s="93" t="e">
        <f t="shared" si="16"/>
        <v>#REF!</v>
      </c>
      <c r="S26" s="93" t="e">
        <f t="shared" si="16"/>
        <v>#REF!</v>
      </c>
      <c r="T26" s="93" t="e">
        <f t="shared" si="16"/>
        <v>#REF!</v>
      </c>
      <c r="U26" s="93" t="e">
        <f t="shared" si="16"/>
        <v>#REF!</v>
      </c>
      <c r="AH26" s="93" t="e">
        <f t="shared" ref="AH26:AM26" si="17">IF(AH22=(D22-D20)/D20,0,1)</f>
        <v>#REF!</v>
      </c>
      <c r="AI26" s="93" t="e">
        <f t="shared" si="17"/>
        <v>#REF!</v>
      </c>
      <c r="AJ26" s="93" t="e">
        <f t="shared" si="17"/>
        <v>#REF!</v>
      </c>
      <c r="AK26" s="93" t="e">
        <f t="shared" si="17"/>
        <v>#REF!</v>
      </c>
      <c r="AL26" s="93" t="e">
        <f t="shared" si="17"/>
        <v>#REF!</v>
      </c>
      <c r="AM26" s="93" t="e">
        <f t="shared" si="17"/>
        <v>#REF!</v>
      </c>
    </row>
    <row r="27" spans="1:55" x14ac:dyDescent="0.25">
      <c r="C27" s="130"/>
      <c r="D27" s="130"/>
      <c r="E27" s="130"/>
      <c r="F27" s="130"/>
      <c r="G27" s="130"/>
      <c r="H27" s="130"/>
      <c r="I27" s="130"/>
      <c r="J27" s="130"/>
      <c r="K27" s="130"/>
      <c r="L27" s="130"/>
      <c r="M27" s="130"/>
      <c r="N27" s="130"/>
      <c r="O27" s="130"/>
      <c r="P27" s="130"/>
      <c r="Q27" s="130"/>
      <c r="R27" s="130"/>
      <c r="S27" s="130"/>
      <c r="T27" s="130"/>
      <c r="U27" s="130"/>
      <c r="V27" s="130"/>
      <c r="W27" s="130"/>
    </row>
    <row r="28" spans="1:55" x14ac:dyDescent="0.25">
      <c r="C28" s="130"/>
      <c r="D28" s="130"/>
      <c r="E28" s="130"/>
      <c r="F28" s="130"/>
      <c r="G28" s="130"/>
      <c r="H28" s="130"/>
      <c r="I28" s="130"/>
      <c r="J28" s="130"/>
      <c r="K28" s="151"/>
      <c r="L28" s="151"/>
      <c r="M28" s="151"/>
      <c r="N28" s="151"/>
      <c r="O28" s="151"/>
      <c r="P28" s="130"/>
      <c r="Q28" s="130"/>
      <c r="R28" s="130"/>
      <c r="S28" s="130"/>
      <c r="T28" s="130"/>
      <c r="U28" s="130"/>
      <c r="V28" s="130"/>
      <c r="W28" s="130"/>
    </row>
    <row r="29" spans="1:55" x14ac:dyDescent="0.25">
      <c r="C29" s="130"/>
      <c r="D29" s="130"/>
      <c r="E29" s="130"/>
      <c r="F29" s="130"/>
      <c r="G29" s="130"/>
      <c r="H29" s="130"/>
      <c r="I29" s="130"/>
      <c r="J29" s="130"/>
      <c r="K29" s="151"/>
      <c r="L29" s="151"/>
      <c r="M29" s="151"/>
      <c r="N29" s="151"/>
      <c r="O29" s="151"/>
      <c r="P29" s="130"/>
      <c r="Q29" s="130"/>
      <c r="R29" s="130"/>
      <c r="S29" s="130"/>
      <c r="T29" s="130"/>
      <c r="U29" s="130"/>
      <c r="V29" s="130"/>
      <c r="W29" s="130"/>
    </row>
    <row r="30" spans="1:55" ht="16.5" thickBot="1" x14ac:dyDescent="0.3">
      <c r="A30" s="1" t="s">
        <v>23</v>
      </c>
      <c r="B30" s="9">
        <f ca="1">MAX(B$3:B29)+0.1</f>
        <v>21.200000000000003</v>
      </c>
      <c r="C30" s="28" t="s">
        <v>424</v>
      </c>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row>
    <row r="31" spans="1:55" x14ac:dyDescent="0.25">
      <c r="C31" s="130"/>
      <c r="D31" s="130"/>
      <c r="E31" s="130"/>
      <c r="F31" s="130"/>
      <c r="G31" s="130"/>
      <c r="H31" s="130"/>
      <c r="I31" s="130"/>
      <c r="J31" s="130"/>
      <c r="K31" s="130"/>
      <c r="L31" s="130"/>
      <c r="M31" s="130"/>
      <c r="N31" s="130"/>
      <c r="O31" s="130"/>
      <c r="P31" s="130"/>
      <c r="Q31" s="130"/>
      <c r="R31" s="130"/>
      <c r="S31" s="130"/>
      <c r="T31" s="130"/>
      <c r="U31" s="130"/>
      <c r="V31" s="130"/>
    </row>
    <row r="32" spans="1:55" x14ac:dyDescent="0.25">
      <c r="C32" s="130"/>
      <c r="D32" s="82" t="str">
        <f>Calc_Rates!$D$5</f>
        <v>VDO 2022-23 - Draft</v>
      </c>
      <c r="E32" s="82" t="str">
        <f>Calc_Rates!$D$254</f>
        <v>VDO 2022 - Final</v>
      </c>
      <c r="F32" s="130"/>
      <c r="G32" s="130"/>
      <c r="H32" s="130"/>
      <c r="I32" s="130"/>
      <c r="K32" s="152"/>
      <c r="L32" s="151"/>
      <c r="M32" s="130"/>
      <c r="N32" s="130"/>
      <c r="O32" s="130"/>
      <c r="P32" s="130"/>
      <c r="Q32" s="130"/>
      <c r="R32" s="130"/>
      <c r="S32" s="130"/>
      <c r="T32" s="130"/>
      <c r="U32" s="130"/>
      <c r="V32" s="130"/>
      <c r="W32" s="130"/>
    </row>
    <row r="33" spans="1:55" x14ac:dyDescent="0.25">
      <c r="C33" s="130" t="s">
        <v>425</v>
      </c>
      <c r="D33" s="141">
        <v>44197</v>
      </c>
      <c r="E33" s="141">
        <v>44440</v>
      </c>
      <c r="F33" s="130"/>
      <c r="G33" s="130"/>
      <c r="H33" s="130"/>
      <c r="I33" s="130"/>
      <c r="K33" s="152"/>
      <c r="L33" s="151"/>
      <c r="M33" s="130"/>
      <c r="N33" s="130"/>
      <c r="O33" s="130"/>
      <c r="P33" s="130"/>
      <c r="Q33" s="130"/>
      <c r="R33" s="130"/>
      <c r="S33" s="130"/>
      <c r="T33" s="130"/>
      <c r="U33" s="130"/>
      <c r="V33" s="130"/>
      <c r="W33" s="130"/>
    </row>
    <row r="34" spans="1:55" x14ac:dyDescent="0.25">
      <c r="C34" s="130" t="s">
        <v>426</v>
      </c>
      <c r="D34" s="141">
        <v>44439</v>
      </c>
      <c r="E34" s="141">
        <v>44561</v>
      </c>
      <c r="F34" s="130"/>
      <c r="G34" s="130"/>
      <c r="H34" s="130"/>
      <c r="I34" s="130"/>
      <c r="J34" s="130"/>
      <c r="K34" s="130"/>
      <c r="L34" s="130"/>
      <c r="M34" s="130"/>
      <c r="N34" s="130"/>
      <c r="O34" s="130"/>
      <c r="P34" s="130"/>
      <c r="Q34" s="130"/>
      <c r="R34" s="130"/>
      <c r="S34" s="130"/>
      <c r="T34" s="130"/>
      <c r="U34" s="130"/>
      <c r="V34" s="130"/>
      <c r="W34" s="130"/>
    </row>
    <row r="35" spans="1:55" x14ac:dyDescent="0.25">
      <c r="C35" s="130" t="s">
        <v>427</v>
      </c>
      <c r="D35" s="142">
        <f>D34-D33+1</f>
        <v>243</v>
      </c>
      <c r="E35" s="142">
        <f>E34-E33+1</f>
        <v>122</v>
      </c>
      <c r="F35" s="130"/>
      <c r="G35" s="130"/>
      <c r="H35" s="130"/>
      <c r="I35" s="130"/>
      <c r="K35" s="153"/>
      <c r="L35" s="174"/>
      <c r="O35" s="174"/>
      <c r="P35" s="174"/>
      <c r="Q35" s="130"/>
      <c r="R35" s="130"/>
      <c r="S35" s="130"/>
      <c r="T35" s="130"/>
      <c r="U35" s="130"/>
      <c r="V35" s="130"/>
      <c r="W35" s="130"/>
    </row>
    <row r="36" spans="1:55" x14ac:dyDescent="0.25">
      <c r="C36" s="130" t="s">
        <v>428</v>
      </c>
      <c r="D36" s="143">
        <f>D35/DiY</f>
        <v>0.66575342465753429</v>
      </c>
      <c r="E36" s="143">
        <f>E35/DiY</f>
        <v>0.33424657534246577</v>
      </c>
      <c r="F36" s="130"/>
      <c r="G36" s="130"/>
      <c r="H36" s="130"/>
      <c r="I36" s="130"/>
      <c r="J36" s="130"/>
      <c r="K36" s="154"/>
      <c r="L36" s="155"/>
      <c r="M36" s="157"/>
      <c r="O36" s="154"/>
      <c r="P36" s="155"/>
      <c r="Q36" s="157"/>
      <c r="R36" s="130"/>
      <c r="S36" s="130"/>
      <c r="T36" s="130"/>
      <c r="U36" s="130"/>
      <c r="V36" s="130"/>
      <c r="W36" s="130"/>
    </row>
    <row r="37" spans="1:55" x14ac:dyDescent="0.25">
      <c r="C37" s="130" t="s">
        <v>429</v>
      </c>
      <c r="D37" s="144">
        <f>4/12</f>
        <v>0.33333333333333331</v>
      </c>
      <c r="E37" s="144">
        <f>4/12</f>
        <v>0.33333333333333331</v>
      </c>
      <c r="F37" s="130"/>
      <c r="G37" s="130"/>
      <c r="H37" s="130"/>
      <c r="I37" s="130"/>
      <c r="J37" s="130"/>
      <c r="K37" s="154"/>
      <c r="L37" s="155"/>
      <c r="M37" s="157"/>
      <c r="O37" s="154"/>
      <c r="P37" s="155"/>
      <c r="Q37" s="157"/>
      <c r="R37" s="130"/>
      <c r="S37" s="130"/>
      <c r="T37" s="130"/>
      <c r="U37" s="130"/>
      <c r="V37" s="130"/>
      <c r="W37" s="130"/>
    </row>
    <row r="38" spans="1:55" x14ac:dyDescent="0.25">
      <c r="C38" s="130" t="s">
        <v>430</v>
      </c>
      <c r="D38" s="384" t="s">
        <v>434</v>
      </c>
      <c r="E38" s="384"/>
      <c r="F38" s="130"/>
      <c r="G38" s="130"/>
      <c r="H38" s="130"/>
      <c r="I38" s="130"/>
      <c r="J38" s="130"/>
      <c r="K38" s="154"/>
      <c r="L38" s="155"/>
      <c r="M38" s="157"/>
      <c r="O38" s="154"/>
      <c r="P38" s="155"/>
      <c r="Q38" s="157"/>
      <c r="R38" s="130"/>
      <c r="S38" s="130"/>
      <c r="T38" s="130"/>
      <c r="U38" s="130"/>
      <c r="V38" s="130"/>
      <c r="W38" s="130"/>
    </row>
    <row r="39" spans="1:55" x14ac:dyDescent="0.25">
      <c r="C39" s="130" t="s">
        <v>496</v>
      </c>
      <c r="D39" s="143">
        <f>IF($D38="Actual",D36,D37)</f>
        <v>0.33333333333333331</v>
      </c>
      <c r="E39" s="143">
        <f>IF($D38="Actual",E36,E37)</f>
        <v>0.33333333333333331</v>
      </c>
      <c r="F39" s="130"/>
      <c r="G39" s="130"/>
      <c r="H39" s="130"/>
      <c r="I39" s="130"/>
      <c r="J39" s="130"/>
      <c r="K39" s="174"/>
      <c r="L39" s="174"/>
      <c r="O39" s="174"/>
      <c r="P39" s="174"/>
      <c r="Q39" s="130"/>
      <c r="R39" s="130"/>
      <c r="S39" s="130"/>
      <c r="T39" s="130"/>
      <c r="U39" s="130"/>
      <c r="V39" s="130"/>
      <c r="W39" s="130"/>
    </row>
    <row r="40" spans="1:55" x14ac:dyDescent="0.25">
      <c r="C40" s="130"/>
      <c r="D40" s="130"/>
      <c r="E40" s="130"/>
      <c r="F40" s="130"/>
      <c r="G40" s="130"/>
      <c r="H40" s="130"/>
      <c r="I40" s="130"/>
      <c r="J40" s="130"/>
      <c r="K40" s="174"/>
      <c r="L40" s="156"/>
      <c r="O40" s="174"/>
      <c r="P40" s="156"/>
      <c r="Q40" s="130"/>
      <c r="R40" s="130"/>
      <c r="S40" s="130"/>
      <c r="T40" s="130"/>
      <c r="U40" s="130"/>
      <c r="V40" s="130"/>
    </row>
    <row r="41" spans="1:55" x14ac:dyDescent="0.25">
      <c r="C41" s="130"/>
      <c r="D41" s="130"/>
      <c r="E41" s="130"/>
      <c r="F41" s="130"/>
      <c r="G41" s="130"/>
      <c r="H41" s="130"/>
      <c r="I41" s="130"/>
      <c r="J41" s="130"/>
      <c r="K41" s="130"/>
      <c r="L41" s="130"/>
      <c r="M41" s="130"/>
      <c r="N41" s="130"/>
      <c r="O41" s="130"/>
      <c r="P41" s="130"/>
      <c r="Q41" s="130"/>
      <c r="R41" s="130"/>
      <c r="S41" s="130"/>
      <c r="T41" s="130"/>
      <c r="U41" s="130"/>
      <c r="V41" s="130"/>
    </row>
    <row r="42" spans="1:55" x14ac:dyDescent="0.25">
      <c r="C42" s="130"/>
      <c r="D42" s="130"/>
      <c r="E42" s="130"/>
      <c r="F42" s="130"/>
      <c r="G42" s="130"/>
      <c r="H42" s="130"/>
      <c r="I42" s="130"/>
      <c r="J42" s="130"/>
      <c r="K42" s="130"/>
      <c r="L42" s="130"/>
      <c r="M42" s="130"/>
      <c r="N42" s="130"/>
      <c r="O42" s="130"/>
      <c r="P42" s="130"/>
      <c r="Q42" s="130"/>
      <c r="R42" s="130"/>
      <c r="S42" s="130"/>
      <c r="T42" s="130"/>
      <c r="U42" s="130"/>
      <c r="V42" s="130"/>
    </row>
    <row r="43" spans="1:55" x14ac:dyDescent="0.25">
      <c r="C43" s="130"/>
      <c r="D43" s="130"/>
      <c r="E43" s="130"/>
      <c r="F43" s="130"/>
      <c r="G43" s="130"/>
      <c r="H43" s="130"/>
      <c r="I43" s="130"/>
      <c r="J43" s="130"/>
      <c r="K43" s="130"/>
      <c r="L43" s="130"/>
      <c r="M43" s="130"/>
      <c r="N43" s="130"/>
      <c r="O43" s="130"/>
      <c r="P43" s="130"/>
      <c r="Q43" s="130"/>
      <c r="R43" s="130"/>
      <c r="S43" s="130"/>
      <c r="T43" s="130"/>
      <c r="U43" s="130"/>
      <c r="V43" s="130"/>
    </row>
    <row r="44" spans="1:55" x14ac:dyDescent="0.25">
      <c r="C44" s="130"/>
      <c r="D44" s="130"/>
      <c r="E44" s="130"/>
      <c r="F44" s="130"/>
      <c r="G44" s="130"/>
      <c r="H44" s="130"/>
      <c r="I44" s="130"/>
      <c r="J44" s="130"/>
      <c r="K44" s="130"/>
      <c r="L44" s="130"/>
      <c r="M44" s="130"/>
      <c r="N44" s="130"/>
      <c r="O44" s="130"/>
      <c r="P44" s="130"/>
      <c r="Q44" s="130"/>
      <c r="R44" s="130"/>
      <c r="S44" s="130"/>
      <c r="T44" s="130"/>
      <c r="U44" s="130"/>
      <c r="V44" s="130"/>
    </row>
    <row r="45" spans="1:55" x14ac:dyDescent="0.25">
      <c r="C45" s="130"/>
      <c r="D45" s="130"/>
      <c r="E45" s="130"/>
      <c r="F45" s="130"/>
      <c r="G45" s="130"/>
      <c r="H45" s="130"/>
      <c r="I45" s="130"/>
      <c r="J45" s="130"/>
      <c r="K45" s="130"/>
      <c r="L45" s="130"/>
      <c r="M45" s="130"/>
      <c r="N45" s="130"/>
      <c r="O45" s="130"/>
      <c r="P45" s="130"/>
      <c r="Q45" s="130"/>
      <c r="R45" s="130"/>
      <c r="S45" s="130"/>
      <c r="T45" s="130"/>
      <c r="U45" s="130"/>
      <c r="V45" s="130"/>
    </row>
    <row r="46" spans="1:55" x14ac:dyDescent="0.25">
      <c r="C46" s="130"/>
      <c r="D46" s="130"/>
      <c r="E46" s="130"/>
      <c r="F46" s="130"/>
      <c r="G46" s="130"/>
      <c r="H46" s="130"/>
      <c r="I46" s="130"/>
      <c r="J46" s="130"/>
      <c r="K46" s="130"/>
      <c r="L46" s="130"/>
      <c r="M46" s="130"/>
      <c r="N46" s="130"/>
      <c r="O46" s="130"/>
      <c r="P46" s="130"/>
      <c r="Q46" s="130"/>
      <c r="R46" s="130"/>
      <c r="S46" s="130"/>
      <c r="T46" s="130"/>
      <c r="U46" s="130"/>
      <c r="V46" s="130"/>
    </row>
    <row r="47" spans="1:55" x14ac:dyDescent="0.25">
      <c r="C47" s="130"/>
      <c r="D47" s="130"/>
      <c r="E47" s="130"/>
      <c r="F47" s="130"/>
      <c r="G47" s="130"/>
      <c r="H47" s="130"/>
      <c r="I47" s="130"/>
      <c r="J47" s="130"/>
      <c r="K47" s="130"/>
      <c r="L47" s="130"/>
      <c r="M47" s="130"/>
      <c r="N47" s="130"/>
      <c r="O47" s="130"/>
      <c r="P47" s="130"/>
      <c r="Q47" s="130"/>
      <c r="R47" s="130"/>
      <c r="S47" s="130"/>
      <c r="T47" s="130"/>
      <c r="U47" s="130"/>
      <c r="V47" s="130"/>
    </row>
    <row r="48" spans="1:55" ht="16.5" thickBot="1" x14ac:dyDescent="0.3">
      <c r="A48" s="1" t="s">
        <v>23</v>
      </c>
      <c r="B48" s="9">
        <f ca="1">MAX(B$3:B47)+0.1</f>
        <v>21.300000000000004</v>
      </c>
      <c r="C48" s="28" t="s">
        <v>437</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row>
    <row r="49" spans="3:23" x14ac:dyDescent="0.25">
      <c r="C49" s="130"/>
      <c r="D49" s="130"/>
      <c r="E49" s="130"/>
      <c r="F49" s="130"/>
      <c r="G49" s="130"/>
      <c r="H49" s="130"/>
      <c r="I49" s="130"/>
      <c r="J49" s="130"/>
      <c r="K49" s="130"/>
      <c r="L49" s="130"/>
      <c r="M49" s="130"/>
      <c r="N49" s="130"/>
      <c r="O49" s="130"/>
      <c r="P49" s="130"/>
      <c r="Q49" s="130"/>
      <c r="R49" s="130"/>
      <c r="S49" s="130"/>
      <c r="T49" s="130"/>
      <c r="U49" s="130"/>
      <c r="V49" s="130"/>
      <c r="W49" s="130"/>
    </row>
    <row r="50" spans="3:23" x14ac:dyDescent="0.25">
      <c r="C50" s="130"/>
      <c r="D50" s="130"/>
      <c r="E50" s="130"/>
      <c r="F50" s="130"/>
      <c r="G50" s="130"/>
      <c r="H50" s="130"/>
      <c r="I50" s="130"/>
      <c r="J50" s="130"/>
      <c r="K50" s="130"/>
      <c r="L50" s="130"/>
      <c r="M50" s="130"/>
      <c r="N50" s="130"/>
      <c r="O50" s="130"/>
      <c r="P50" s="130"/>
      <c r="Q50" s="130"/>
      <c r="R50" s="130"/>
      <c r="S50" s="130"/>
      <c r="T50" s="130"/>
      <c r="U50" s="130"/>
      <c r="V50" s="130"/>
      <c r="W50" s="130"/>
    </row>
    <row r="51" spans="3:23" x14ac:dyDescent="0.25">
      <c r="C51" s="130"/>
      <c r="D51" s="130"/>
      <c r="E51" s="130"/>
      <c r="F51" s="130"/>
      <c r="G51" s="130"/>
      <c r="H51" s="130"/>
      <c r="I51" s="130"/>
      <c r="J51" s="130"/>
      <c r="K51" s="130"/>
      <c r="L51" s="130"/>
      <c r="M51" s="130"/>
      <c r="N51" s="130"/>
      <c r="O51" s="130"/>
      <c r="P51" s="130"/>
      <c r="Q51" s="130"/>
      <c r="R51" s="130"/>
      <c r="S51" s="130"/>
      <c r="T51" s="130"/>
      <c r="U51" s="130"/>
      <c r="V51" s="130"/>
      <c r="W51" s="130"/>
    </row>
    <row r="52" spans="3:23" x14ac:dyDescent="0.25">
      <c r="C52" s="130"/>
      <c r="D52" s="130"/>
      <c r="E52" s="130"/>
      <c r="F52" s="130"/>
      <c r="G52" s="130"/>
      <c r="H52" s="130"/>
      <c r="I52" s="130"/>
      <c r="J52" s="130"/>
      <c r="K52" s="130"/>
      <c r="L52" s="130"/>
      <c r="M52" s="130"/>
      <c r="N52" s="130"/>
      <c r="O52" s="130"/>
      <c r="P52" s="130"/>
      <c r="Q52" s="130"/>
      <c r="R52" s="130"/>
      <c r="S52" s="130"/>
      <c r="T52" s="130"/>
      <c r="U52" s="130"/>
      <c r="V52" s="130"/>
      <c r="W52" s="130"/>
    </row>
    <row r="53" spans="3:23" x14ac:dyDescent="0.25">
      <c r="C53" s="130"/>
      <c r="D53" s="130"/>
      <c r="E53" s="130"/>
      <c r="F53" s="130"/>
      <c r="G53" s="130"/>
      <c r="H53" s="130"/>
      <c r="I53" s="130"/>
      <c r="J53" s="130"/>
      <c r="K53" s="130"/>
      <c r="L53" s="130"/>
      <c r="M53" s="130"/>
      <c r="N53" s="130"/>
      <c r="O53" s="130"/>
      <c r="P53" s="130"/>
      <c r="Q53" s="130"/>
      <c r="R53" s="130"/>
      <c r="S53" s="130"/>
      <c r="T53" s="130"/>
      <c r="U53" s="130"/>
      <c r="V53" s="130"/>
      <c r="W53" s="130"/>
    </row>
    <row r="54" spans="3:23" x14ac:dyDescent="0.25">
      <c r="C54" s="130"/>
      <c r="D54" s="130"/>
      <c r="E54" s="130"/>
      <c r="F54" s="130"/>
      <c r="G54" s="130"/>
      <c r="H54" s="130"/>
      <c r="I54" s="130"/>
      <c r="J54" s="130"/>
      <c r="K54" s="130"/>
      <c r="L54" s="130"/>
      <c r="M54" s="130"/>
      <c r="N54" s="130"/>
      <c r="O54" s="130"/>
      <c r="P54" s="130"/>
      <c r="Q54" s="130"/>
      <c r="R54" s="130"/>
      <c r="S54" s="130"/>
      <c r="T54" s="130"/>
      <c r="U54" s="130"/>
      <c r="V54" s="130"/>
      <c r="W54" s="130"/>
    </row>
    <row r="55" spans="3:23" x14ac:dyDescent="0.25">
      <c r="C55" s="130"/>
      <c r="D55" s="130"/>
      <c r="E55" s="130"/>
      <c r="F55" s="130"/>
      <c r="G55" s="130"/>
      <c r="H55" s="130"/>
      <c r="I55" s="130"/>
      <c r="J55" s="130"/>
      <c r="K55" s="130"/>
      <c r="L55" s="130"/>
      <c r="M55" s="130"/>
      <c r="N55" s="130"/>
      <c r="O55" s="130"/>
      <c r="P55" s="130"/>
      <c r="Q55" s="130"/>
      <c r="R55" s="130"/>
      <c r="S55" s="130"/>
      <c r="T55" s="130"/>
      <c r="U55" s="130"/>
      <c r="V55" s="130"/>
      <c r="W55" s="130"/>
    </row>
    <row r="56" spans="3:23" x14ac:dyDescent="0.25">
      <c r="C56" s="130"/>
      <c r="D56" s="130"/>
      <c r="E56" s="130"/>
      <c r="F56" s="130"/>
      <c r="G56" s="130"/>
      <c r="H56" s="130"/>
      <c r="I56" s="130"/>
      <c r="J56" s="130"/>
      <c r="K56" s="130"/>
      <c r="L56" s="130"/>
      <c r="M56" s="130"/>
      <c r="N56" s="130"/>
      <c r="O56" s="130"/>
      <c r="P56" s="130"/>
      <c r="Q56" s="130"/>
      <c r="R56" s="130"/>
      <c r="S56" s="130"/>
      <c r="T56" s="130"/>
      <c r="U56" s="130"/>
      <c r="V56" s="130"/>
      <c r="W56" s="130"/>
    </row>
    <row r="57" spans="3:23" x14ac:dyDescent="0.25">
      <c r="C57" s="130"/>
      <c r="D57" s="130"/>
      <c r="E57" s="130"/>
      <c r="F57" s="130"/>
      <c r="G57" s="130"/>
      <c r="H57" s="130"/>
      <c r="I57" s="130"/>
      <c r="J57" s="130"/>
      <c r="K57" s="130"/>
      <c r="L57" s="130"/>
      <c r="M57" s="130"/>
      <c r="N57" s="130"/>
      <c r="O57" s="130"/>
      <c r="P57" s="130"/>
      <c r="Q57" s="130"/>
      <c r="R57" s="130"/>
      <c r="S57" s="130"/>
      <c r="T57" s="130"/>
      <c r="U57" s="130"/>
      <c r="V57" s="130"/>
      <c r="W57" s="130"/>
    </row>
    <row r="58" spans="3:23" x14ac:dyDescent="0.25">
      <c r="C58" s="130"/>
      <c r="D58" s="130"/>
      <c r="E58" s="130"/>
      <c r="F58" s="130"/>
      <c r="G58" s="130"/>
      <c r="H58" s="130"/>
      <c r="I58" s="130"/>
      <c r="J58" s="130"/>
      <c r="K58" s="130"/>
      <c r="L58" s="130"/>
      <c r="M58" s="130"/>
      <c r="N58" s="130"/>
      <c r="O58" s="130"/>
      <c r="P58" s="130"/>
      <c r="Q58" s="130"/>
      <c r="R58" s="130"/>
      <c r="S58" s="130"/>
      <c r="T58" s="130"/>
      <c r="U58" s="130"/>
      <c r="V58" s="130"/>
      <c r="W58" s="130"/>
    </row>
    <row r="59" spans="3:23" x14ac:dyDescent="0.25">
      <c r="C59" s="130"/>
      <c r="D59" s="130"/>
      <c r="E59" s="130"/>
      <c r="F59" s="130"/>
      <c r="G59" s="130"/>
      <c r="H59" s="130"/>
      <c r="I59" s="130"/>
      <c r="J59" s="130"/>
      <c r="K59" s="130"/>
      <c r="L59" s="130"/>
      <c r="M59" s="130"/>
      <c r="N59" s="130"/>
      <c r="O59" s="130"/>
      <c r="P59" s="130"/>
      <c r="Q59" s="130"/>
      <c r="R59" s="130"/>
      <c r="S59" s="130"/>
      <c r="T59" s="130"/>
      <c r="U59" s="130"/>
      <c r="V59" s="130"/>
      <c r="W59" s="130"/>
    </row>
    <row r="60" spans="3:23" x14ac:dyDescent="0.25">
      <c r="C60" s="130"/>
      <c r="D60" s="130"/>
      <c r="E60" s="130"/>
      <c r="F60" s="130"/>
      <c r="G60" s="130"/>
      <c r="H60" s="130"/>
      <c r="I60" s="130"/>
      <c r="J60" s="130"/>
      <c r="K60" s="130"/>
      <c r="L60" s="130"/>
      <c r="M60" s="130"/>
      <c r="N60" s="130"/>
      <c r="O60" s="130"/>
      <c r="P60" s="130"/>
      <c r="Q60" s="130"/>
      <c r="R60" s="130"/>
      <c r="S60" s="130"/>
      <c r="T60" s="130"/>
      <c r="U60" s="130"/>
      <c r="V60" s="130"/>
      <c r="W60" s="130"/>
    </row>
    <row r="61" spans="3:23" x14ac:dyDescent="0.25">
      <c r="C61" s="130"/>
      <c r="D61" s="130"/>
      <c r="E61" s="130"/>
      <c r="F61" s="130"/>
      <c r="G61" s="130"/>
      <c r="H61" s="130"/>
      <c r="I61" s="130"/>
      <c r="J61" s="130"/>
      <c r="K61" s="130"/>
      <c r="L61" s="130"/>
      <c r="M61" s="130"/>
      <c r="N61" s="130"/>
      <c r="O61" s="130"/>
      <c r="P61" s="130"/>
      <c r="Q61" s="130"/>
      <c r="R61" s="130"/>
      <c r="S61" s="130"/>
      <c r="T61" s="130"/>
      <c r="U61" s="130"/>
      <c r="V61" s="130"/>
      <c r="W61" s="130"/>
    </row>
    <row r="62" spans="3:23" x14ac:dyDescent="0.25">
      <c r="C62" s="130"/>
      <c r="D62" s="130"/>
      <c r="E62" s="130"/>
      <c r="F62" s="130"/>
      <c r="G62" s="130"/>
      <c r="H62" s="130"/>
      <c r="I62" s="130"/>
      <c r="J62" s="130"/>
      <c r="K62" s="130"/>
      <c r="L62" s="130"/>
      <c r="M62" s="130"/>
      <c r="N62" s="130"/>
      <c r="O62" s="130"/>
      <c r="P62" s="130"/>
      <c r="Q62" s="130"/>
      <c r="R62" s="130"/>
      <c r="S62" s="130"/>
      <c r="T62" s="130"/>
      <c r="U62" s="130"/>
      <c r="V62" s="130"/>
      <c r="W62" s="130"/>
    </row>
    <row r="63" spans="3:23" x14ac:dyDescent="0.25">
      <c r="C63" s="130"/>
      <c r="D63" s="130"/>
      <c r="E63" s="130"/>
      <c r="F63" s="130"/>
      <c r="G63" s="130"/>
      <c r="H63" s="130"/>
      <c r="I63" s="130"/>
      <c r="J63" s="130"/>
      <c r="K63" s="130"/>
      <c r="L63" s="130"/>
      <c r="M63" s="130"/>
      <c r="N63" s="130"/>
      <c r="O63" s="130"/>
      <c r="P63" s="130"/>
      <c r="Q63" s="130"/>
      <c r="R63" s="130"/>
      <c r="S63" s="130"/>
      <c r="T63" s="130"/>
      <c r="U63" s="130"/>
      <c r="V63" s="130"/>
      <c r="W63" s="130"/>
    </row>
    <row r="64" spans="3:23" x14ac:dyDescent="0.25">
      <c r="C64" s="130"/>
      <c r="D64" s="130"/>
      <c r="E64" s="130"/>
      <c r="F64" s="130"/>
      <c r="G64" s="130"/>
      <c r="H64" s="130"/>
      <c r="I64" s="130"/>
      <c r="J64" s="130"/>
      <c r="K64" s="130"/>
      <c r="L64" s="130"/>
      <c r="M64" s="130"/>
      <c r="N64" s="130"/>
      <c r="O64" s="130"/>
      <c r="P64" s="130"/>
      <c r="Q64" s="130"/>
      <c r="R64" s="130"/>
      <c r="S64" s="130"/>
      <c r="T64" s="130"/>
      <c r="U64" s="130"/>
      <c r="V64" s="130"/>
      <c r="W64" s="130"/>
    </row>
    <row r="65" spans="3:23" x14ac:dyDescent="0.25">
      <c r="C65" s="130"/>
      <c r="D65" s="130"/>
      <c r="E65" s="130"/>
      <c r="F65" s="130"/>
      <c r="G65" s="130"/>
      <c r="H65" s="130"/>
      <c r="I65" s="130"/>
      <c r="J65" s="130"/>
      <c r="K65" s="130"/>
      <c r="L65" s="130"/>
      <c r="M65" s="130"/>
      <c r="N65" s="130"/>
      <c r="O65" s="130"/>
      <c r="P65" s="130"/>
      <c r="Q65" s="130"/>
      <c r="R65" s="130"/>
      <c r="S65" s="130"/>
      <c r="T65" s="130"/>
      <c r="U65" s="130"/>
      <c r="V65" s="130"/>
      <c r="W65" s="130"/>
    </row>
    <row r="66" spans="3:23" x14ac:dyDescent="0.25">
      <c r="C66" s="130"/>
      <c r="D66" s="130"/>
      <c r="E66" s="130"/>
      <c r="F66" s="130"/>
      <c r="G66" s="130"/>
      <c r="H66" s="130"/>
      <c r="I66" s="130"/>
      <c r="J66" s="130"/>
      <c r="K66" s="130"/>
      <c r="L66" s="130"/>
      <c r="M66" s="130"/>
      <c r="N66" s="130"/>
      <c r="O66" s="130"/>
      <c r="P66" s="130"/>
      <c r="Q66" s="130"/>
      <c r="R66" s="130"/>
      <c r="S66" s="130"/>
      <c r="T66" s="130"/>
      <c r="U66" s="130"/>
      <c r="V66" s="130"/>
      <c r="W66" s="130"/>
    </row>
    <row r="67" spans="3:23" x14ac:dyDescent="0.25">
      <c r="C67" s="130"/>
      <c r="D67" s="130"/>
      <c r="E67" s="130"/>
      <c r="F67" s="130"/>
      <c r="G67" s="130"/>
      <c r="H67" s="130"/>
      <c r="I67" s="130"/>
      <c r="J67" s="130"/>
      <c r="K67" s="130"/>
      <c r="L67" s="130"/>
      <c r="M67" s="130"/>
      <c r="N67" s="130"/>
      <c r="O67" s="130"/>
      <c r="P67" s="130"/>
      <c r="Q67" s="130"/>
      <c r="R67" s="130"/>
      <c r="S67" s="130"/>
      <c r="T67" s="130"/>
      <c r="U67" s="130"/>
      <c r="V67" s="130"/>
      <c r="W67" s="130"/>
    </row>
    <row r="68" spans="3:23" x14ac:dyDescent="0.25">
      <c r="C68" s="130"/>
      <c r="D68" s="130"/>
      <c r="E68" s="130"/>
      <c r="F68" s="130"/>
      <c r="G68" s="130"/>
      <c r="H68" s="130"/>
      <c r="I68" s="130"/>
      <c r="J68" s="130"/>
      <c r="K68" s="130"/>
      <c r="L68" s="130"/>
      <c r="M68" s="130"/>
      <c r="N68" s="130"/>
      <c r="O68" s="130"/>
      <c r="P68" s="130"/>
      <c r="Q68" s="130"/>
      <c r="R68" s="130"/>
      <c r="S68" s="130"/>
      <c r="T68" s="130"/>
      <c r="U68" s="130"/>
      <c r="V68" s="130"/>
      <c r="W68" s="130"/>
    </row>
    <row r="69" spans="3:23" x14ac:dyDescent="0.25">
      <c r="C69" s="130"/>
      <c r="D69" s="130"/>
      <c r="E69" s="130"/>
      <c r="F69" s="130"/>
      <c r="G69" s="130"/>
      <c r="H69" s="130"/>
      <c r="I69" s="130"/>
      <c r="J69" s="130"/>
      <c r="K69" s="130"/>
      <c r="L69" s="130"/>
      <c r="M69" s="130"/>
      <c r="N69" s="130"/>
      <c r="O69" s="130"/>
      <c r="P69" s="130"/>
      <c r="Q69" s="130"/>
      <c r="R69" s="130"/>
      <c r="S69" s="130"/>
      <c r="T69" s="130"/>
      <c r="U69" s="130"/>
      <c r="V69" s="130"/>
      <c r="W69" s="130"/>
    </row>
    <row r="70" spans="3:23" x14ac:dyDescent="0.25">
      <c r="C70" s="130"/>
      <c r="D70" s="130"/>
      <c r="E70" s="130"/>
      <c r="F70" s="130"/>
      <c r="G70" s="130"/>
      <c r="H70" s="130"/>
      <c r="I70" s="130"/>
      <c r="J70" s="130"/>
      <c r="K70" s="130"/>
      <c r="L70" s="130"/>
      <c r="M70" s="130"/>
      <c r="N70" s="130"/>
      <c r="O70" s="130"/>
      <c r="P70" s="130"/>
      <c r="Q70" s="130"/>
      <c r="R70" s="130"/>
      <c r="S70" s="130"/>
      <c r="T70" s="130"/>
      <c r="U70" s="130"/>
      <c r="V70" s="130"/>
      <c r="W70" s="130"/>
    </row>
    <row r="71" spans="3:23" x14ac:dyDescent="0.25">
      <c r="C71" s="130"/>
      <c r="D71" s="130"/>
      <c r="E71" s="130"/>
      <c r="F71" s="130"/>
      <c r="G71" s="130"/>
      <c r="H71" s="130"/>
      <c r="I71" s="130"/>
      <c r="J71" s="130"/>
      <c r="K71" s="130"/>
      <c r="L71" s="130"/>
      <c r="M71" s="130"/>
      <c r="N71" s="130"/>
      <c r="O71" s="130"/>
      <c r="P71" s="130"/>
      <c r="Q71" s="130"/>
      <c r="R71" s="130"/>
      <c r="S71" s="130"/>
      <c r="T71" s="130"/>
      <c r="U71" s="130"/>
      <c r="V71" s="130"/>
      <c r="W71" s="130"/>
    </row>
    <row r="72" spans="3:23" x14ac:dyDescent="0.25">
      <c r="C72" s="130"/>
      <c r="D72" s="130"/>
      <c r="E72" s="130"/>
      <c r="F72" s="130"/>
      <c r="G72" s="130"/>
      <c r="H72" s="130"/>
      <c r="I72" s="130"/>
      <c r="J72" s="130"/>
      <c r="K72" s="130"/>
      <c r="L72" s="130"/>
      <c r="M72" s="130"/>
      <c r="N72" s="130"/>
      <c r="O72" s="130"/>
      <c r="P72" s="130"/>
      <c r="Q72" s="130"/>
      <c r="R72" s="130"/>
      <c r="S72" s="130"/>
      <c r="T72" s="130"/>
      <c r="U72" s="130"/>
      <c r="V72" s="130"/>
      <c r="W72" s="130"/>
    </row>
    <row r="73" spans="3:23" x14ac:dyDescent="0.25">
      <c r="C73" s="130"/>
      <c r="D73" s="130"/>
      <c r="E73" s="130"/>
      <c r="F73" s="130"/>
      <c r="G73" s="130"/>
      <c r="H73" s="130"/>
      <c r="I73" s="130"/>
      <c r="J73" s="130"/>
      <c r="K73" s="130"/>
      <c r="L73" s="130"/>
      <c r="M73" s="130"/>
      <c r="N73" s="130"/>
      <c r="O73" s="130"/>
      <c r="P73" s="130"/>
      <c r="Q73" s="130"/>
      <c r="R73" s="130"/>
      <c r="S73" s="130"/>
      <c r="T73" s="130"/>
      <c r="U73" s="130"/>
      <c r="V73" s="130"/>
      <c r="W73" s="130"/>
    </row>
    <row r="74" spans="3:23" x14ac:dyDescent="0.25">
      <c r="C74" s="130"/>
      <c r="D74" s="130"/>
      <c r="E74" s="130"/>
      <c r="F74" s="130"/>
      <c r="G74" s="130"/>
      <c r="H74" s="130"/>
      <c r="I74" s="130"/>
      <c r="J74" s="130"/>
      <c r="K74" s="130"/>
      <c r="L74" s="130"/>
      <c r="M74" s="130"/>
      <c r="N74" s="130"/>
      <c r="O74" s="130"/>
      <c r="P74" s="130"/>
      <c r="Q74" s="130"/>
      <c r="R74" s="130"/>
      <c r="S74" s="130"/>
      <c r="T74" s="130"/>
      <c r="U74" s="130"/>
      <c r="V74" s="130"/>
      <c r="W74" s="130"/>
    </row>
    <row r="75" spans="3:23" x14ac:dyDescent="0.25">
      <c r="C75" s="130"/>
      <c r="D75" s="130"/>
      <c r="E75" s="130"/>
      <c r="F75" s="130"/>
      <c r="G75" s="130"/>
      <c r="H75" s="130"/>
      <c r="I75" s="130"/>
      <c r="J75" s="130"/>
      <c r="K75" s="130"/>
      <c r="L75" s="130"/>
      <c r="M75" s="130"/>
      <c r="N75" s="130"/>
      <c r="O75" s="130"/>
      <c r="P75" s="130"/>
      <c r="Q75" s="130"/>
      <c r="R75" s="130"/>
      <c r="S75" s="130"/>
      <c r="T75" s="130"/>
      <c r="U75" s="130"/>
      <c r="V75" s="130"/>
      <c r="W75" s="130"/>
    </row>
    <row r="76" spans="3:23" x14ac:dyDescent="0.25">
      <c r="C76" s="130"/>
      <c r="D76" s="130"/>
      <c r="E76" s="130"/>
      <c r="F76" s="130"/>
      <c r="G76" s="130"/>
      <c r="H76" s="130"/>
      <c r="I76" s="130"/>
      <c r="J76" s="130"/>
      <c r="K76" s="130"/>
      <c r="L76" s="130"/>
      <c r="M76" s="130"/>
      <c r="N76" s="130"/>
      <c r="O76" s="130"/>
      <c r="P76" s="130"/>
      <c r="Q76" s="130"/>
      <c r="R76" s="130"/>
      <c r="S76" s="130"/>
      <c r="T76" s="130"/>
      <c r="U76" s="130"/>
      <c r="V76" s="130"/>
      <c r="W76" s="130"/>
    </row>
    <row r="77" spans="3:23" x14ac:dyDescent="0.25">
      <c r="C77" s="130"/>
      <c r="D77" s="130"/>
      <c r="E77" s="130"/>
      <c r="F77" s="130"/>
      <c r="G77" s="130"/>
      <c r="H77" s="130"/>
      <c r="I77" s="130"/>
      <c r="J77" s="130"/>
      <c r="K77" s="130"/>
      <c r="L77" s="130"/>
      <c r="M77" s="130"/>
      <c r="N77" s="130"/>
      <c r="O77" s="130"/>
      <c r="P77" s="130"/>
      <c r="Q77" s="130"/>
      <c r="R77" s="130"/>
      <c r="S77" s="130"/>
      <c r="T77" s="130"/>
      <c r="U77" s="130"/>
      <c r="V77" s="130"/>
      <c r="W77" s="130"/>
    </row>
    <row r="78" spans="3:23" x14ac:dyDescent="0.25">
      <c r="C78" s="130"/>
      <c r="D78" s="130"/>
      <c r="E78" s="130"/>
      <c r="F78" s="130"/>
      <c r="G78" s="130"/>
      <c r="H78" s="130"/>
      <c r="I78" s="130"/>
      <c r="J78" s="130"/>
      <c r="K78" s="130"/>
      <c r="L78" s="130"/>
      <c r="M78" s="130"/>
      <c r="N78" s="130"/>
      <c r="O78" s="130"/>
      <c r="P78" s="130"/>
      <c r="Q78" s="130"/>
      <c r="R78" s="130"/>
      <c r="S78" s="130"/>
      <c r="T78" s="130"/>
      <c r="U78" s="130"/>
      <c r="V78" s="130"/>
      <c r="W78" s="130"/>
    </row>
    <row r="79" spans="3:23" x14ac:dyDescent="0.25">
      <c r="C79" s="130"/>
      <c r="D79" s="130"/>
      <c r="E79" s="130"/>
      <c r="F79" s="130"/>
      <c r="G79" s="130"/>
      <c r="H79" s="130"/>
      <c r="I79" s="130"/>
      <c r="J79" s="130"/>
      <c r="K79" s="130"/>
      <c r="L79" s="130"/>
      <c r="M79" s="130"/>
      <c r="N79" s="130"/>
      <c r="O79" s="130"/>
      <c r="P79" s="130"/>
      <c r="Q79" s="130"/>
      <c r="R79" s="130"/>
      <c r="S79" s="130"/>
      <c r="T79" s="130"/>
      <c r="U79" s="130"/>
      <c r="V79" s="130"/>
      <c r="W79" s="130"/>
    </row>
    <row r="80" spans="3:23" x14ac:dyDescent="0.25">
      <c r="C80" s="130"/>
      <c r="D80" s="130"/>
      <c r="E80" s="130"/>
      <c r="F80" s="130"/>
      <c r="G80" s="130"/>
      <c r="H80" s="130"/>
      <c r="I80" s="130"/>
      <c r="J80" s="130"/>
      <c r="K80" s="130"/>
      <c r="L80" s="130"/>
      <c r="M80" s="130"/>
      <c r="N80" s="130"/>
      <c r="O80" s="130"/>
      <c r="P80" s="130"/>
      <c r="Q80" s="130"/>
      <c r="R80" s="130"/>
      <c r="S80" s="130"/>
      <c r="T80" s="130"/>
      <c r="U80" s="130"/>
      <c r="V80" s="130"/>
      <c r="W80" s="130"/>
    </row>
    <row r="81" spans="2:55" x14ac:dyDescent="0.25">
      <c r="C81" s="130"/>
      <c r="D81" s="130"/>
      <c r="E81" s="130"/>
      <c r="F81" s="130"/>
      <c r="G81" s="130"/>
      <c r="H81" s="130"/>
      <c r="I81" s="130"/>
      <c r="J81" s="130"/>
      <c r="K81" s="130"/>
      <c r="L81" s="130"/>
      <c r="M81" s="130"/>
      <c r="N81" s="130"/>
      <c r="O81" s="130"/>
      <c r="P81" s="130"/>
      <c r="Q81" s="130"/>
      <c r="R81" s="130"/>
      <c r="S81" s="130"/>
      <c r="T81" s="130"/>
      <c r="U81" s="130"/>
      <c r="V81" s="130"/>
      <c r="W81" s="130"/>
    </row>
    <row r="82" spans="2:55" x14ac:dyDescent="0.25">
      <c r="C82" s="130"/>
      <c r="D82" s="130"/>
      <c r="E82" s="130"/>
      <c r="F82" s="130"/>
      <c r="G82" s="130"/>
      <c r="H82" s="130"/>
      <c r="I82" s="130"/>
      <c r="J82" s="130"/>
      <c r="K82" s="130"/>
      <c r="L82" s="130"/>
      <c r="M82" s="130"/>
      <c r="N82" s="130"/>
      <c r="O82" s="130"/>
      <c r="P82" s="130"/>
      <c r="Q82" s="130"/>
      <c r="R82" s="130"/>
      <c r="S82" s="130"/>
      <c r="T82" s="130"/>
      <c r="U82" s="130"/>
      <c r="V82" s="130"/>
      <c r="W82" s="130"/>
    </row>
    <row r="83" spans="2:55" x14ac:dyDescent="0.25">
      <c r="C83" s="130"/>
      <c r="D83" s="130"/>
      <c r="E83" s="130"/>
      <c r="F83" s="130"/>
      <c r="G83" s="130"/>
      <c r="H83" s="130"/>
      <c r="I83" s="130"/>
      <c r="J83" s="130"/>
      <c r="K83" s="130"/>
      <c r="L83" s="130"/>
      <c r="M83" s="130"/>
      <c r="N83" s="130"/>
      <c r="O83" s="130"/>
      <c r="P83" s="130"/>
      <c r="Q83" s="130"/>
      <c r="R83" s="130"/>
      <c r="S83" s="130"/>
      <c r="T83" s="130"/>
      <c r="U83" s="130"/>
      <c r="V83" s="130"/>
      <c r="W83" s="130"/>
    </row>
    <row r="84" spans="2:55" x14ac:dyDescent="0.25">
      <c r="C84" s="130"/>
      <c r="D84" s="130"/>
      <c r="E84" s="130"/>
      <c r="F84" s="130"/>
      <c r="G84" s="130"/>
      <c r="H84" s="130"/>
      <c r="I84" s="130"/>
      <c r="J84" s="130"/>
      <c r="K84" s="130"/>
      <c r="L84" s="130"/>
      <c r="M84" s="130"/>
      <c r="N84" s="130"/>
      <c r="O84" s="130"/>
      <c r="P84" s="130"/>
      <c r="Q84" s="130"/>
      <c r="R84" s="130"/>
      <c r="S84" s="130"/>
      <c r="T84" s="130"/>
      <c r="U84" s="130"/>
      <c r="V84" s="130"/>
      <c r="W84" s="130"/>
    </row>
    <row r="85" spans="2:55" x14ac:dyDescent="0.25">
      <c r="C85" s="130"/>
      <c r="D85" s="130"/>
      <c r="E85" s="130"/>
      <c r="F85" s="130"/>
      <c r="G85" s="130"/>
      <c r="H85" s="130"/>
      <c r="I85" s="130"/>
      <c r="J85" s="130"/>
      <c r="K85" s="130"/>
      <c r="L85" s="130"/>
      <c r="M85" s="130"/>
      <c r="N85" s="130"/>
      <c r="O85" s="130"/>
      <c r="P85" s="130"/>
      <c r="Q85" s="130"/>
      <c r="R85" s="130"/>
      <c r="S85" s="130"/>
      <c r="T85" s="130"/>
      <c r="U85" s="130"/>
      <c r="V85" s="130"/>
      <c r="W85" s="130"/>
    </row>
    <row r="86" spans="2:55" x14ac:dyDescent="0.25">
      <c r="C86" s="130"/>
      <c r="D86" s="130"/>
      <c r="E86" s="130"/>
      <c r="F86" s="130"/>
      <c r="G86" s="130"/>
      <c r="H86" s="130"/>
      <c r="I86" s="130"/>
      <c r="J86" s="130"/>
      <c r="K86" s="130"/>
      <c r="L86" s="130"/>
      <c r="M86" s="130"/>
      <c r="N86" s="130"/>
      <c r="O86" s="130"/>
      <c r="P86" s="130"/>
      <c r="Q86" s="130"/>
      <c r="R86" s="130"/>
      <c r="S86" s="130"/>
      <c r="T86" s="130"/>
      <c r="U86" s="130"/>
      <c r="V86" s="130"/>
      <c r="W86" s="130"/>
    </row>
    <row r="87" spans="2:55" ht="15.75" x14ac:dyDescent="0.25">
      <c r="C87" s="149" t="s">
        <v>423</v>
      </c>
      <c r="D87" s="130"/>
      <c r="E87" s="130"/>
      <c r="F87" s="130"/>
      <c r="G87" s="130"/>
      <c r="H87" s="130"/>
      <c r="I87" s="130"/>
      <c r="J87" s="130"/>
      <c r="K87" s="130"/>
      <c r="L87" s="130"/>
      <c r="M87" s="130"/>
      <c r="N87" s="130"/>
      <c r="O87" s="130"/>
      <c r="P87" s="130"/>
      <c r="Q87" s="130"/>
      <c r="R87" s="130"/>
      <c r="S87" s="130"/>
      <c r="T87" s="130"/>
      <c r="U87" s="130"/>
      <c r="V87" s="130"/>
    </row>
    <row r="88" spans="2:55" x14ac:dyDescent="0.25">
      <c r="C88" s="130"/>
      <c r="D88" s="384" t="s">
        <v>448</v>
      </c>
      <c r="E88" s="384"/>
      <c r="F88" s="384"/>
      <c r="G88" s="174"/>
      <c r="H88" s="384" t="s">
        <v>269</v>
      </c>
      <c r="I88" s="384"/>
      <c r="J88" s="384"/>
      <c r="K88" s="174"/>
      <c r="L88" s="384" t="s">
        <v>270</v>
      </c>
      <c r="M88" s="384"/>
      <c r="N88" s="384"/>
      <c r="O88" s="174"/>
      <c r="P88" s="384" t="s">
        <v>271</v>
      </c>
      <c r="Q88" s="384"/>
      <c r="R88" s="384"/>
      <c r="S88" s="174"/>
      <c r="T88" s="384" t="s">
        <v>272</v>
      </c>
      <c r="U88" s="384"/>
      <c r="V88" s="384"/>
      <c r="W88" s="174"/>
      <c r="X88" s="384" t="s">
        <v>447</v>
      </c>
      <c r="Y88" s="384"/>
      <c r="Z88" s="384"/>
    </row>
    <row r="89" spans="2:55" s="138" customFormat="1" x14ac:dyDescent="0.25">
      <c r="B89" s="139"/>
      <c r="C89" s="140"/>
      <c r="D89" s="140" t="s">
        <v>492</v>
      </c>
      <c r="E89" s="140" t="s">
        <v>494</v>
      </c>
      <c r="F89" s="140" t="s">
        <v>495</v>
      </c>
      <c r="G89" s="140"/>
      <c r="H89" s="140" t="s">
        <v>492</v>
      </c>
      <c r="I89" s="140" t="s">
        <v>494</v>
      </c>
      <c r="J89" s="140" t="s">
        <v>495</v>
      </c>
      <c r="K89" s="140"/>
      <c r="L89" s="140" t="s">
        <v>492</v>
      </c>
      <c r="M89" s="140" t="s">
        <v>494</v>
      </c>
      <c r="N89" s="140" t="s">
        <v>495</v>
      </c>
      <c r="O89" s="140"/>
      <c r="P89" s="140" t="s">
        <v>492</v>
      </c>
      <c r="Q89" s="140" t="s">
        <v>494</v>
      </c>
      <c r="R89" s="140" t="s">
        <v>495</v>
      </c>
      <c r="S89" s="140"/>
      <c r="T89" s="140" t="s">
        <v>492</v>
      </c>
      <c r="U89" s="140" t="s">
        <v>494</v>
      </c>
      <c r="V89" s="140" t="s">
        <v>495</v>
      </c>
      <c r="W89" s="140"/>
      <c r="X89" s="140" t="s">
        <v>492</v>
      </c>
      <c r="Y89" s="140" t="s">
        <v>494</v>
      </c>
      <c r="Z89" s="140" t="s">
        <v>495</v>
      </c>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row>
    <row r="90" spans="2:55" x14ac:dyDescent="0.25">
      <c r="C90" s="130" t="s">
        <v>497</v>
      </c>
      <c r="D90" s="131" t="e">
        <f>D10</f>
        <v>#REF!</v>
      </c>
      <c r="E90" s="131" t="e">
        <f>D11</f>
        <v>#REF!</v>
      </c>
      <c r="F90" s="131" t="e">
        <f>D12</f>
        <v>#REF!</v>
      </c>
      <c r="G90" s="131"/>
      <c r="H90" s="131" t="e">
        <f>E10</f>
        <v>#REF!</v>
      </c>
      <c r="I90" s="131" t="e">
        <f>E11</f>
        <v>#REF!</v>
      </c>
      <c r="J90" s="131" t="e">
        <f>E12</f>
        <v>#REF!</v>
      </c>
      <c r="K90" s="131"/>
      <c r="L90" s="131" t="e">
        <f>F10</f>
        <v>#REF!</v>
      </c>
      <c r="M90" s="131" t="e">
        <f>F11</f>
        <v>#REF!</v>
      </c>
      <c r="N90" s="131" t="e">
        <f>F12</f>
        <v>#REF!</v>
      </c>
      <c r="O90" s="131"/>
      <c r="P90" s="131" t="e">
        <f>G10</f>
        <v>#REF!</v>
      </c>
      <c r="Q90" s="131" t="e">
        <f>G11</f>
        <v>#REF!</v>
      </c>
      <c r="R90" s="131" t="e">
        <f>G12</f>
        <v>#REF!</v>
      </c>
      <c r="S90" s="131"/>
      <c r="T90" s="131" t="e">
        <f>H10</f>
        <v>#REF!</v>
      </c>
      <c r="U90" s="131" t="e">
        <f>H11</f>
        <v>#REF!</v>
      </c>
      <c r="V90" s="131" t="e">
        <f>H12</f>
        <v>#REF!</v>
      </c>
      <c r="W90" s="131"/>
      <c r="X90" s="131" t="e">
        <f>I10</f>
        <v>#REF!</v>
      </c>
      <c r="Y90" s="131" t="e">
        <f>I11</f>
        <v>#REF!</v>
      </c>
      <c r="Z90" s="131" t="e">
        <f>I12</f>
        <v>#REF!</v>
      </c>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row>
    <row r="91" spans="2:55" x14ac:dyDescent="0.25">
      <c r="C91" s="130"/>
      <c r="D91" s="131"/>
      <c r="E91" s="132" t="e">
        <f>ABS(E90-D90)</f>
        <v>#REF!</v>
      </c>
      <c r="F91" s="132" t="e">
        <f>ABS(F90-D90)</f>
        <v>#REF!</v>
      </c>
      <c r="G91" s="132"/>
      <c r="H91" s="130"/>
      <c r="I91" s="132" t="e">
        <f>ABS(I92)</f>
        <v>#REF!</v>
      </c>
      <c r="J91" s="132" t="e">
        <f>ABS(J92)</f>
        <v>#REF!</v>
      </c>
      <c r="K91" s="132"/>
      <c r="L91" s="130"/>
      <c r="M91" s="132" t="e">
        <f>ABS(M92)</f>
        <v>#REF!</v>
      </c>
      <c r="N91" s="132" t="e">
        <f>ABS(N92)</f>
        <v>#REF!</v>
      </c>
      <c r="O91" s="132"/>
      <c r="P91" s="130"/>
      <c r="Q91" s="132" t="e">
        <f>ABS(Q92)</f>
        <v>#REF!</v>
      </c>
      <c r="R91" s="132" t="e">
        <f>ABS(R92)</f>
        <v>#REF!</v>
      </c>
      <c r="S91" s="132"/>
      <c r="T91" s="130"/>
      <c r="U91" s="132" t="e">
        <f>ABS(U92)</f>
        <v>#REF!</v>
      </c>
      <c r="V91" s="132" t="e">
        <f>ABS(V92)</f>
        <v>#REF!</v>
      </c>
      <c r="W91" s="132"/>
      <c r="X91" s="130"/>
      <c r="Y91" s="132" t="e">
        <f>ABS(Y92)</f>
        <v>#REF!</v>
      </c>
      <c r="Z91" s="132" t="e">
        <f>ABS(Z92)</f>
        <v>#REF!</v>
      </c>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row>
    <row r="92" spans="2:55" x14ac:dyDescent="0.25">
      <c r="C92" s="130"/>
      <c r="D92" s="131"/>
      <c r="E92" s="133" t="e">
        <f>E90-D90</f>
        <v>#REF!</v>
      </c>
      <c r="F92" s="133" t="e">
        <f>F90-D90</f>
        <v>#REF!</v>
      </c>
      <c r="G92" s="133"/>
      <c r="H92" s="133"/>
      <c r="I92" s="133" t="e">
        <f>I90-H90</f>
        <v>#REF!</v>
      </c>
      <c r="J92" s="133" t="e">
        <f>J90-H90</f>
        <v>#REF!</v>
      </c>
      <c r="K92" s="133"/>
      <c r="L92" s="133"/>
      <c r="M92" s="133" t="e">
        <f>M90-L90</f>
        <v>#REF!</v>
      </c>
      <c r="N92" s="133" t="e">
        <f>N90-L90</f>
        <v>#REF!</v>
      </c>
      <c r="O92" s="133"/>
      <c r="P92" s="133"/>
      <c r="Q92" s="133" t="e">
        <f>Q90-P90</f>
        <v>#REF!</v>
      </c>
      <c r="R92" s="133" t="e">
        <f>R90-P90</f>
        <v>#REF!</v>
      </c>
      <c r="S92" s="133"/>
      <c r="T92" s="133"/>
      <c r="U92" s="133" t="e">
        <f>U90-T90</f>
        <v>#REF!</v>
      </c>
      <c r="V92" s="133" t="e">
        <f>V90-T90</f>
        <v>#REF!</v>
      </c>
      <c r="W92" s="133"/>
      <c r="X92" s="133"/>
      <c r="Y92" s="133" t="e">
        <f>Y90-X90</f>
        <v>#REF!</v>
      </c>
      <c r="Z92" s="133" t="e">
        <f>Z90-X90</f>
        <v>#REF!</v>
      </c>
      <c r="AA92" s="133"/>
      <c r="AB92" s="133"/>
      <c r="AC92" s="133"/>
      <c r="AD92" s="133"/>
      <c r="AE92" s="133"/>
      <c r="AF92" s="133"/>
      <c r="AG92" s="133"/>
      <c r="AH92" s="133"/>
      <c r="AI92" s="133"/>
      <c r="AJ92" s="133"/>
      <c r="AK92" s="133"/>
      <c r="AL92" s="133"/>
      <c r="AM92" s="133"/>
      <c r="AN92" s="133"/>
      <c r="AO92" s="133"/>
      <c r="AP92" s="133"/>
      <c r="AQ92" s="133"/>
      <c r="AR92" s="133"/>
      <c r="AS92" s="133"/>
      <c r="AT92" s="133"/>
      <c r="AU92" s="133"/>
      <c r="AV92" s="133"/>
      <c r="AW92" s="133"/>
      <c r="AX92" s="133"/>
      <c r="AY92" s="133"/>
      <c r="AZ92" s="133"/>
      <c r="BA92" s="133"/>
      <c r="BB92" s="133"/>
      <c r="BC92" s="133"/>
    </row>
    <row r="93" spans="2:55" x14ac:dyDescent="0.25">
      <c r="C93" s="130" t="s">
        <v>498</v>
      </c>
      <c r="D93" s="131" t="e">
        <f>D20</f>
        <v>#REF!</v>
      </c>
      <c r="E93" s="131" t="e">
        <f>D21</f>
        <v>#REF!</v>
      </c>
      <c r="F93" s="131" t="e">
        <f>D22</f>
        <v>#REF!</v>
      </c>
      <c r="G93" s="131"/>
      <c r="H93" s="131" t="e">
        <f>E20</f>
        <v>#REF!</v>
      </c>
      <c r="I93" s="131" t="e">
        <f>E21</f>
        <v>#REF!</v>
      </c>
      <c r="J93" s="131" t="e">
        <f>E22</f>
        <v>#REF!</v>
      </c>
      <c r="K93" s="131"/>
      <c r="L93" s="131" t="e">
        <f>F20</f>
        <v>#REF!</v>
      </c>
      <c r="M93" s="131" t="e">
        <f>F21</f>
        <v>#REF!</v>
      </c>
      <c r="N93" s="131" t="e">
        <f>F22</f>
        <v>#REF!</v>
      </c>
      <c r="O93" s="131"/>
      <c r="P93" s="131" t="e">
        <f>G20</f>
        <v>#REF!</v>
      </c>
      <c r="Q93" s="131" t="e">
        <f>G21</f>
        <v>#REF!</v>
      </c>
      <c r="R93" s="131" t="e">
        <f>G22</f>
        <v>#REF!</v>
      </c>
      <c r="S93" s="131"/>
      <c r="T93" s="131" t="e">
        <f>H20</f>
        <v>#REF!</v>
      </c>
      <c r="U93" s="131" t="e">
        <f>H21</f>
        <v>#REF!</v>
      </c>
      <c r="V93" s="131" t="e">
        <f>H22</f>
        <v>#REF!</v>
      </c>
      <c r="W93" s="131"/>
      <c r="X93" s="131" t="e">
        <f>I20</f>
        <v>#REF!</v>
      </c>
      <c r="Y93" s="131" t="e">
        <f>I21</f>
        <v>#REF!</v>
      </c>
      <c r="Z93" s="131" t="e">
        <f>I22</f>
        <v>#REF!</v>
      </c>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row>
    <row r="94" spans="2:55" x14ac:dyDescent="0.25">
      <c r="C94" s="130"/>
      <c r="D94" s="131"/>
      <c r="E94" s="132" t="e">
        <f>ABS(E93-D93)</f>
        <v>#REF!</v>
      </c>
      <c r="F94" s="132" t="e">
        <f>ABS(F93-D93)</f>
        <v>#REF!</v>
      </c>
      <c r="G94" s="132"/>
      <c r="H94" s="130"/>
      <c r="I94" s="132" t="e">
        <f>ABS(I95)</f>
        <v>#REF!</v>
      </c>
      <c r="J94" s="132" t="e">
        <f>ABS(J95)</f>
        <v>#REF!</v>
      </c>
      <c r="K94" s="132"/>
      <c r="L94" s="130"/>
      <c r="M94" s="132" t="e">
        <f>ABS(M95)</f>
        <v>#REF!</v>
      </c>
      <c r="N94" s="132" t="e">
        <f>ABS(N95)</f>
        <v>#REF!</v>
      </c>
      <c r="O94" s="132"/>
      <c r="P94" s="130"/>
      <c r="Q94" s="132" t="e">
        <f>ABS(Q95)</f>
        <v>#REF!</v>
      </c>
      <c r="R94" s="132" t="e">
        <f>ABS(R95)</f>
        <v>#REF!</v>
      </c>
      <c r="S94" s="132"/>
      <c r="T94" s="130"/>
      <c r="U94" s="132" t="e">
        <f>ABS(U95)</f>
        <v>#REF!</v>
      </c>
      <c r="V94" s="132" t="e">
        <f>ABS(V95)</f>
        <v>#REF!</v>
      </c>
      <c r="W94" s="132"/>
      <c r="X94" s="130"/>
      <c r="Y94" s="132" t="e">
        <f>ABS(Y95)</f>
        <v>#REF!</v>
      </c>
      <c r="Z94" s="132" t="e">
        <f>ABS(Z95)</f>
        <v>#REF!</v>
      </c>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row>
    <row r="95" spans="2:55" x14ac:dyDescent="0.25">
      <c r="B95" s="164"/>
      <c r="C95" s="133"/>
      <c r="D95" s="133"/>
      <c r="E95" s="133" t="e">
        <f>E93-D93</f>
        <v>#REF!</v>
      </c>
      <c r="F95" s="133" t="e">
        <f>F93-D93</f>
        <v>#REF!</v>
      </c>
      <c r="G95" s="133"/>
      <c r="H95" s="133"/>
      <c r="I95" s="133" t="e">
        <f>I93-H93</f>
        <v>#REF!</v>
      </c>
      <c r="J95" s="133" t="e">
        <f>J93-H93</f>
        <v>#REF!</v>
      </c>
      <c r="K95" s="133"/>
      <c r="L95" s="133"/>
      <c r="M95" s="133" t="e">
        <f>M93-L93</f>
        <v>#REF!</v>
      </c>
      <c r="N95" s="133" t="e">
        <f>N93-L93</f>
        <v>#REF!</v>
      </c>
      <c r="O95" s="133"/>
      <c r="P95" s="133"/>
      <c r="Q95" s="133" t="e">
        <f>Q93-P93</f>
        <v>#REF!</v>
      </c>
      <c r="R95" s="133" t="e">
        <f>R93-P93</f>
        <v>#REF!</v>
      </c>
      <c r="S95" s="133"/>
      <c r="T95" s="133"/>
      <c r="U95" s="133" t="e">
        <f>U93-T93</f>
        <v>#REF!</v>
      </c>
      <c r="V95" s="133" t="e">
        <f>V93-T93</f>
        <v>#REF!</v>
      </c>
      <c r="W95" s="133"/>
      <c r="X95" s="133"/>
      <c r="Y95" s="133" t="e">
        <f>Y93-X93</f>
        <v>#REF!</v>
      </c>
      <c r="Z95" s="133" t="e">
        <f>Z93-X93</f>
        <v>#REF!</v>
      </c>
      <c r="AA95" s="133"/>
      <c r="AB95" s="133"/>
      <c r="AC95" s="133"/>
      <c r="AD95" s="133"/>
      <c r="AE95" s="133"/>
      <c r="AF95" s="133"/>
      <c r="AG95" s="133"/>
      <c r="AH95" s="133"/>
      <c r="AI95" s="133"/>
      <c r="AJ95" s="133"/>
      <c r="AK95" s="133"/>
      <c r="AL95" s="133"/>
      <c r="AM95" s="133"/>
      <c r="AN95" s="133"/>
      <c r="AO95" s="133"/>
      <c r="AP95" s="133"/>
      <c r="AQ95" s="133"/>
      <c r="AR95" s="133"/>
      <c r="AS95" s="133"/>
      <c r="AT95" s="133"/>
      <c r="AU95" s="133"/>
      <c r="AV95" s="133"/>
      <c r="AW95" s="133"/>
      <c r="AX95" s="133"/>
      <c r="AY95" s="133"/>
      <c r="AZ95" s="133"/>
      <c r="BA95" s="133"/>
      <c r="BB95" s="133"/>
      <c r="BC95" s="133"/>
    </row>
    <row r="96" spans="2:55" x14ac:dyDescent="0.25">
      <c r="C96" s="130"/>
      <c r="D96" s="130"/>
      <c r="E96" s="130"/>
      <c r="F96" s="130"/>
      <c r="G96" s="130"/>
      <c r="H96" s="130"/>
      <c r="I96" s="130"/>
      <c r="J96" s="130"/>
      <c r="K96" s="130"/>
      <c r="L96" s="130"/>
      <c r="M96" s="130"/>
      <c r="N96" s="130"/>
      <c r="O96" s="130"/>
      <c r="P96" s="130"/>
      <c r="Q96" s="130"/>
      <c r="R96" s="130"/>
      <c r="S96" s="130"/>
      <c r="T96" s="130"/>
      <c r="U96" s="130"/>
      <c r="V96" s="130"/>
      <c r="W96" s="130"/>
    </row>
    <row r="97" spans="3:23" x14ac:dyDescent="0.25">
      <c r="C97" s="130"/>
      <c r="D97" s="130"/>
      <c r="E97" s="130"/>
      <c r="F97" s="130"/>
      <c r="G97" s="130"/>
      <c r="H97" s="130"/>
      <c r="I97" s="130"/>
      <c r="J97" s="130"/>
      <c r="K97" s="130"/>
      <c r="L97" s="130"/>
      <c r="M97" s="130"/>
      <c r="N97" s="130"/>
      <c r="O97" s="130"/>
      <c r="P97" s="130"/>
      <c r="Q97" s="130"/>
      <c r="R97" s="130"/>
      <c r="S97" s="130"/>
      <c r="T97" s="130"/>
      <c r="U97" s="130"/>
      <c r="V97" s="130"/>
      <c r="W97" s="130"/>
    </row>
  </sheetData>
  <mergeCells count="8">
    <mergeCell ref="T88:V88"/>
    <mergeCell ref="X88:Z88"/>
    <mergeCell ref="A2:A3"/>
    <mergeCell ref="D38:E38"/>
    <mergeCell ref="D88:F88"/>
    <mergeCell ref="H88:J88"/>
    <mergeCell ref="L88:N88"/>
    <mergeCell ref="P88:R88"/>
  </mergeCells>
  <dataValidations count="1">
    <dataValidation type="list" allowBlank="1" showInputMessage="1" showErrorMessage="1" sqref="P19 D38" xr:uid="{B7C518FE-C604-4660-B14E-3A3B69B24C66}">
      <formula1>"Actual,Approx"</formula1>
    </dataValidation>
  </dataValidations>
  <pageMargins left="0.7" right="0.7" top="0.75" bottom="0.75" header="0.3" footer="0.3"/>
  <pageSetup paperSize="9" orientation="portrait" r:id="rId1"/>
  <drawing r:id="rId2"/>
  <tableParts count="6">
    <tablePart r:id="rId3"/>
    <tablePart r:id="rId4"/>
    <tablePart r:id="rId5"/>
    <tablePart r:id="rId6"/>
    <tablePart r:id="rId7"/>
    <tablePart r:id="rId8"/>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0AE61-EB0F-4F73-8D2A-14417C80C9D3}">
  <sheetPr>
    <tabColor rgb="FFFFB13F"/>
  </sheetPr>
  <dimension ref="A1:BC78"/>
  <sheetViews>
    <sheetView showGridLines="0" topLeftCell="O1" zoomScale="85" zoomScaleNormal="85" workbookViewId="0">
      <pane ySplit="3" topLeftCell="A5" activePane="bottomLeft" state="frozen"/>
      <selection pane="bottomLeft" activeCell="AD11" sqref="AD11"/>
    </sheetView>
  </sheetViews>
  <sheetFormatPr defaultColWidth="10.5703125" defaultRowHeight="15" outlineLevelCol="1" x14ac:dyDescent="0.25"/>
  <cols>
    <col min="1" max="1" width="100.5703125" hidden="1" customWidth="1" outlineLevel="1"/>
    <col min="2" max="2" width="10.5703125" style="6" customWidth="1" collapsed="1"/>
    <col min="3" max="3" width="43.42578125" bestFit="1" customWidth="1"/>
    <col min="4" max="55" width="10.5703125" customWidth="1"/>
  </cols>
  <sheetData>
    <row r="1" spans="1:55" ht="15" customHeight="1" x14ac:dyDescent="0.25">
      <c r="A1" s="1" t="s">
        <v>20</v>
      </c>
      <c r="B1" s="21"/>
      <c r="C1" s="22"/>
      <c r="D1" s="22"/>
      <c r="E1" s="22"/>
      <c r="F1" s="22"/>
      <c r="G1" s="22"/>
      <c r="H1" s="123" t="s">
        <v>411</v>
      </c>
      <c r="I1" s="96"/>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row>
    <row r="2" spans="1:55" s="4" customFormat="1" ht="50.1" customHeight="1" x14ac:dyDescent="0.25">
      <c r="A2" s="382" t="s">
        <v>21</v>
      </c>
      <c r="B2" s="25"/>
      <c r="C2" s="25" t="str">
        <f>Disclaimer!$B$1</f>
        <v>VDO calculation model</v>
      </c>
      <c r="D2" s="25"/>
      <c r="E2" s="25"/>
      <c r="F2" s="25"/>
      <c r="G2" s="25"/>
      <c r="H2" s="41" t="str">
        <f>Calc_Rates!$D$5</f>
        <v>VDO 2022-23 - Draft</v>
      </c>
      <c r="I2" s="41" t="str">
        <f>Calc_Rates!$D$254</f>
        <v>VDO 2022 - Final</v>
      </c>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row>
    <row r="3" spans="1:55" s="4" customFormat="1" ht="30" customHeight="1" x14ac:dyDescent="0.25">
      <c r="A3" s="383"/>
      <c r="B3" s="27">
        <f ca="1">_xlfn.SHEET()</f>
        <v>22</v>
      </c>
      <c r="C3" s="26" t="s">
        <v>597</v>
      </c>
      <c r="D3" s="26"/>
      <c r="E3" s="26"/>
      <c r="F3" s="26"/>
      <c r="G3" s="26"/>
      <c r="H3" s="95" t="e">
        <f>SUM(D14:H14,D24:H24)</f>
        <v>#REF!</v>
      </c>
      <c r="I3" s="95" t="e">
        <f>SUM(D15:H16,D25:H26,O15:S16,O25:S26,AH15:AL16,AH25:AL26)</f>
        <v>#REF!</v>
      </c>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row>
    <row r="4" spans="1:55" x14ac:dyDescent="0.25">
      <c r="B4"/>
    </row>
    <row r="5" spans="1:55" ht="16.5" thickBot="1" x14ac:dyDescent="0.3">
      <c r="A5" s="1" t="s">
        <v>23</v>
      </c>
      <c r="B5" s="9">
        <f ca="1">MAX(B$3:B4)+0.1</f>
        <v>22.1</v>
      </c>
      <c r="C5" s="28" t="s">
        <v>598</v>
      </c>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row>
    <row r="6" spans="1:55" x14ac:dyDescent="0.25">
      <c r="Q6" s="165"/>
    </row>
    <row r="7" spans="1:55" ht="15.75" x14ac:dyDescent="0.25">
      <c r="C7" s="146" t="s">
        <v>511</v>
      </c>
      <c r="J7" s="146"/>
      <c r="O7" s="146" t="s">
        <v>435</v>
      </c>
      <c r="U7" s="166"/>
      <c r="AG7" s="146" t="s">
        <v>436</v>
      </c>
    </row>
    <row r="8" spans="1:55" ht="15.75" x14ac:dyDescent="0.25">
      <c r="C8" s="29" t="s">
        <v>92</v>
      </c>
      <c r="D8" s="130"/>
      <c r="E8" s="130"/>
      <c r="F8" s="130"/>
      <c r="G8" s="130"/>
      <c r="H8" s="130"/>
      <c r="J8" s="29"/>
      <c r="O8" s="29" t="s">
        <v>92</v>
      </c>
      <c r="P8" s="130"/>
      <c r="Q8" s="130"/>
      <c r="R8" s="130"/>
      <c r="S8" s="130"/>
      <c r="T8" s="130"/>
      <c r="U8" s="29"/>
      <c r="V8" s="130"/>
      <c r="W8" s="29" t="s">
        <v>459</v>
      </c>
      <c r="Z8" s="29" t="s">
        <v>462</v>
      </c>
      <c r="AC8" s="29" t="s">
        <v>458</v>
      </c>
      <c r="AG8" s="29" t="s">
        <v>92</v>
      </c>
      <c r="AH8" s="130"/>
      <c r="AI8" s="130"/>
      <c r="AJ8" s="130"/>
      <c r="AK8" s="130"/>
    </row>
    <row r="9" spans="1:55" ht="15.75" x14ac:dyDescent="0.25">
      <c r="C9" s="43" t="s">
        <v>90</v>
      </c>
      <c r="D9" s="60" t="s">
        <v>268</v>
      </c>
      <c r="E9" s="60" t="s">
        <v>269</v>
      </c>
      <c r="F9" s="60" t="s">
        <v>270</v>
      </c>
      <c r="G9" s="60" t="s">
        <v>271</v>
      </c>
      <c r="H9" s="60" t="s">
        <v>272</v>
      </c>
      <c r="I9" s="163" t="s">
        <v>447</v>
      </c>
      <c r="K9" s="42" t="s">
        <v>455</v>
      </c>
      <c r="L9" s="42" t="s">
        <v>456</v>
      </c>
      <c r="M9" s="42" t="s">
        <v>457</v>
      </c>
      <c r="O9" s="43" t="s">
        <v>90</v>
      </c>
      <c r="P9" s="60" t="s">
        <v>268</v>
      </c>
      <c r="Q9" s="60" t="s">
        <v>269</v>
      </c>
      <c r="R9" s="60" t="s">
        <v>270</v>
      </c>
      <c r="S9" s="60" t="s">
        <v>271</v>
      </c>
      <c r="T9" s="60" t="s">
        <v>272</v>
      </c>
      <c r="U9" s="163" t="s">
        <v>447</v>
      </c>
      <c r="V9" s="130"/>
      <c r="W9" s="50" t="s">
        <v>460</v>
      </c>
      <c r="X9" s="50" t="s">
        <v>461</v>
      </c>
      <c r="Y9" s="138"/>
      <c r="Z9" s="50" t="s">
        <v>460</v>
      </c>
      <c r="AA9" s="50" t="s">
        <v>461</v>
      </c>
      <c r="AB9" s="138"/>
      <c r="AC9" s="50" t="s">
        <v>460</v>
      </c>
      <c r="AD9" s="50" t="s">
        <v>461</v>
      </c>
      <c r="AE9" s="130"/>
      <c r="AF9" s="130"/>
      <c r="AG9" s="43" t="s">
        <v>90</v>
      </c>
      <c r="AH9" s="60" t="s">
        <v>268</v>
      </c>
      <c r="AI9" s="60" t="s">
        <v>269</v>
      </c>
      <c r="AJ9" s="60" t="s">
        <v>270</v>
      </c>
      <c r="AK9" s="60" t="s">
        <v>271</v>
      </c>
      <c r="AL9" s="60" t="s">
        <v>272</v>
      </c>
      <c r="AM9" s="163" t="s">
        <v>447</v>
      </c>
      <c r="AN9" s="130"/>
      <c r="AO9" s="130"/>
      <c r="AP9" s="130"/>
      <c r="AQ9" s="130"/>
      <c r="AR9" s="130"/>
      <c r="AS9" s="130"/>
      <c r="AT9" s="130"/>
      <c r="AU9" s="130"/>
      <c r="AV9" s="130"/>
      <c r="AW9" s="130"/>
      <c r="AX9" s="130"/>
      <c r="AY9" s="130"/>
      <c r="AZ9" s="130"/>
      <c r="BA9" s="130"/>
      <c r="BB9" s="130"/>
      <c r="BC9" s="130"/>
    </row>
    <row r="10" spans="1:55" x14ac:dyDescent="0.25">
      <c r="C10" s="82" t="str">
        <f>Calc_Rates!$D$5</f>
        <v>VDO 2022-23 - Draft</v>
      </c>
      <c r="D10" s="137" t="e">
        <f>'CH_Bill impacts full year 2'!#REF!/MiY</f>
        <v>#REF!</v>
      </c>
      <c r="E10" s="137" t="e">
        <f>'CH_Bill impacts full year 2'!#REF!/MiY</f>
        <v>#REF!</v>
      </c>
      <c r="F10" s="137" t="e">
        <f>'CH_Bill impacts full year 2'!#REF!/MiY</f>
        <v>#REF!</v>
      </c>
      <c r="G10" s="137" t="e">
        <f>'CH_Bill impacts full year 2'!#REF!/MiY</f>
        <v>#REF!</v>
      </c>
      <c r="H10" s="137" t="e">
        <f>'CH_Bill impacts full year 2'!#REF!/MiY</f>
        <v>#REF!</v>
      </c>
      <c r="I10" s="137" t="e">
        <f>'CH_Bill impacts full year 2'!#REF!/MiY</f>
        <v>#REF!</v>
      </c>
      <c r="K10" s="171" t="e">
        <f>MIN(HYBills_RES74[[#This Row],[Ausnet]:[Victoria]])</f>
        <v>#REF!</v>
      </c>
      <c r="L10" s="171" t="e">
        <f>MAX(HYBills_RES74[[#This Row],[Ausnet]:[Victoria]])</f>
        <v>#REF!</v>
      </c>
      <c r="M10" s="171" t="e">
        <f>L10-K10</f>
        <v>#REF!</v>
      </c>
      <c r="O10" s="59"/>
      <c r="P10" s="137"/>
      <c r="Q10" s="137"/>
      <c r="R10" s="137"/>
      <c r="S10" s="137"/>
      <c r="T10" s="137"/>
      <c r="U10" s="161"/>
      <c r="V10" s="130"/>
      <c r="W10" s="173"/>
      <c r="X10" s="138"/>
      <c r="Y10" s="138"/>
      <c r="Z10" s="173"/>
      <c r="AA10" s="138"/>
      <c r="AB10" s="138"/>
      <c r="AC10" s="138"/>
      <c r="AD10" s="138"/>
      <c r="AE10" s="130"/>
      <c r="AF10" s="130"/>
      <c r="AG10" s="59"/>
      <c r="AH10" s="148"/>
      <c r="AI10" s="148"/>
      <c r="AJ10" s="148"/>
      <c r="AK10" s="148"/>
      <c r="AL10" s="148"/>
      <c r="AM10" s="162"/>
      <c r="AN10" s="130"/>
      <c r="AO10" s="130"/>
      <c r="AP10" s="130"/>
      <c r="AQ10" s="130"/>
      <c r="AR10" s="130"/>
      <c r="AS10" s="130"/>
      <c r="AT10" s="130"/>
      <c r="AU10" s="130"/>
      <c r="AV10" s="130"/>
      <c r="AW10" s="130"/>
      <c r="AX10" s="130"/>
      <c r="AY10" s="130"/>
      <c r="AZ10" s="130"/>
      <c r="BA10" s="130"/>
      <c r="BB10" s="130"/>
      <c r="BC10" s="130"/>
    </row>
    <row r="11" spans="1:55" x14ac:dyDescent="0.25">
      <c r="C11" s="82" t="str">
        <f>Calc_Rates!$D$254&amp;" - Flat"</f>
        <v>VDO 2022 - Final - Flat</v>
      </c>
      <c r="D11" s="137" t="e">
        <f>'CH_Bill impacts full year 2'!#REF!/MiY</f>
        <v>#REF!</v>
      </c>
      <c r="E11" s="137" t="e">
        <f>'CH_Bill impacts full year 2'!#REF!/MiY</f>
        <v>#REF!</v>
      </c>
      <c r="F11" s="137" t="e">
        <f>'CH_Bill impacts full year 2'!#REF!/MiY</f>
        <v>#REF!</v>
      </c>
      <c r="G11" s="137" t="e">
        <f>'CH_Bill impacts full year 2'!#REF!/MiY</f>
        <v>#REF!</v>
      </c>
      <c r="H11" s="137" t="e">
        <f>'CH_Bill impacts full year 2'!#REF!/MiY</f>
        <v>#REF!</v>
      </c>
      <c r="I11" s="137" t="e">
        <f>'CH_Bill impacts full year 2'!#REF!/MiY</f>
        <v>#REF!</v>
      </c>
      <c r="K11" s="171" t="e">
        <f>MIN(HYBills_RES74[[#This Row],[Ausnet]:[Victoria]])</f>
        <v>#REF!</v>
      </c>
      <c r="L11" s="171" t="e">
        <f>MAX(HYBills_RES74[[#This Row],[Ausnet]:[Victoria]])</f>
        <v>#REF!</v>
      </c>
      <c r="M11" s="171" t="e">
        <f t="shared" ref="M11:M12" si="0">L11-K11</f>
        <v>#REF!</v>
      </c>
      <c r="O11" s="82" t="str">
        <f>Calc_Rates!$D$254&amp;" - Flat"</f>
        <v>VDO 2022 - Final - Flat</v>
      </c>
      <c r="P11" s="145" t="e">
        <f>D11-D$10</f>
        <v>#REF!</v>
      </c>
      <c r="Q11" s="145" t="e">
        <f t="shared" ref="P11:U12" si="1">E11-E$10</f>
        <v>#REF!</v>
      </c>
      <c r="R11" s="145" t="e">
        <f t="shared" si="1"/>
        <v>#REF!</v>
      </c>
      <c r="S11" s="145" t="e">
        <f t="shared" si="1"/>
        <v>#REF!</v>
      </c>
      <c r="T11" s="145" t="e">
        <f t="shared" si="1"/>
        <v>#REF!</v>
      </c>
      <c r="U11" s="145" t="e">
        <f t="shared" si="1"/>
        <v>#REF!</v>
      </c>
      <c r="V11" s="130"/>
      <c r="W11" s="173">
        <f>_xlfn.MINIFS(HYBillImpact_RES76[[#This Row],[Ausnet]:[Victoria]],HYBillImpact_RES76[[#This Row],[Ausnet]:[Victoria]],"&lt;0")</f>
        <v>0</v>
      </c>
      <c r="X11" s="173" t="str">
        <f>IF(_xlfn.MAXIFS(HYBillImpact_RES76[[#This Row],[Ausnet]:[Victoria]],HYBillImpact_RES76[[#This Row],[Ausnet]:[Victoria]],"&lt;0")=W11,"-",_xlfn.MAXIFS(HYBillImpact_RES76[[#This Row],[Ausnet]:[Victoria]],HYBillImpact_RES76[[#This Row],[Ausnet]:[Victoria]],"&lt;0"))</f>
        <v>-</v>
      </c>
      <c r="Y11" s="138"/>
      <c r="Z11" s="173">
        <f>_xlfn.MINIFS(HYBillImpact_RES76[[#This Row],[Ausnet]:[Victoria]],HYBillImpact_RES76[[#This Row],[Ausnet]:[Victoria]],"&gt;0")</f>
        <v>0</v>
      </c>
      <c r="AA11" s="173" t="str">
        <f>IF(_xlfn.MAXIFS(HYBillImpact_RES76[[#This Row],[Ausnet]:[Victoria]],HYBillImpact_RES76[[#This Row],[Ausnet]:[Victoria]],"&gt;0")=Z11,"-",_xlfn.MAXIFS(HYBillImpact_RES76[[#This Row],[Ausnet]:[Victoria]],HYBillImpact_RES76[[#This Row],[Ausnet]:[Victoria]],"&gt;0"))</f>
        <v>-</v>
      </c>
      <c r="AB11" s="138"/>
      <c r="AC11" s="173">
        <f>MIN(W11:X11)</f>
        <v>0</v>
      </c>
      <c r="AD11" s="173">
        <f>MAX(Z11:AA11)</f>
        <v>0</v>
      </c>
      <c r="AE11" s="130"/>
      <c r="AF11" s="130"/>
      <c r="AG11" s="82" t="str">
        <f>Calc_Rates!$D$254&amp;" - Flat"</f>
        <v>VDO 2022 - Final - Flat</v>
      </c>
      <c r="AH11" s="147" t="e">
        <f t="shared" ref="AH11:AM12" si="2">P11/D$10</f>
        <v>#REF!</v>
      </c>
      <c r="AI11" s="147" t="e">
        <f t="shared" si="2"/>
        <v>#REF!</v>
      </c>
      <c r="AJ11" s="147" t="e">
        <f t="shared" si="2"/>
        <v>#REF!</v>
      </c>
      <c r="AK11" s="147" t="e">
        <f t="shared" si="2"/>
        <v>#REF!</v>
      </c>
      <c r="AL11" s="147" t="e">
        <f t="shared" si="2"/>
        <v>#REF!</v>
      </c>
      <c r="AM11" s="147" t="e">
        <f>U11/I$10</f>
        <v>#REF!</v>
      </c>
      <c r="AN11" s="130"/>
      <c r="AO11" s="130"/>
      <c r="AP11" s="130"/>
      <c r="AQ11" s="130"/>
      <c r="AR11" s="130"/>
      <c r="AS11" s="130"/>
      <c r="AT11" s="130"/>
      <c r="AU11" s="130"/>
      <c r="AV11" s="130"/>
      <c r="AW11" s="130"/>
      <c r="AX11" s="130"/>
      <c r="AY11" s="130"/>
      <c r="AZ11" s="130"/>
      <c r="BA11" s="130"/>
      <c r="BB11" s="130"/>
      <c r="BC11" s="130"/>
    </row>
    <row r="12" spans="1:55" x14ac:dyDescent="0.25">
      <c r="C12" s="82" t="str">
        <f>Calc_Rates!$D$254&amp;" - TOU"</f>
        <v>VDO 2022 - Final - TOU</v>
      </c>
      <c r="D12" s="137" t="e">
        <f>'CH_Bill impacts full year 2'!#REF!/MiY</f>
        <v>#REF!</v>
      </c>
      <c r="E12" s="137" t="e">
        <f>'CH_Bill impacts full year 2'!#REF!/MiY</f>
        <v>#REF!</v>
      </c>
      <c r="F12" s="137" t="e">
        <f>'CH_Bill impacts full year 2'!#REF!/MiY</f>
        <v>#REF!</v>
      </c>
      <c r="G12" s="137" t="e">
        <f>'CH_Bill impacts full year 2'!#REF!/MiY</f>
        <v>#REF!</v>
      </c>
      <c r="H12" s="137" t="e">
        <f>'CH_Bill impacts full year 2'!#REF!/MiY</f>
        <v>#REF!</v>
      </c>
      <c r="I12" s="137" t="e">
        <f>'CH_Bill impacts full year 2'!#REF!/MiY</f>
        <v>#REF!</v>
      </c>
      <c r="K12" s="171" t="e">
        <f>MIN(HYBills_RES74[[#This Row],[Ausnet]:[Victoria]])</f>
        <v>#REF!</v>
      </c>
      <c r="L12" s="171" t="e">
        <f>MAX(HYBills_RES74[[#This Row],[Ausnet]:[Victoria]])</f>
        <v>#REF!</v>
      </c>
      <c r="M12" s="171" t="e">
        <f t="shared" si="0"/>
        <v>#REF!</v>
      </c>
      <c r="O12" s="82" t="str">
        <f>Calc_Rates!$D$254&amp;" - TOU"</f>
        <v>VDO 2022 - Final - TOU</v>
      </c>
      <c r="P12" s="145" t="e">
        <f t="shared" si="1"/>
        <v>#REF!</v>
      </c>
      <c r="Q12" s="145" t="e">
        <f t="shared" si="1"/>
        <v>#REF!</v>
      </c>
      <c r="R12" s="145" t="e">
        <f t="shared" si="1"/>
        <v>#REF!</v>
      </c>
      <c r="S12" s="145" t="e">
        <f t="shared" si="1"/>
        <v>#REF!</v>
      </c>
      <c r="T12" s="145" t="e">
        <f t="shared" si="1"/>
        <v>#REF!</v>
      </c>
      <c r="U12" s="145" t="e">
        <f t="shared" si="1"/>
        <v>#REF!</v>
      </c>
      <c r="V12" s="130"/>
      <c r="W12" s="173">
        <f>_xlfn.MINIFS(HYBillImpact_RES76[[#This Row],[Ausnet]:[Victoria]],HYBillImpact_RES76[[#This Row],[Ausnet]:[Victoria]],"&lt;0")</f>
        <v>0</v>
      </c>
      <c r="X12" s="173" t="str">
        <f>IF(_xlfn.MAXIFS(HYBillImpact_RES76[[#This Row],[Ausnet]:[Victoria]],HYBillImpact_RES76[[#This Row],[Ausnet]:[Victoria]],"&lt;0")=W12,"-",_xlfn.MAXIFS(HYBillImpact_RES76[[#This Row],[Ausnet]:[Victoria]],HYBillImpact_RES76[[#This Row],[Ausnet]:[Victoria]],"&lt;0"))</f>
        <v>-</v>
      </c>
      <c r="Y12" s="138"/>
      <c r="Z12" s="173">
        <f>_xlfn.MINIFS(HYBillImpact_RES76[[#This Row],[Ausnet]:[Victoria]],HYBillImpact_RES76[[#This Row],[Ausnet]:[Victoria]],"&gt;0")</f>
        <v>0</v>
      </c>
      <c r="AA12" s="173" t="str">
        <f>IF(_xlfn.MAXIFS(HYBillImpact_RES76[[#This Row],[Ausnet]:[Victoria]],HYBillImpact_RES76[[#This Row],[Ausnet]:[Victoria]],"&gt;0")=Z12,"-",_xlfn.MAXIFS(HYBillImpact_RES76[[#This Row],[Ausnet]:[Victoria]],HYBillImpact_RES76[[#This Row],[Ausnet]:[Victoria]],"&gt;0"))</f>
        <v>-</v>
      </c>
      <c r="AB12" s="138"/>
      <c r="AC12" s="173">
        <f>MIN(W12:X12)</f>
        <v>0</v>
      </c>
      <c r="AD12" s="173">
        <f>MAX(Z12:AA12)</f>
        <v>0</v>
      </c>
      <c r="AE12" s="130"/>
      <c r="AF12" s="130"/>
      <c r="AG12" s="82" t="str">
        <f>Calc_Rates!$D$254&amp;" - TOU"</f>
        <v>VDO 2022 - Final - TOU</v>
      </c>
      <c r="AH12" s="147" t="e">
        <f t="shared" si="2"/>
        <v>#REF!</v>
      </c>
      <c r="AI12" s="147" t="e">
        <f t="shared" si="2"/>
        <v>#REF!</v>
      </c>
      <c r="AJ12" s="147" t="e">
        <f t="shared" si="2"/>
        <v>#REF!</v>
      </c>
      <c r="AK12" s="147" t="e">
        <f t="shared" si="2"/>
        <v>#REF!</v>
      </c>
      <c r="AL12" s="147" t="e">
        <f t="shared" si="2"/>
        <v>#REF!</v>
      </c>
      <c r="AM12" s="147" t="e">
        <f t="shared" si="2"/>
        <v>#REF!</v>
      </c>
      <c r="AN12" s="130"/>
      <c r="AO12" s="130"/>
      <c r="AP12" s="130"/>
      <c r="AQ12" s="130"/>
      <c r="AR12" s="130"/>
      <c r="AS12" s="130"/>
      <c r="AT12" s="130"/>
      <c r="AU12" s="130"/>
      <c r="AV12" s="130"/>
      <c r="AW12" s="130"/>
      <c r="AX12" s="130"/>
      <c r="AY12" s="130"/>
      <c r="AZ12" s="130"/>
      <c r="BA12" s="130"/>
      <c r="BB12" s="130"/>
      <c r="BC12" s="130"/>
    </row>
    <row r="13" spans="1:55" x14ac:dyDescent="0.25">
      <c r="C13" s="130"/>
      <c r="D13" s="130"/>
      <c r="E13" s="130"/>
      <c r="F13" s="130"/>
      <c r="G13" s="130"/>
      <c r="H13" s="130"/>
      <c r="J13" s="130"/>
      <c r="O13" s="130"/>
      <c r="P13" s="130"/>
      <c r="Q13" s="130"/>
      <c r="R13" s="130"/>
      <c r="S13" s="130"/>
      <c r="T13" s="130"/>
      <c r="U13" s="130"/>
      <c r="V13" s="130"/>
      <c r="W13" s="138"/>
      <c r="X13" s="138"/>
      <c r="Y13" s="138"/>
      <c r="Z13" s="138"/>
      <c r="AA13" s="138"/>
      <c r="AB13" s="138"/>
      <c r="AC13" s="138"/>
      <c r="AD13" s="138"/>
      <c r="AG13" s="130"/>
      <c r="AH13" s="130"/>
      <c r="AI13" s="130"/>
      <c r="AJ13" s="130"/>
      <c r="AK13" s="130"/>
    </row>
    <row r="14" spans="1:55" ht="15.75" x14ac:dyDescent="0.25">
      <c r="C14" s="130"/>
      <c r="D14" s="93" t="e">
        <f>IF(D10=INDEX(#REF!,MATCH($C10,#REF!,0),MATCH(HYBills_RES74[[#Headers],[Ausnet]],#REF!,0))/MiY,0,1)</f>
        <v>#REF!</v>
      </c>
      <c r="E14" s="93" t="e">
        <f>IF(E10=INDEX(#REF!,MATCH($C10,#REF!,0),MATCH(HYBills_RES74[[#Headers],[Citipower]],#REF!,0))/MiY,0,1)</f>
        <v>#REF!</v>
      </c>
      <c r="F14" s="93" t="e">
        <f>IF(F10=INDEX(#REF!,MATCH($C10,#REF!,0),MATCH(HYBills_RES74[[#Headers],[Jemena]],#REF!,0))/MiY,0,1)</f>
        <v>#REF!</v>
      </c>
      <c r="G14" s="93" t="e">
        <f>IF(G10=INDEX(#REF!,MATCH($C10,#REF!,0),MATCH(HYBills_RES74[[#Headers],[Powercor]],#REF!,0))/MiY,0,1)</f>
        <v>#REF!</v>
      </c>
      <c r="H14" s="93" t="e">
        <f>IF(H10=INDEX(#REF!,MATCH($C10,#REF!,0),MATCH(HYBills_RES74[[#Headers],[United Energy]],#REF!,0))/MiY,0,1)</f>
        <v>#REF!</v>
      </c>
      <c r="I14" s="93" t="e">
        <f>IF(I10=AVERAGE(D10:H10),0,1)</f>
        <v>#REF!</v>
      </c>
      <c r="J14" s="130"/>
      <c r="P14" s="130"/>
      <c r="Q14" s="130"/>
      <c r="R14" s="130"/>
      <c r="S14" s="130"/>
      <c r="T14" s="130"/>
      <c r="U14" s="130"/>
      <c r="V14" s="130"/>
      <c r="W14" s="138"/>
      <c r="X14" s="138"/>
      <c r="Y14" s="138"/>
      <c r="Z14" s="138"/>
      <c r="AA14" s="138"/>
      <c r="AB14" s="138"/>
      <c r="AC14" s="138"/>
      <c r="AD14" s="138"/>
      <c r="AG14" s="130"/>
      <c r="AH14" s="130"/>
      <c r="AI14" s="130"/>
      <c r="AJ14" s="130"/>
      <c r="AK14" s="130"/>
    </row>
    <row r="15" spans="1:55" ht="15.75" x14ac:dyDescent="0.25">
      <c r="C15" s="130"/>
      <c r="D15" s="93" t="e">
        <f>IF(D11=INDEX(#REF!,MATCH($C11,#REF!,0),MATCH(HYBills_RES74[[#Headers],[Ausnet]],#REF!,0))/MiY,0,1)</f>
        <v>#REF!</v>
      </c>
      <c r="E15" s="93" t="e">
        <f>IF(E11=INDEX(#REF!,MATCH($C11,#REF!,0),MATCH(HYBills_RES74[[#Headers],[Citipower]],#REF!,0))/MiY,0,1)</f>
        <v>#REF!</v>
      </c>
      <c r="F15" s="93" t="e">
        <f>IF(F11=INDEX(#REF!,MATCH($C11,#REF!,0),MATCH(HYBills_RES74[[#Headers],[Jemena]],#REF!,0))/MiY,0,1)</f>
        <v>#REF!</v>
      </c>
      <c r="G15" s="93" t="e">
        <f>IF(G11=INDEX(#REF!,MATCH($C11,#REF!,0),MATCH(HYBills_RES74[[#Headers],[Powercor]],#REF!,0))/MiY,0,1)</f>
        <v>#REF!</v>
      </c>
      <c r="H15" s="93" t="e">
        <f>IF(H11=INDEX(#REF!,MATCH($C11,#REF!,0),MATCH(HYBills_RES74[[#Headers],[United Energy]],#REF!,0))/MiY,0,1)</f>
        <v>#REF!</v>
      </c>
      <c r="I15" s="93" t="e">
        <f t="shared" ref="I15:I16" si="3">IF(I11=AVERAGE(D11:H11),0,1)</f>
        <v>#REF!</v>
      </c>
      <c r="J15" s="130"/>
      <c r="P15" s="93" t="e">
        <f t="shared" ref="P15:U15" si="4">IF(P11=D11-D10,0,1)</f>
        <v>#REF!</v>
      </c>
      <c r="Q15" s="93" t="e">
        <f t="shared" si="4"/>
        <v>#REF!</v>
      </c>
      <c r="R15" s="93" t="e">
        <f t="shared" si="4"/>
        <v>#REF!</v>
      </c>
      <c r="S15" s="93" t="e">
        <f t="shared" si="4"/>
        <v>#REF!</v>
      </c>
      <c r="T15" s="93" t="e">
        <f t="shared" si="4"/>
        <v>#REF!</v>
      </c>
      <c r="U15" s="93" t="e">
        <f t="shared" si="4"/>
        <v>#REF!</v>
      </c>
      <c r="W15" s="138"/>
      <c r="X15" s="138"/>
      <c r="Y15" s="138"/>
      <c r="Z15" s="138"/>
      <c r="AA15" s="138"/>
      <c r="AB15" s="138"/>
      <c r="AC15" s="138"/>
      <c r="AD15" s="138"/>
      <c r="AH15" s="93" t="e">
        <f t="shared" ref="AH15:AM15" si="5">IF(AH11=(D11-D10)/D10,0,1)</f>
        <v>#REF!</v>
      </c>
      <c r="AI15" s="93" t="e">
        <f t="shared" si="5"/>
        <v>#REF!</v>
      </c>
      <c r="AJ15" s="93" t="e">
        <f t="shared" si="5"/>
        <v>#REF!</v>
      </c>
      <c r="AK15" s="93" t="e">
        <f t="shared" si="5"/>
        <v>#REF!</v>
      </c>
      <c r="AL15" s="93" t="e">
        <f t="shared" si="5"/>
        <v>#REF!</v>
      </c>
      <c r="AM15" s="93" t="e">
        <f t="shared" si="5"/>
        <v>#REF!</v>
      </c>
    </row>
    <row r="16" spans="1:55" ht="15.75" x14ac:dyDescent="0.25">
      <c r="C16" s="130"/>
      <c r="D16" s="93" t="e">
        <f>IF(D12=INDEX(#REF!,MATCH($C12,#REF!,0),MATCH(HYBills_RES74[[#Headers],[Ausnet]],#REF!,0))/MiY,0,1)</f>
        <v>#REF!</v>
      </c>
      <c r="E16" s="93" t="e">
        <f>IF(E12=INDEX(#REF!,MATCH($C12,#REF!,0),MATCH(HYBills_RES74[[#Headers],[Citipower]],#REF!,0))/MiY,0,1)</f>
        <v>#REF!</v>
      </c>
      <c r="F16" s="93" t="e">
        <f>IF(F12=INDEX(#REF!,MATCH($C12,#REF!,0),MATCH(HYBills_RES74[[#Headers],[Jemena]],#REF!,0))/MiY,0,1)</f>
        <v>#REF!</v>
      </c>
      <c r="G16" s="93" t="e">
        <f>IF(G12=INDEX(#REF!,MATCH($C12,#REF!,0),MATCH(HYBills_RES74[[#Headers],[Powercor]],#REF!,0))/MiY,0,1)</f>
        <v>#REF!</v>
      </c>
      <c r="H16" s="93" t="e">
        <f>IF(H12=INDEX(#REF!,MATCH($C12,#REF!,0),MATCH(HYBills_RES74[[#Headers],[United Energy]],#REF!,0))/MiY,0,1)</f>
        <v>#REF!</v>
      </c>
      <c r="I16" s="93" t="e">
        <f t="shared" si="3"/>
        <v>#REF!</v>
      </c>
      <c r="J16" s="130"/>
      <c r="P16" s="93" t="e">
        <f t="shared" ref="P16:U16" si="6">IF(P12=D12-D10,0,1)</f>
        <v>#REF!</v>
      </c>
      <c r="Q16" s="93" t="e">
        <f t="shared" si="6"/>
        <v>#REF!</v>
      </c>
      <c r="R16" s="93" t="e">
        <f t="shared" si="6"/>
        <v>#REF!</v>
      </c>
      <c r="S16" s="93" t="e">
        <f t="shared" si="6"/>
        <v>#REF!</v>
      </c>
      <c r="T16" s="93" t="e">
        <f t="shared" si="6"/>
        <v>#REF!</v>
      </c>
      <c r="U16" s="93" t="e">
        <f t="shared" si="6"/>
        <v>#REF!</v>
      </c>
      <c r="W16" s="138"/>
      <c r="X16" s="138"/>
      <c r="Y16" s="138"/>
      <c r="Z16" s="138"/>
      <c r="AA16" s="138"/>
      <c r="AB16" s="138"/>
      <c r="AC16" s="138"/>
      <c r="AD16" s="138"/>
      <c r="AH16" s="93" t="e">
        <f t="shared" ref="AH16:AM16" si="7">IF(AH12=(D12-D10)/D10,0,1)</f>
        <v>#REF!</v>
      </c>
      <c r="AI16" s="93" t="e">
        <f t="shared" si="7"/>
        <v>#REF!</v>
      </c>
      <c r="AJ16" s="93" t="e">
        <f t="shared" si="7"/>
        <v>#REF!</v>
      </c>
      <c r="AK16" s="93" t="e">
        <f t="shared" si="7"/>
        <v>#REF!</v>
      </c>
      <c r="AL16" s="93" t="e">
        <f t="shared" si="7"/>
        <v>#REF!</v>
      </c>
      <c r="AM16" s="93" t="e">
        <f t="shared" si="7"/>
        <v>#REF!</v>
      </c>
    </row>
    <row r="17" spans="1:55" x14ac:dyDescent="0.25">
      <c r="C17" s="130"/>
      <c r="D17" s="130"/>
      <c r="E17" s="130"/>
      <c r="F17" s="130"/>
      <c r="G17" s="130"/>
      <c r="H17" s="130"/>
      <c r="J17" s="130"/>
      <c r="O17" s="130"/>
      <c r="P17" s="130"/>
      <c r="Q17" s="130"/>
      <c r="R17" s="130"/>
      <c r="S17" s="130"/>
      <c r="T17" s="130"/>
      <c r="U17" s="165"/>
      <c r="V17" s="130"/>
      <c r="W17" s="138"/>
      <c r="X17" s="138"/>
      <c r="Y17" s="138"/>
      <c r="Z17" s="138"/>
      <c r="AA17" s="138"/>
      <c r="AB17" s="138"/>
      <c r="AC17" s="138"/>
      <c r="AD17" s="138"/>
      <c r="AG17" s="130"/>
      <c r="AH17" s="130"/>
      <c r="AI17" s="130"/>
      <c r="AJ17" s="130"/>
      <c r="AK17" s="130"/>
    </row>
    <row r="18" spans="1:55" ht="15.75" x14ac:dyDescent="0.25">
      <c r="C18" s="29" t="s">
        <v>93</v>
      </c>
      <c r="D18" s="130"/>
      <c r="E18" s="130"/>
      <c r="F18" s="130"/>
      <c r="G18" s="130"/>
      <c r="H18" s="130"/>
      <c r="J18" s="29"/>
      <c r="O18" s="29" t="s">
        <v>93</v>
      </c>
      <c r="P18" s="130"/>
      <c r="Q18" s="130"/>
      <c r="R18" s="130"/>
      <c r="S18" s="130"/>
      <c r="T18" s="130"/>
      <c r="U18" s="166"/>
      <c r="V18" s="130"/>
      <c r="W18" s="138"/>
      <c r="X18" s="138"/>
      <c r="Y18" s="138"/>
      <c r="Z18" s="138"/>
      <c r="AA18" s="138"/>
      <c r="AB18" s="138"/>
      <c r="AC18" s="138"/>
      <c r="AD18" s="138"/>
      <c r="AG18" s="29" t="s">
        <v>93</v>
      </c>
      <c r="AH18" s="130"/>
      <c r="AI18" s="130"/>
      <c r="AJ18" s="130"/>
      <c r="AK18" s="130"/>
    </row>
    <row r="19" spans="1:55" ht="15.75" x14ac:dyDescent="0.25">
      <c r="C19" s="43" t="s">
        <v>90</v>
      </c>
      <c r="D19" s="60" t="s">
        <v>268</v>
      </c>
      <c r="E19" s="60" t="s">
        <v>269</v>
      </c>
      <c r="F19" s="60" t="s">
        <v>270</v>
      </c>
      <c r="G19" s="60" t="s">
        <v>271</v>
      </c>
      <c r="H19" s="60" t="s">
        <v>272</v>
      </c>
      <c r="I19" s="163" t="s">
        <v>447</v>
      </c>
      <c r="K19" s="42" t="s">
        <v>455</v>
      </c>
      <c r="L19" s="42" t="s">
        <v>456</v>
      </c>
      <c r="M19" s="42" t="s">
        <v>457</v>
      </c>
      <c r="O19" s="43" t="s">
        <v>90</v>
      </c>
      <c r="P19" s="60" t="s">
        <v>268</v>
      </c>
      <c r="Q19" s="60" t="s">
        <v>269</v>
      </c>
      <c r="R19" s="60" t="s">
        <v>270</v>
      </c>
      <c r="S19" s="60" t="s">
        <v>271</v>
      </c>
      <c r="T19" s="60" t="s">
        <v>272</v>
      </c>
      <c r="U19" s="163" t="s">
        <v>447</v>
      </c>
      <c r="V19" s="130"/>
      <c r="W19" s="50" t="s">
        <v>460</v>
      </c>
      <c r="X19" s="50" t="s">
        <v>461</v>
      </c>
      <c r="Y19" s="138"/>
      <c r="Z19" s="50" t="s">
        <v>460</v>
      </c>
      <c r="AA19" s="50" t="s">
        <v>461</v>
      </c>
      <c r="AB19" s="138"/>
      <c r="AC19" s="50" t="s">
        <v>460</v>
      </c>
      <c r="AD19" s="50" t="s">
        <v>461</v>
      </c>
      <c r="AE19" s="130"/>
      <c r="AF19" s="130"/>
      <c r="AG19" s="43" t="s">
        <v>90</v>
      </c>
      <c r="AH19" s="60" t="s">
        <v>268</v>
      </c>
      <c r="AI19" s="60" t="s">
        <v>269</v>
      </c>
      <c r="AJ19" s="60" t="s">
        <v>270</v>
      </c>
      <c r="AK19" s="60" t="s">
        <v>271</v>
      </c>
      <c r="AL19" s="60" t="s">
        <v>272</v>
      </c>
      <c r="AM19" s="163" t="s">
        <v>447</v>
      </c>
      <c r="AN19" s="130"/>
      <c r="AO19" s="130"/>
      <c r="AP19" s="130"/>
      <c r="AQ19" s="130"/>
      <c r="AR19" s="130"/>
      <c r="AS19" s="130"/>
      <c r="AT19" s="130"/>
      <c r="AU19" s="130"/>
      <c r="AV19" s="130"/>
      <c r="AW19" s="130"/>
      <c r="AX19" s="130"/>
      <c r="AY19" s="130"/>
      <c r="AZ19" s="130"/>
      <c r="BA19" s="130"/>
      <c r="BB19" s="130"/>
      <c r="BC19" s="130"/>
    </row>
    <row r="20" spans="1:55" x14ac:dyDescent="0.25">
      <c r="C20" s="82" t="str">
        <f>Calc_Rates!$D$5</f>
        <v>VDO 2022-23 - Draft</v>
      </c>
      <c r="D20" s="137" t="e">
        <f>'CH_Bill impacts full year 2'!#REF!/MiY</f>
        <v>#REF!</v>
      </c>
      <c r="E20" s="137" t="e">
        <f>'CH_Bill impacts full year 2'!#REF!/MiY</f>
        <v>#REF!</v>
      </c>
      <c r="F20" s="137" t="e">
        <f>'CH_Bill impacts full year 2'!#REF!/MiY</f>
        <v>#REF!</v>
      </c>
      <c r="G20" s="137" t="e">
        <f>'CH_Bill impacts full year 2'!#REF!/MiY</f>
        <v>#REF!</v>
      </c>
      <c r="H20" s="137" t="e">
        <f>'CH_Bill impacts full year 2'!#REF!/MiY</f>
        <v>#REF!</v>
      </c>
      <c r="I20" s="137" t="e">
        <f>'CH_Bill impacts full year 2'!#REF!/MiY</f>
        <v>#REF!</v>
      </c>
      <c r="K20" s="171" t="e">
        <f>MIN(HYBills_SME75[[#This Row],[Ausnet]:[Victoria]])</f>
        <v>#REF!</v>
      </c>
      <c r="L20" s="171" t="e">
        <f>MAX(HYBills_SME75[[#This Row],[Ausnet]:[Victoria]])</f>
        <v>#REF!</v>
      </c>
      <c r="M20" s="171" t="e">
        <f>L20-K20</f>
        <v>#REF!</v>
      </c>
      <c r="O20" s="59"/>
      <c r="P20" s="137"/>
      <c r="Q20" s="137"/>
      <c r="R20" s="137"/>
      <c r="S20" s="137"/>
      <c r="T20" s="137"/>
      <c r="U20" s="145"/>
      <c r="V20" s="130"/>
      <c r="W20" s="173"/>
      <c r="X20" s="138"/>
      <c r="Y20" s="138"/>
      <c r="Z20" s="173"/>
      <c r="AA20" s="138"/>
      <c r="AB20" s="138"/>
      <c r="AC20" s="138"/>
      <c r="AD20" s="138"/>
      <c r="AE20" s="130"/>
      <c r="AF20" s="130"/>
      <c r="AG20" s="59"/>
      <c r="AH20" s="148"/>
      <c r="AI20" s="148"/>
      <c r="AJ20" s="148"/>
      <c r="AK20" s="148"/>
      <c r="AL20" s="148"/>
      <c r="AM20" s="148"/>
      <c r="AN20" s="130"/>
      <c r="AO20" s="130"/>
      <c r="AP20" s="130"/>
      <c r="AQ20" s="130"/>
      <c r="AR20" s="130"/>
      <c r="AS20" s="130"/>
      <c r="AT20" s="130"/>
      <c r="AU20" s="130"/>
      <c r="AV20" s="130"/>
      <c r="AW20" s="130"/>
      <c r="AX20" s="130"/>
      <c r="AY20" s="130"/>
      <c r="AZ20" s="130"/>
      <c r="BA20" s="130"/>
      <c r="BB20" s="130"/>
      <c r="BC20" s="130"/>
    </row>
    <row r="21" spans="1:55" x14ac:dyDescent="0.25">
      <c r="C21" s="82" t="str">
        <f>Calc_Rates!$D$254&amp;" - Flat"</f>
        <v>VDO 2022 - Final - Flat</v>
      </c>
      <c r="D21" s="137" t="e">
        <f>'CH_Bill impacts full year 2'!#REF!/MiY</f>
        <v>#REF!</v>
      </c>
      <c r="E21" s="137" t="e">
        <f>'CH_Bill impacts full year 2'!#REF!/MiY</f>
        <v>#REF!</v>
      </c>
      <c r="F21" s="137" t="e">
        <f>'CH_Bill impacts full year 2'!#REF!/MiY</f>
        <v>#REF!</v>
      </c>
      <c r="G21" s="137" t="e">
        <f>'CH_Bill impacts full year 2'!#REF!/MiY</f>
        <v>#REF!</v>
      </c>
      <c r="H21" s="137" t="e">
        <f>'CH_Bill impacts full year 2'!#REF!/MiY</f>
        <v>#REF!</v>
      </c>
      <c r="I21" s="137" t="e">
        <f>'CH_Bill impacts full year 2'!#REF!/MiY</f>
        <v>#REF!</v>
      </c>
      <c r="K21" s="171" t="e">
        <f>MIN(HYBills_SME75[[#This Row],[Ausnet]:[Victoria]])</f>
        <v>#REF!</v>
      </c>
      <c r="L21" s="171" t="e">
        <f>MAX(HYBills_SME75[[#This Row],[Ausnet]:[Victoria]])</f>
        <v>#REF!</v>
      </c>
      <c r="M21" s="171" t="e">
        <f t="shared" ref="M21:M22" si="8">L21-K21</f>
        <v>#REF!</v>
      </c>
      <c r="O21" s="82" t="str">
        <f>Calc_Rates!$D$254&amp;" - Flat"</f>
        <v>VDO 2022 - Final - Flat</v>
      </c>
      <c r="P21" s="145" t="e">
        <f t="shared" ref="P21:U22" si="9">D21-D$20</f>
        <v>#REF!</v>
      </c>
      <c r="Q21" s="145" t="e">
        <f t="shared" si="9"/>
        <v>#REF!</v>
      </c>
      <c r="R21" s="145" t="e">
        <f t="shared" si="9"/>
        <v>#REF!</v>
      </c>
      <c r="S21" s="145" t="e">
        <f t="shared" si="9"/>
        <v>#REF!</v>
      </c>
      <c r="T21" s="145" t="e">
        <f t="shared" si="9"/>
        <v>#REF!</v>
      </c>
      <c r="U21" s="145" t="e">
        <f t="shared" si="9"/>
        <v>#REF!</v>
      </c>
      <c r="V21" s="130"/>
      <c r="W21" s="173">
        <f>_xlfn.MINIFS(HYBillImpact_SME77[[#This Row],[Ausnet]:[Victoria]],HYBillImpact_SME77[[#This Row],[Ausnet]:[Victoria]],"&lt;0")</f>
        <v>0</v>
      </c>
      <c r="X21" s="173" t="str">
        <f>IF(_xlfn.MAXIFS(HYBillImpact_SME77[[#This Row],[Ausnet]:[Victoria]],HYBillImpact_SME77[[#This Row],[Ausnet]:[Victoria]],"&lt;0")=W21,"-",_xlfn.MAXIFS(HYBillImpact_SME77[[#This Row],[Ausnet]:[Victoria]],HYBillImpact_SME77[[#This Row],[Ausnet]:[Victoria]],"&lt;0"))</f>
        <v>-</v>
      </c>
      <c r="Y21" s="138"/>
      <c r="Z21" s="173">
        <f>_xlfn.MINIFS(HYBillImpact_SME77[[#This Row],[Ausnet]:[Victoria]],HYBillImpact_SME77[[#This Row],[Ausnet]:[Victoria]],"&gt;0")</f>
        <v>0</v>
      </c>
      <c r="AA21" s="173" t="str">
        <f>IF(_xlfn.MAXIFS(HYBillImpact_SME77[[#This Row],[Ausnet]:[Victoria]],HYBillImpact_SME77[[#This Row],[Ausnet]:[Victoria]],"&gt;0")=Z21,"-",_xlfn.MAXIFS(HYBillImpact_SME77[[#This Row],[Ausnet]:[Victoria]],HYBillImpact_SME77[[#This Row],[Ausnet]:[Victoria]],"&gt;0"))</f>
        <v>-</v>
      </c>
      <c r="AB21" s="138"/>
      <c r="AC21" s="173">
        <f t="shared" ref="AC21" si="10">MIN(W21:X21)</f>
        <v>0</v>
      </c>
      <c r="AD21" s="173">
        <f t="shared" ref="AD21" si="11">MAX(Z21:AA21)</f>
        <v>0</v>
      </c>
      <c r="AE21" s="130"/>
      <c r="AF21" s="130"/>
      <c r="AG21" s="82" t="str">
        <f>Calc_Rates!$D$254&amp;" - Flat"</f>
        <v>VDO 2022 - Final - Flat</v>
      </c>
      <c r="AH21" s="147" t="e">
        <f t="shared" ref="AH21:AM22" si="12">P21/D$20</f>
        <v>#REF!</v>
      </c>
      <c r="AI21" s="147" t="e">
        <f t="shared" si="12"/>
        <v>#REF!</v>
      </c>
      <c r="AJ21" s="147" t="e">
        <f t="shared" si="12"/>
        <v>#REF!</v>
      </c>
      <c r="AK21" s="147" t="e">
        <f t="shared" si="12"/>
        <v>#REF!</v>
      </c>
      <c r="AL21" s="147" t="e">
        <f t="shared" si="12"/>
        <v>#REF!</v>
      </c>
      <c r="AM21" s="147" t="e">
        <f t="shared" si="12"/>
        <v>#REF!</v>
      </c>
      <c r="AN21" s="130"/>
      <c r="AO21" s="130"/>
      <c r="AP21" s="130"/>
      <c r="AQ21" s="130"/>
      <c r="AR21" s="130"/>
      <c r="AS21" s="130"/>
      <c r="AT21" s="130"/>
      <c r="AU21" s="130"/>
      <c r="AV21" s="130"/>
      <c r="AW21" s="130"/>
      <c r="AX21" s="130"/>
      <c r="AY21" s="130"/>
      <c r="AZ21" s="130"/>
      <c r="BA21" s="130"/>
      <c r="BB21" s="130"/>
      <c r="BC21" s="130"/>
    </row>
    <row r="22" spans="1:55" x14ac:dyDescent="0.25">
      <c r="C22" s="82" t="str">
        <f>Calc_Rates!$D$254&amp;" - TOU"</f>
        <v>VDO 2022 - Final - TOU</v>
      </c>
      <c r="D22" s="137" t="e">
        <f>'CH_Bill impacts full year 2'!#REF!/MiY</f>
        <v>#REF!</v>
      </c>
      <c r="E22" s="137" t="e">
        <f>'CH_Bill impacts full year 2'!#REF!/MiY</f>
        <v>#REF!</v>
      </c>
      <c r="F22" s="137" t="e">
        <f>'CH_Bill impacts full year 2'!#REF!/MiY</f>
        <v>#REF!</v>
      </c>
      <c r="G22" s="137" t="e">
        <f>'CH_Bill impacts full year 2'!#REF!/MiY</f>
        <v>#REF!</v>
      </c>
      <c r="H22" s="137" t="e">
        <f>'CH_Bill impacts full year 2'!#REF!/MiY</f>
        <v>#REF!</v>
      </c>
      <c r="I22" s="137" t="e">
        <f>'CH_Bill impacts full year 2'!#REF!/MiY</f>
        <v>#REF!</v>
      </c>
      <c r="K22" s="171" t="e">
        <f>MIN(HYBills_SME75[[#This Row],[Ausnet]:[Victoria]])</f>
        <v>#REF!</v>
      </c>
      <c r="L22" s="171" t="e">
        <f>MAX(HYBills_SME75[[#This Row],[Ausnet]:[Victoria]])</f>
        <v>#REF!</v>
      </c>
      <c r="M22" s="171" t="e">
        <f t="shared" si="8"/>
        <v>#REF!</v>
      </c>
      <c r="O22" s="82" t="str">
        <f>Calc_Rates!$D$254&amp;" - TOU"</f>
        <v>VDO 2022 - Final - TOU</v>
      </c>
      <c r="P22" s="175" t="e">
        <f>D22-D$20</f>
        <v>#REF!</v>
      </c>
      <c r="Q22" s="175" t="e">
        <f t="shared" si="9"/>
        <v>#REF!</v>
      </c>
      <c r="R22" s="175" t="e">
        <f t="shared" si="9"/>
        <v>#REF!</v>
      </c>
      <c r="S22" s="175" t="e">
        <f t="shared" si="9"/>
        <v>#REF!</v>
      </c>
      <c r="T22" s="175" t="e">
        <f>H22-H$20</f>
        <v>#REF!</v>
      </c>
      <c r="U22" s="175" t="e">
        <f>I22-I$20</f>
        <v>#REF!</v>
      </c>
      <c r="V22" s="130"/>
      <c r="W22" s="173">
        <f>_xlfn.MINIFS(HYBillImpact_SME77[[#This Row],[Ausnet]:[Victoria]],HYBillImpact_SME77[[#This Row],[Ausnet]:[Victoria]],"&lt;0")</f>
        <v>0</v>
      </c>
      <c r="X22" s="173" t="str">
        <f>IF(_xlfn.MAXIFS(HYBillImpact_SME77[[#This Row],[Ausnet]:[Victoria]],HYBillImpact_SME77[[#This Row],[Ausnet]:[Victoria]],"&lt;0")=W22,"-",_xlfn.MAXIFS(HYBillImpact_SME77[[#This Row],[Ausnet]:[Victoria]],HYBillImpact_SME77[[#This Row],[Ausnet]:[Victoria]],"&lt;0"))</f>
        <v>-</v>
      </c>
      <c r="Y22" s="138"/>
      <c r="Z22" s="173">
        <f>_xlfn.MINIFS(HYBillImpact_SME77[[#This Row],[Ausnet]:[Victoria]],HYBillImpact_SME77[[#This Row],[Ausnet]:[Victoria]],"&gt;0")</f>
        <v>0</v>
      </c>
      <c r="AA22" s="173" t="str">
        <f>IF(_xlfn.MAXIFS(HYBillImpact_SME77[[#This Row],[Ausnet]:[Victoria]],HYBillImpact_SME77[[#This Row],[Ausnet]:[Victoria]],"&gt;0")=Z22,"-",_xlfn.MAXIFS(HYBillImpact_SME77[[#This Row],[Ausnet]:[Victoria]],HYBillImpact_SME77[[#This Row],[Ausnet]:[Victoria]],"&gt;0"))</f>
        <v>-</v>
      </c>
      <c r="AB22" s="138"/>
      <c r="AC22" s="173">
        <f>MIN(W22:X22)</f>
        <v>0</v>
      </c>
      <c r="AD22" s="173">
        <f>MAX(Z22:AA22)</f>
        <v>0</v>
      </c>
      <c r="AE22" s="130"/>
      <c r="AF22" s="130"/>
      <c r="AG22" s="82" t="str">
        <f>Calc_Rates!$D$254&amp;" - TOU"</f>
        <v>VDO 2022 - Final - TOU</v>
      </c>
      <c r="AH22" s="147" t="e">
        <f t="shared" si="12"/>
        <v>#REF!</v>
      </c>
      <c r="AI22" s="147" t="e">
        <f t="shared" si="12"/>
        <v>#REF!</v>
      </c>
      <c r="AJ22" s="147" t="e">
        <f t="shared" si="12"/>
        <v>#REF!</v>
      </c>
      <c r="AK22" s="147" t="e">
        <f t="shared" si="12"/>
        <v>#REF!</v>
      </c>
      <c r="AL22" s="147" t="e">
        <f t="shared" si="12"/>
        <v>#REF!</v>
      </c>
      <c r="AM22" s="147" t="e">
        <f t="shared" si="12"/>
        <v>#REF!</v>
      </c>
      <c r="AN22" s="130"/>
      <c r="AO22" s="130"/>
      <c r="AP22" s="130"/>
      <c r="AQ22" s="130"/>
      <c r="AR22" s="130"/>
      <c r="AS22" s="130"/>
      <c r="AT22" s="130"/>
      <c r="AU22" s="130"/>
      <c r="AV22" s="130"/>
      <c r="AW22" s="130"/>
      <c r="AX22" s="130"/>
      <c r="AY22" s="130"/>
      <c r="AZ22" s="130"/>
      <c r="BA22" s="130"/>
      <c r="BB22" s="130"/>
      <c r="BC22" s="130"/>
    </row>
    <row r="23" spans="1:55" x14ac:dyDescent="0.25">
      <c r="C23" s="130"/>
      <c r="D23" s="130"/>
      <c r="E23" s="130"/>
      <c r="F23" s="130"/>
      <c r="G23" s="130"/>
      <c r="H23" s="130"/>
      <c r="I23" s="130"/>
      <c r="J23" s="130"/>
      <c r="O23" s="130"/>
      <c r="P23" s="130"/>
      <c r="Q23" s="130"/>
      <c r="R23" s="130"/>
      <c r="S23" s="130"/>
      <c r="T23" s="130"/>
      <c r="U23" s="130"/>
      <c r="V23" s="130"/>
      <c r="AG23" s="130"/>
      <c r="AH23" s="130"/>
      <c r="AI23" s="130"/>
      <c r="AJ23" s="130"/>
      <c r="AK23" s="130"/>
    </row>
    <row r="24" spans="1:55" ht="15.75" x14ac:dyDescent="0.25">
      <c r="C24" s="130"/>
      <c r="D24" s="93" t="e">
        <f>IF(D20=INDEX(#REF!,MATCH($C20,#REF!,0),MATCH(HYBills_RES74[[#Headers],[Ausnet]],#REF!,0))/MiY,0,1)</f>
        <v>#REF!</v>
      </c>
      <c r="E24" s="93" t="e">
        <f>IF(E20=INDEX(#REF!,MATCH($C20,#REF!,0),MATCH(HYBills_RES74[[#Headers],[Citipower]],#REF!,0))/MiY,0,1)</f>
        <v>#REF!</v>
      </c>
      <c r="F24" s="93" t="e">
        <f>IF(F20=INDEX(#REF!,MATCH($C20,#REF!,0),MATCH(HYBills_RES74[[#Headers],[Jemena]],#REF!,0))/MiY,0,1)</f>
        <v>#REF!</v>
      </c>
      <c r="G24" s="93" t="e">
        <f>IF(G20=INDEX(#REF!,MATCH($C20,#REF!,0),MATCH(HYBills_RES74[[#Headers],[Powercor]],#REF!,0))/MiY,0,1)</f>
        <v>#REF!</v>
      </c>
      <c r="H24" s="93" t="e">
        <f>IF(H20=INDEX(#REF!,MATCH($C20,#REF!,0),MATCH(HYBills_RES74[[#Headers],[United Energy]],#REF!,0))/MiY,0,1)</f>
        <v>#REF!</v>
      </c>
      <c r="I24" s="93" t="e">
        <f t="shared" ref="I24:I26" si="13">IF(I20=AVERAGE(D20:H20),0,1)</f>
        <v>#REF!</v>
      </c>
      <c r="J24" s="130"/>
      <c r="O24" s="130"/>
      <c r="P24" s="130"/>
      <c r="Q24" s="130"/>
      <c r="R24" s="130"/>
      <c r="S24" s="130"/>
      <c r="T24" s="130"/>
      <c r="U24" s="130"/>
      <c r="V24" s="130"/>
      <c r="AG24" s="130"/>
      <c r="AH24" s="130"/>
      <c r="AI24" s="130"/>
      <c r="AJ24" s="130"/>
      <c r="AK24" s="130"/>
    </row>
    <row r="25" spans="1:55" ht="15.75" x14ac:dyDescent="0.25">
      <c r="C25" s="130"/>
      <c r="D25" s="93" t="e">
        <f>IF(D21=INDEX(#REF!,MATCH($C21,#REF!,0),MATCH(HYBills_RES74[[#Headers],[Ausnet]],#REF!,0))/MiY,0,1)</f>
        <v>#REF!</v>
      </c>
      <c r="E25" s="93" t="e">
        <f>IF(E21=INDEX(#REF!,MATCH($C21,#REF!,0),MATCH(HYBills_RES74[[#Headers],[Citipower]],#REF!,0))/MiY,0,1)</f>
        <v>#REF!</v>
      </c>
      <c r="F25" s="93" t="e">
        <f>IF(F21=INDEX(#REF!,MATCH($C21,#REF!,0),MATCH(HYBills_RES74[[#Headers],[Jemena]],#REF!,0))/MiY,0,1)</f>
        <v>#REF!</v>
      </c>
      <c r="G25" s="93" t="e">
        <f>IF(G21=INDEX(#REF!,MATCH($C21,#REF!,0),MATCH(HYBills_RES74[[#Headers],[Powercor]],#REF!,0))/MiY,0,1)</f>
        <v>#REF!</v>
      </c>
      <c r="H25" s="93" t="e">
        <f>IF(H21=INDEX(#REF!,MATCH($C21,#REF!,0),MATCH(HYBills_RES74[[#Headers],[United Energy]],#REF!,0))/MiY,0,1)</f>
        <v>#REF!</v>
      </c>
      <c r="I25" s="93" t="e">
        <f t="shared" si="13"/>
        <v>#REF!</v>
      </c>
      <c r="J25" s="130"/>
      <c r="P25" s="93" t="e">
        <f t="shared" ref="P25:U25" si="14">IF(P21=D21-D20,0,1)</f>
        <v>#REF!</v>
      </c>
      <c r="Q25" s="93" t="e">
        <f t="shared" si="14"/>
        <v>#REF!</v>
      </c>
      <c r="R25" s="93" t="e">
        <f t="shared" si="14"/>
        <v>#REF!</v>
      </c>
      <c r="S25" s="93" t="e">
        <f t="shared" si="14"/>
        <v>#REF!</v>
      </c>
      <c r="T25" s="93" t="e">
        <f t="shared" si="14"/>
        <v>#REF!</v>
      </c>
      <c r="U25" s="93" t="e">
        <f t="shared" si="14"/>
        <v>#REF!</v>
      </c>
      <c r="AH25" s="93" t="e">
        <f t="shared" ref="AH25:AM25" si="15">IF(AH21=(D21-D20)/D20,0,1)</f>
        <v>#REF!</v>
      </c>
      <c r="AI25" s="93" t="e">
        <f t="shared" si="15"/>
        <v>#REF!</v>
      </c>
      <c r="AJ25" s="93" t="e">
        <f t="shared" si="15"/>
        <v>#REF!</v>
      </c>
      <c r="AK25" s="93" t="e">
        <f t="shared" si="15"/>
        <v>#REF!</v>
      </c>
      <c r="AL25" s="93" t="e">
        <f t="shared" si="15"/>
        <v>#REF!</v>
      </c>
      <c r="AM25" s="93" t="e">
        <f t="shared" si="15"/>
        <v>#REF!</v>
      </c>
    </row>
    <row r="26" spans="1:55" ht="15.75" x14ac:dyDescent="0.25">
      <c r="C26" s="130"/>
      <c r="D26" s="93" t="e">
        <f>IF(D22=INDEX(#REF!,MATCH($C22,#REF!,0),MATCH(HYBills_RES74[[#Headers],[Ausnet]],#REF!,0))/MiY,0,1)</f>
        <v>#REF!</v>
      </c>
      <c r="E26" s="93" t="e">
        <f>IF(E22=INDEX(#REF!,MATCH($C22,#REF!,0),MATCH(HYBills_RES74[[#Headers],[Citipower]],#REF!,0))/MiY,0,1)</f>
        <v>#REF!</v>
      </c>
      <c r="F26" s="93" t="e">
        <f>IF(F22=INDEX(#REF!,MATCH($C22,#REF!,0),MATCH(HYBills_RES74[[#Headers],[Jemena]],#REF!,0))/MiY,0,1)</f>
        <v>#REF!</v>
      </c>
      <c r="G26" s="93" t="e">
        <f>IF(G22=INDEX(#REF!,MATCH($C22,#REF!,0),MATCH(HYBills_RES74[[#Headers],[Powercor]],#REF!,0))/MiY,0,1)</f>
        <v>#REF!</v>
      </c>
      <c r="H26" s="93" t="e">
        <f>IF(H22=INDEX(#REF!,MATCH($C22,#REF!,0),MATCH(HYBills_RES74[[#Headers],[United Energy]],#REF!,0))/MiY,0,1)</f>
        <v>#REF!</v>
      </c>
      <c r="I26" s="93" t="e">
        <f t="shared" si="13"/>
        <v>#REF!</v>
      </c>
      <c r="J26" s="130"/>
      <c r="P26" s="93" t="e">
        <f t="shared" ref="P26:U26" si="16">IF(P22=D22-D20,0,1)</f>
        <v>#REF!</v>
      </c>
      <c r="Q26" s="93" t="e">
        <f t="shared" si="16"/>
        <v>#REF!</v>
      </c>
      <c r="R26" s="93" t="e">
        <f t="shared" si="16"/>
        <v>#REF!</v>
      </c>
      <c r="S26" s="93" t="e">
        <f t="shared" si="16"/>
        <v>#REF!</v>
      </c>
      <c r="T26" s="93" t="e">
        <f t="shared" si="16"/>
        <v>#REF!</v>
      </c>
      <c r="U26" s="93" t="e">
        <f t="shared" si="16"/>
        <v>#REF!</v>
      </c>
      <c r="AH26" s="93" t="e">
        <f t="shared" ref="AH26:AM26" si="17">IF(AH22=(D22-D20)/D20,0,1)</f>
        <v>#REF!</v>
      </c>
      <c r="AI26" s="93" t="e">
        <f t="shared" si="17"/>
        <v>#REF!</v>
      </c>
      <c r="AJ26" s="93" t="e">
        <f t="shared" si="17"/>
        <v>#REF!</v>
      </c>
      <c r="AK26" s="93" t="e">
        <f t="shared" si="17"/>
        <v>#REF!</v>
      </c>
      <c r="AL26" s="93" t="e">
        <f t="shared" si="17"/>
        <v>#REF!</v>
      </c>
      <c r="AM26" s="93" t="e">
        <f t="shared" si="17"/>
        <v>#REF!</v>
      </c>
    </row>
    <row r="27" spans="1:55" x14ac:dyDescent="0.25">
      <c r="C27" s="130"/>
      <c r="D27" s="130"/>
      <c r="E27" s="130"/>
      <c r="F27" s="130"/>
      <c r="G27" s="130"/>
      <c r="H27" s="130"/>
      <c r="I27" s="130"/>
      <c r="J27" s="130"/>
      <c r="K27" s="130"/>
      <c r="L27" s="130"/>
      <c r="M27" s="130"/>
      <c r="N27" s="130"/>
      <c r="O27" s="130"/>
      <c r="P27" s="130"/>
      <c r="Q27" s="130"/>
      <c r="R27" s="130"/>
      <c r="S27" s="130"/>
      <c r="T27" s="130"/>
      <c r="U27" s="130"/>
      <c r="V27" s="130"/>
      <c r="W27" s="130"/>
    </row>
    <row r="28" spans="1:55" x14ac:dyDescent="0.25">
      <c r="C28" s="130"/>
      <c r="D28" s="130"/>
      <c r="E28" s="130"/>
      <c r="F28" s="130"/>
      <c r="G28" s="130"/>
      <c r="H28" s="130"/>
      <c r="I28" s="130"/>
      <c r="J28" s="130"/>
      <c r="K28" s="151"/>
      <c r="L28" s="151"/>
      <c r="M28" s="151"/>
      <c r="N28" s="151"/>
      <c r="O28" s="151"/>
      <c r="P28" s="130"/>
      <c r="Q28" s="130"/>
      <c r="R28" s="130"/>
      <c r="S28" s="130"/>
      <c r="T28" s="130"/>
      <c r="U28" s="130"/>
      <c r="V28" s="130"/>
      <c r="W28" s="130"/>
    </row>
    <row r="29" spans="1:55" ht="16.5" thickBot="1" x14ac:dyDescent="0.3">
      <c r="A29" s="1" t="s">
        <v>23</v>
      </c>
      <c r="B29" s="9">
        <f ca="1">MAX(B$3:B28)+0.1</f>
        <v>22.200000000000003</v>
      </c>
      <c r="C29" s="28" t="s">
        <v>437</v>
      </c>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row>
    <row r="30" spans="1:55" x14ac:dyDescent="0.25">
      <c r="C30" s="130"/>
      <c r="D30" s="130"/>
      <c r="E30" s="130"/>
      <c r="F30" s="130"/>
      <c r="G30" s="130"/>
      <c r="H30" s="130"/>
      <c r="I30" s="130"/>
      <c r="J30" s="130"/>
      <c r="K30" s="130"/>
      <c r="L30" s="130"/>
      <c r="M30" s="130"/>
      <c r="N30" s="130"/>
      <c r="O30" s="130"/>
      <c r="P30" s="130"/>
      <c r="Q30" s="130"/>
      <c r="R30" s="130"/>
      <c r="S30" s="130"/>
      <c r="T30" s="130"/>
      <c r="U30" s="130"/>
      <c r="V30" s="130"/>
      <c r="W30" s="130"/>
    </row>
    <row r="31" spans="1:55" x14ac:dyDescent="0.25">
      <c r="C31" s="130"/>
      <c r="D31" s="130"/>
      <c r="E31" s="130"/>
      <c r="F31" s="130"/>
      <c r="G31" s="130"/>
      <c r="H31" s="130"/>
      <c r="I31" s="130"/>
      <c r="J31" s="130"/>
      <c r="K31" s="130"/>
      <c r="L31" s="130"/>
      <c r="M31" s="130"/>
      <c r="N31" s="130"/>
      <c r="O31" s="130"/>
      <c r="P31" s="130"/>
      <c r="Q31" s="130"/>
      <c r="R31" s="130"/>
      <c r="S31" s="130"/>
      <c r="T31" s="130"/>
      <c r="U31" s="130"/>
      <c r="V31" s="130"/>
      <c r="W31" s="130"/>
    </row>
    <row r="32" spans="1:55" x14ac:dyDescent="0.25">
      <c r="C32" s="130"/>
      <c r="D32" s="130"/>
      <c r="E32" s="130"/>
      <c r="F32" s="130"/>
      <c r="G32" s="130"/>
      <c r="H32" s="130"/>
      <c r="I32" s="130"/>
      <c r="J32" s="130"/>
      <c r="K32" s="130"/>
      <c r="L32" s="130"/>
      <c r="M32" s="130"/>
      <c r="N32" s="130"/>
      <c r="O32" s="130"/>
      <c r="P32" s="130"/>
      <c r="Q32" s="130"/>
      <c r="R32" s="130"/>
      <c r="S32" s="130"/>
      <c r="T32" s="130"/>
      <c r="U32" s="130"/>
      <c r="V32" s="130"/>
      <c r="W32" s="130"/>
    </row>
    <row r="33" spans="3:23" x14ac:dyDescent="0.25">
      <c r="C33" s="130"/>
      <c r="D33" s="130"/>
      <c r="E33" s="130"/>
      <c r="F33" s="130"/>
      <c r="G33" s="130"/>
      <c r="H33" s="130"/>
      <c r="I33" s="130"/>
      <c r="J33" s="130"/>
      <c r="K33" s="130"/>
      <c r="L33" s="130"/>
      <c r="M33" s="130"/>
      <c r="N33" s="130"/>
      <c r="O33" s="130"/>
      <c r="P33" s="130"/>
      <c r="Q33" s="130"/>
      <c r="R33" s="130"/>
      <c r="S33" s="130"/>
      <c r="T33" s="130"/>
      <c r="U33" s="130"/>
      <c r="V33" s="130"/>
      <c r="W33" s="130"/>
    </row>
    <row r="34" spans="3:23" x14ac:dyDescent="0.25">
      <c r="C34" s="130"/>
      <c r="D34" s="130"/>
      <c r="E34" s="130"/>
      <c r="F34" s="130"/>
      <c r="G34" s="130"/>
      <c r="H34" s="130"/>
      <c r="I34" s="130"/>
      <c r="J34" s="130"/>
      <c r="K34" s="130"/>
      <c r="L34" s="130"/>
      <c r="M34" s="130"/>
      <c r="N34" s="130"/>
      <c r="O34" s="130"/>
      <c r="P34" s="130"/>
      <c r="Q34" s="130"/>
      <c r="R34" s="130"/>
      <c r="S34" s="130"/>
      <c r="T34" s="130"/>
      <c r="U34" s="130"/>
      <c r="V34" s="130"/>
      <c r="W34" s="130"/>
    </row>
    <row r="35" spans="3:23" x14ac:dyDescent="0.25">
      <c r="C35" s="130"/>
      <c r="D35" s="130"/>
      <c r="E35" s="130"/>
      <c r="F35" s="130"/>
      <c r="G35" s="130"/>
      <c r="H35" s="130"/>
      <c r="I35" s="130"/>
      <c r="J35" s="130"/>
      <c r="K35" s="130"/>
      <c r="L35" s="130"/>
      <c r="M35" s="130"/>
      <c r="N35" s="130"/>
      <c r="O35" s="130"/>
      <c r="P35" s="130"/>
      <c r="Q35" s="130"/>
      <c r="R35" s="130"/>
      <c r="S35" s="130"/>
      <c r="T35" s="130"/>
      <c r="U35" s="130"/>
      <c r="V35" s="130"/>
      <c r="W35" s="130"/>
    </row>
    <row r="36" spans="3:23" x14ac:dyDescent="0.25">
      <c r="C36" s="130"/>
      <c r="D36" s="130"/>
      <c r="E36" s="130"/>
      <c r="F36" s="130"/>
      <c r="G36" s="130"/>
      <c r="H36" s="130"/>
      <c r="I36" s="130"/>
      <c r="J36" s="130"/>
      <c r="K36" s="130"/>
      <c r="L36" s="130"/>
      <c r="M36" s="130"/>
      <c r="N36" s="130"/>
      <c r="O36" s="130"/>
      <c r="P36" s="130"/>
      <c r="Q36" s="130"/>
      <c r="R36" s="130"/>
      <c r="S36" s="130"/>
      <c r="T36" s="130"/>
      <c r="U36" s="130"/>
      <c r="V36" s="130"/>
      <c r="W36" s="130"/>
    </row>
    <row r="37" spans="3:23" x14ac:dyDescent="0.25">
      <c r="C37" s="130"/>
      <c r="D37" s="130"/>
      <c r="E37" s="130"/>
      <c r="F37" s="130"/>
      <c r="G37" s="130"/>
      <c r="H37" s="130"/>
      <c r="I37" s="130"/>
      <c r="J37" s="130"/>
      <c r="K37" s="130"/>
      <c r="L37" s="130"/>
      <c r="M37" s="130"/>
      <c r="N37" s="130"/>
      <c r="O37" s="130"/>
      <c r="P37" s="130"/>
      <c r="Q37" s="130"/>
      <c r="R37" s="130"/>
      <c r="S37" s="130"/>
      <c r="T37" s="130"/>
      <c r="U37" s="130"/>
      <c r="V37" s="130"/>
      <c r="W37" s="130"/>
    </row>
    <row r="38" spans="3:23" x14ac:dyDescent="0.25">
      <c r="C38" s="130"/>
      <c r="D38" s="130"/>
      <c r="E38" s="130"/>
      <c r="F38" s="130"/>
      <c r="G38" s="130"/>
      <c r="H38" s="130"/>
      <c r="I38" s="130"/>
      <c r="J38" s="130"/>
      <c r="K38" s="130"/>
      <c r="L38" s="130"/>
      <c r="M38" s="130"/>
      <c r="N38" s="130"/>
      <c r="O38" s="130"/>
      <c r="P38" s="130"/>
      <c r="Q38" s="130"/>
      <c r="R38" s="130"/>
      <c r="S38" s="130"/>
      <c r="T38" s="130"/>
      <c r="U38" s="130"/>
      <c r="V38" s="130"/>
      <c r="W38" s="130"/>
    </row>
    <row r="39" spans="3:23" x14ac:dyDescent="0.25">
      <c r="C39" s="130"/>
      <c r="D39" s="130"/>
      <c r="E39" s="130"/>
      <c r="F39" s="130"/>
      <c r="G39" s="130"/>
      <c r="H39" s="130"/>
      <c r="I39" s="130"/>
      <c r="J39" s="130"/>
      <c r="K39" s="130"/>
      <c r="L39" s="130"/>
      <c r="M39" s="130"/>
      <c r="N39" s="130"/>
      <c r="O39" s="130"/>
      <c r="P39" s="130"/>
      <c r="Q39" s="130"/>
      <c r="R39" s="130"/>
      <c r="S39" s="130"/>
      <c r="T39" s="130"/>
      <c r="U39" s="130"/>
      <c r="V39" s="130"/>
      <c r="W39" s="130"/>
    </row>
    <row r="40" spans="3:23" x14ac:dyDescent="0.25">
      <c r="C40" s="130"/>
      <c r="D40" s="130"/>
      <c r="E40" s="130"/>
      <c r="F40" s="130"/>
      <c r="G40" s="130"/>
      <c r="H40" s="130"/>
      <c r="I40" s="130"/>
      <c r="J40" s="130"/>
      <c r="K40" s="130"/>
      <c r="L40" s="130"/>
      <c r="M40" s="130"/>
      <c r="N40" s="130"/>
      <c r="O40" s="130"/>
      <c r="P40" s="130"/>
      <c r="Q40" s="130"/>
      <c r="R40" s="130"/>
      <c r="S40" s="130"/>
      <c r="T40" s="130"/>
      <c r="U40" s="130"/>
      <c r="V40" s="130"/>
      <c r="W40" s="130"/>
    </row>
    <row r="41" spans="3:23" x14ac:dyDescent="0.25">
      <c r="C41" s="130"/>
      <c r="D41" s="130"/>
      <c r="E41" s="130"/>
      <c r="F41" s="130"/>
      <c r="G41" s="130"/>
      <c r="H41" s="130"/>
      <c r="I41" s="130"/>
      <c r="J41" s="130"/>
      <c r="K41" s="130"/>
      <c r="L41" s="130"/>
      <c r="M41" s="130"/>
      <c r="N41" s="130"/>
      <c r="O41" s="130"/>
      <c r="P41" s="130"/>
      <c r="Q41" s="130"/>
      <c r="R41" s="130"/>
      <c r="S41" s="130"/>
      <c r="T41" s="130"/>
      <c r="U41" s="130"/>
      <c r="V41" s="130"/>
      <c r="W41" s="130"/>
    </row>
    <row r="42" spans="3:23" x14ac:dyDescent="0.25">
      <c r="C42" s="130"/>
      <c r="D42" s="130"/>
      <c r="E42" s="130"/>
      <c r="F42" s="130"/>
      <c r="G42" s="130"/>
      <c r="H42" s="130"/>
      <c r="I42" s="130"/>
      <c r="J42" s="130"/>
      <c r="K42" s="130"/>
      <c r="L42" s="130"/>
      <c r="M42" s="130"/>
      <c r="N42" s="130"/>
      <c r="O42" s="130"/>
      <c r="P42" s="130"/>
      <c r="Q42" s="130"/>
      <c r="R42" s="130"/>
      <c r="S42" s="130"/>
      <c r="T42" s="130"/>
      <c r="U42" s="130"/>
      <c r="V42" s="130"/>
      <c r="W42" s="130"/>
    </row>
    <row r="43" spans="3:23" x14ac:dyDescent="0.25">
      <c r="C43" s="130"/>
      <c r="D43" s="130"/>
      <c r="E43" s="130"/>
      <c r="F43" s="130"/>
      <c r="G43" s="130"/>
      <c r="H43" s="130"/>
      <c r="I43" s="130"/>
      <c r="J43" s="130"/>
      <c r="K43" s="130"/>
      <c r="L43" s="130"/>
      <c r="M43" s="130"/>
      <c r="N43" s="130"/>
      <c r="O43" s="130"/>
      <c r="P43" s="130"/>
      <c r="Q43" s="130"/>
      <c r="R43" s="130"/>
      <c r="S43" s="130"/>
      <c r="T43" s="130"/>
      <c r="U43" s="130"/>
      <c r="V43" s="130"/>
      <c r="W43" s="130"/>
    </row>
    <row r="44" spans="3:23" x14ac:dyDescent="0.25">
      <c r="C44" s="130"/>
      <c r="D44" s="130"/>
      <c r="E44" s="130"/>
      <c r="F44" s="130"/>
      <c r="G44" s="130"/>
      <c r="H44" s="130"/>
      <c r="I44" s="130"/>
      <c r="J44" s="130"/>
      <c r="K44" s="130"/>
      <c r="L44" s="130"/>
      <c r="M44" s="130"/>
      <c r="N44" s="130"/>
      <c r="O44" s="130"/>
      <c r="P44" s="130"/>
      <c r="Q44" s="130"/>
      <c r="R44" s="130"/>
      <c r="S44" s="130"/>
      <c r="T44" s="130"/>
      <c r="U44" s="130"/>
      <c r="V44" s="130"/>
      <c r="W44" s="130"/>
    </row>
    <row r="45" spans="3:23" x14ac:dyDescent="0.25">
      <c r="C45" s="130"/>
      <c r="D45" s="130"/>
      <c r="E45" s="130"/>
      <c r="F45" s="130"/>
      <c r="G45" s="130"/>
      <c r="H45" s="130"/>
      <c r="I45" s="130"/>
      <c r="J45" s="130"/>
      <c r="K45" s="130"/>
      <c r="L45" s="130"/>
      <c r="M45" s="130"/>
      <c r="N45" s="130"/>
      <c r="O45" s="130"/>
      <c r="P45" s="130"/>
      <c r="Q45" s="130"/>
      <c r="R45" s="130"/>
      <c r="S45" s="130"/>
      <c r="T45" s="130"/>
      <c r="U45" s="130"/>
      <c r="V45" s="130"/>
      <c r="W45" s="130"/>
    </row>
    <row r="46" spans="3:23" x14ac:dyDescent="0.25">
      <c r="C46" s="130"/>
      <c r="D46" s="130"/>
      <c r="E46" s="130"/>
      <c r="F46" s="130"/>
      <c r="G46" s="130"/>
      <c r="H46" s="130"/>
      <c r="I46" s="130"/>
      <c r="J46" s="130"/>
      <c r="K46" s="130"/>
      <c r="L46" s="130"/>
      <c r="M46" s="130"/>
      <c r="N46" s="130"/>
      <c r="O46" s="130"/>
      <c r="P46" s="130"/>
      <c r="Q46" s="130"/>
      <c r="R46" s="130"/>
      <c r="S46" s="130"/>
      <c r="T46" s="130"/>
      <c r="U46" s="130"/>
      <c r="V46" s="130"/>
      <c r="W46" s="130"/>
    </row>
    <row r="47" spans="3:23" x14ac:dyDescent="0.25">
      <c r="C47" s="130"/>
      <c r="D47" s="130"/>
      <c r="E47" s="130"/>
      <c r="F47" s="130"/>
      <c r="G47" s="130"/>
      <c r="H47" s="130"/>
      <c r="I47" s="130"/>
      <c r="J47" s="130"/>
      <c r="K47" s="130"/>
      <c r="L47" s="130"/>
      <c r="M47" s="130"/>
      <c r="N47" s="130"/>
      <c r="O47" s="130"/>
      <c r="P47" s="130"/>
      <c r="Q47" s="130"/>
      <c r="R47" s="130"/>
      <c r="S47" s="130"/>
      <c r="T47" s="130"/>
      <c r="U47" s="130"/>
      <c r="V47" s="130"/>
      <c r="W47" s="130"/>
    </row>
    <row r="48" spans="3:23" x14ac:dyDescent="0.25">
      <c r="C48" s="130"/>
      <c r="D48" s="130"/>
      <c r="E48" s="130"/>
      <c r="F48" s="130"/>
      <c r="G48" s="130"/>
      <c r="H48" s="130"/>
      <c r="I48" s="130"/>
      <c r="J48" s="130"/>
      <c r="K48" s="130"/>
      <c r="L48" s="130"/>
      <c r="M48" s="130"/>
      <c r="N48" s="130"/>
      <c r="O48" s="130"/>
      <c r="P48" s="130"/>
      <c r="Q48" s="130"/>
      <c r="R48" s="130"/>
      <c r="S48" s="130"/>
      <c r="T48" s="130"/>
      <c r="U48" s="130"/>
      <c r="V48" s="130"/>
      <c r="W48" s="130"/>
    </row>
    <row r="49" spans="3:23" x14ac:dyDescent="0.25">
      <c r="C49" s="130"/>
      <c r="D49" s="130"/>
      <c r="E49" s="130"/>
      <c r="F49" s="130"/>
      <c r="G49" s="130"/>
      <c r="H49" s="130"/>
      <c r="I49" s="130"/>
      <c r="J49" s="130"/>
      <c r="K49" s="130"/>
      <c r="L49" s="130"/>
      <c r="M49" s="130"/>
      <c r="N49" s="130"/>
      <c r="O49" s="130"/>
      <c r="P49" s="130"/>
      <c r="Q49" s="130"/>
      <c r="R49" s="130"/>
      <c r="S49" s="130"/>
      <c r="T49" s="130"/>
      <c r="U49" s="130"/>
      <c r="V49" s="130"/>
      <c r="W49" s="130"/>
    </row>
    <row r="50" spans="3:23" x14ac:dyDescent="0.25">
      <c r="C50" s="130"/>
      <c r="D50" s="130"/>
      <c r="E50" s="130"/>
      <c r="F50" s="130"/>
      <c r="G50" s="130"/>
      <c r="H50" s="130"/>
      <c r="I50" s="130"/>
      <c r="J50" s="130"/>
      <c r="K50" s="130"/>
      <c r="L50" s="130"/>
      <c r="M50" s="130"/>
      <c r="N50" s="130"/>
      <c r="O50" s="130"/>
      <c r="P50" s="130"/>
      <c r="Q50" s="130"/>
      <c r="R50" s="130"/>
      <c r="S50" s="130"/>
      <c r="T50" s="130"/>
      <c r="U50" s="130"/>
      <c r="V50" s="130"/>
      <c r="W50" s="130"/>
    </row>
    <row r="51" spans="3:23" x14ac:dyDescent="0.25">
      <c r="C51" s="130"/>
      <c r="D51" s="130"/>
      <c r="E51" s="130"/>
      <c r="F51" s="130"/>
      <c r="G51" s="130"/>
      <c r="H51" s="130"/>
      <c r="I51" s="130"/>
      <c r="J51" s="130"/>
      <c r="K51" s="130"/>
      <c r="L51" s="130"/>
      <c r="M51" s="130"/>
      <c r="N51" s="130"/>
      <c r="O51" s="130"/>
      <c r="P51" s="130"/>
      <c r="Q51" s="130"/>
      <c r="R51" s="130"/>
      <c r="S51" s="130"/>
      <c r="T51" s="130"/>
      <c r="U51" s="130"/>
      <c r="V51" s="130"/>
      <c r="W51" s="130"/>
    </row>
    <row r="52" spans="3:23" x14ac:dyDescent="0.25">
      <c r="C52" s="130"/>
      <c r="D52" s="130"/>
      <c r="E52" s="130"/>
      <c r="F52" s="130"/>
      <c r="G52" s="130"/>
      <c r="H52" s="130"/>
      <c r="I52" s="130"/>
      <c r="J52" s="130"/>
      <c r="K52" s="130"/>
      <c r="L52" s="130"/>
      <c r="M52" s="130"/>
      <c r="N52" s="130"/>
      <c r="O52" s="130"/>
      <c r="P52" s="130"/>
      <c r="Q52" s="130"/>
      <c r="R52" s="130"/>
      <c r="S52" s="130"/>
      <c r="T52" s="130"/>
      <c r="U52" s="130"/>
      <c r="V52" s="130"/>
      <c r="W52" s="130"/>
    </row>
    <row r="53" spans="3:23" x14ac:dyDescent="0.25">
      <c r="C53" s="130"/>
      <c r="D53" s="130"/>
      <c r="E53" s="130"/>
      <c r="F53" s="130"/>
      <c r="G53" s="130"/>
      <c r="H53" s="130"/>
      <c r="I53" s="130"/>
      <c r="J53" s="130"/>
      <c r="K53" s="130"/>
      <c r="L53" s="130"/>
      <c r="M53" s="130"/>
      <c r="N53" s="130"/>
      <c r="O53" s="130"/>
      <c r="P53" s="130"/>
      <c r="Q53" s="130"/>
      <c r="R53" s="130"/>
      <c r="S53" s="130"/>
      <c r="T53" s="130"/>
      <c r="U53" s="130"/>
      <c r="V53" s="130"/>
      <c r="W53" s="130"/>
    </row>
    <row r="54" spans="3:23" x14ac:dyDescent="0.25">
      <c r="C54" s="130"/>
      <c r="D54" s="130"/>
      <c r="E54" s="130"/>
      <c r="F54" s="130"/>
      <c r="G54" s="130"/>
      <c r="H54" s="130"/>
      <c r="I54" s="130"/>
      <c r="J54" s="130"/>
      <c r="K54" s="130"/>
      <c r="L54" s="130"/>
      <c r="M54" s="130"/>
      <c r="N54" s="130"/>
      <c r="O54" s="130"/>
      <c r="P54" s="130"/>
      <c r="Q54" s="130"/>
      <c r="R54" s="130"/>
      <c r="S54" s="130"/>
      <c r="T54" s="130"/>
      <c r="U54" s="130"/>
      <c r="V54" s="130"/>
      <c r="W54" s="130"/>
    </row>
    <row r="55" spans="3:23" x14ac:dyDescent="0.25">
      <c r="C55" s="130"/>
      <c r="D55" s="130"/>
      <c r="E55" s="130"/>
      <c r="F55" s="130"/>
      <c r="G55" s="130"/>
      <c r="H55" s="130"/>
      <c r="I55" s="130"/>
      <c r="J55" s="130"/>
      <c r="K55" s="130"/>
      <c r="L55" s="130"/>
      <c r="M55" s="130"/>
      <c r="N55" s="130"/>
      <c r="O55" s="130"/>
      <c r="P55" s="130"/>
      <c r="Q55" s="130"/>
      <c r="R55" s="130"/>
      <c r="S55" s="130"/>
      <c r="T55" s="130"/>
      <c r="U55" s="130"/>
      <c r="V55" s="130"/>
      <c r="W55" s="130"/>
    </row>
    <row r="56" spans="3:23" x14ac:dyDescent="0.25">
      <c r="C56" s="130"/>
      <c r="D56" s="130"/>
      <c r="E56" s="130"/>
      <c r="F56" s="130"/>
      <c r="G56" s="130"/>
      <c r="H56" s="130"/>
      <c r="I56" s="130"/>
      <c r="J56" s="130"/>
      <c r="K56" s="130"/>
      <c r="L56" s="130"/>
      <c r="M56" s="130"/>
      <c r="N56" s="130"/>
      <c r="O56" s="130"/>
      <c r="P56" s="130"/>
      <c r="Q56" s="130"/>
      <c r="R56" s="130"/>
      <c r="S56" s="130"/>
      <c r="T56" s="130"/>
      <c r="U56" s="130"/>
      <c r="V56" s="130"/>
      <c r="W56" s="130"/>
    </row>
    <row r="57" spans="3:23" x14ac:dyDescent="0.25">
      <c r="C57" s="130"/>
      <c r="D57" s="130"/>
      <c r="E57" s="130"/>
      <c r="F57" s="130"/>
      <c r="G57" s="130"/>
      <c r="H57" s="130"/>
      <c r="I57" s="130"/>
      <c r="J57" s="130"/>
      <c r="K57" s="130"/>
      <c r="L57" s="130"/>
      <c r="M57" s="130"/>
      <c r="N57" s="130"/>
      <c r="O57" s="130"/>
      <c r="P57" s="130"/>
      <c r="Q57" s="130"/>
      <c r="R57" s="130"/>
      <c r="S57" s="130"/>
      <c r="T57" s="130"/>
      <c r="U57" s="130"/>
      <c r="V57" s="130"/>
      <c r="W57" s="130"/>
    </row>
    <row r="58" spans="3:23" x14ac:dyDescent="0.25">
      <c r="C58" s="130"/>
      <c r="D58" s="130"/>
      <c r="E58" s="130"/>
      <c r="F58" s="130"/>
      <c r="G58" s="130"/>
      <c r="H58" s="130"/>
      <c r="I58" s="130"/>
      <c r="J58" s="130"/>
      <c r="K58" s="130"/>
      <c r="L58" s="130"/>
      <c r="M58" s="130"/>
      <c r="N58" s="130"/>
      <c r="O58" s="130"/>
      <c r="P58" s="130"/>
      <c r="Q58" s="130"/>
      <c r="R58" s="130"/>
      <c r="S58" s="130"/>
      <c r="T58" s="130"/>
      <c r="U58" s="130"/>
      <c r="V58" s="130"/>
      <c r="W58" s="130"/>
    </row>
    <row r="59" spans="3:23" x14ac:dyDescent="0.25">
      <c r="C59" s="130"/>
      <c r="D59" s="130"/>
      <c r="E59" s="130"/>
      <c r="F59" s="130"/>
      <c r="G59" s="130"/>
      <c r="H59" s="130"/>
      <c r="I59" s="130"/>
      <c r="J59" s="130"/>
      <c r="K59" s="130"/>
      <c r="L59" s="130"/>
      <c r="M59" s="130"/>
      <c r="N59" s="130"/>
      <c r="O59" s="130"/>
      <c r="P59" s="130"/>
      <c r="Q59" s="130"/>
      <c r="R59" s="130"/>
      <c r="S59" s="130"/>
      <c r="T59" s="130"/>
      <c r="U59" s="130"/>
      <c r="V59" s="130"/>
      <c r="W59" s="130"/>
    </row>
    <row r="60" spans="3:23" x14ac:dyDescent="0.25">
      <c r="C60" s="130"/>
      <c r="D60" s="130"/>
      <c r="E60" s="130"/>
      <c r="F60" s="130"/>
      <c r="G60" s="130"/>
      <c r="H60" s="130"/>
      <c r="I60" s="130"/>
      <c r="J60" s="130"/>
      <c r="K60" s="130"/>
      <c r="L60" s="130"/>
      <c r="M60" s="130"/>
      <c r="N60" s="130"/>
      <c r="O60" s="130"/>
      <c r="P60" s="130"/>
      <c r="Q60" s="130"/>
      <c r="R60" s="130"/>
      <c r="S60" s="130"/>
      <c r="T60" s="130"/>
      <c r="U60" s="130"/>
      <c r="V60" s="130"/>
      <c r="W60" s="130"/>
    </row>
    <row r="61" spans="3:23" x14ac:dyDescent="0.25">
      <c r="C61" s="130"/>
      <c r="D61" s="130"/>
      <c r="E61" s="130"/>
      <c r="F61" s="130"/>
      <c r="G61" s="130"/>
      <c r="H61" s="130"/>
      <c r="I61" s="130"/>
      <c r="J61" s="130"/>
      <c r="K61" s="130"/>
      <c r="L61" s="130"/>
      <c r="M61" s="130"/>
      <c r="N61" s="130"/>
      <c r="O61" s="130"/>
      <c r="P61" s="130"/>
      <c r="Q61" s="130"/>
      <c r="R61" s="130"/>
      <c r="S61" s="130"/>
      <c r="T61" s="130"/>
      <c r="U61" s="130"/>
      <c r="V61" s="130"/>
      <c r="W61" s="130"/>
    </row>
    <row r="62" spans="3:23" x14ac:dyDescent="0.25">
      <c r="C62" s="130"/>
      <c r="D62" s="130"/>
      <c r="E62" s="130"/>
      <c r="F62" s="130"/>
      <c r="G62" s="130"/>
      <c r="H62" s="130"/>
      <c r="I62" s="130"/>
      <c r="J62" s="130"/>
      <c r="K62" s="130"/>
      <c r="L62" s="130"/>
      <c r="M62" s="130"/>
      <c r="N62" s="130"/>
      <c r="O62" s="130"/>
      <c r="P62" s="130"/>
      <c r="Q62" s="130"/>
      <c r="R62" s="130"/>
      <c r="S62" s="130"/>
      <c r="T62" s="130"/>
      <c r="U62" s="130"/>
      <c r="V62" s="130"/>
      <c r="W62" s="130"/>
    </row>
    <row r="63" spans="3:23" x14ac:dyDescent="0.25">
      <c r="C63" s="130"/>
      <c r="D63" s="130"/>
      <c r="E63" s="130"/>
      <c r="F63" s="130"/>
      <c r="G63" s="130"/>
      <c r="H63" s="130"/>
      <c r="I63" s="130"/>
      <c r="J63" s="130"/>
      <c r="K63" s="130"/>
      <c r="L63" s="130"/>
      <c r="M63" s="130"/>
      <c r="N63" s="130"/>
      <c r="O63" s="130"/>
      <c r="P63" s="130"/>
      <c r="Q63" s="130"/>
      <c r="R63" s="130"/>
      <c r="S63" s="130"/>
      <c r="T63" s="130"/>
      <c r="U63" s="130"/>
      <c r="V63" s="130"/>
      <c r="W63" s="130"/>
    </row>
    <row r="64" spans="3:23" x14ac:dyDescent="0.25">
      <c r="C64" s="130"/>
      <c r="D64" s="130"/>
      <c r="E64" s="130"/>
      <c r="F64" s="130"/>
      <c r="G64" s="130"/>
      <c r="H64" s="130"/>
      <c r="I64" s="130"/>
      <c r="J64" s="130"/>
      <c r="K64" s="130"/>
      <c r="L64" s="130"/>
      <c r="M64" s="130"/>
      <c r="N64" s="130"/>
      <c r="O64" s="130"/>
      <c r="P64" s="130"/>
      <c r="Q64" s="130"/>
      <c r="R64" s="130"/>
      <c r="S64" s="130"/>
      <c r="T64" s="130"/>
      <c r="U64" s="130"/>
      <c r="V64" s="130"/>
      <c r="W64" s="130"/>
    </row>
    <row r="65" spans="2:55" x14ac:dyDescent="0.25">
      <c r="C65" s="130"/>
      <c r="D65" s="130"/>
      <c r="E65" s="130"/>
      <c r="F65" s="130"/>
      <c r="G65" s="130"/>
      <c r="H65" s="130"/>
      <c r="I65" s="130"/>
      <c r="J65" s="130"/>
      <c r="K65" s="130"/>
      <c r="L65" s="130"/>
      <c r="M65" s="130"/>
      <c r="N65" s="130"/>
      <c r="O65" s="130"/>
      <c r="P65" s="130"/>
      <c r="Q65" s="130"/>
      <c r="R65" s="130"/>
      <c r="S65" s="130"/>
      <c r="T65" s="130"/>
      <c r="U65" s="130"/>
      <c r="V65" s="130"/>
      <c r="W65" s="130"/>
    </row>
    <row r="66" spans="2:55" x14ac:dyDescent="0.25">
      <c r="C66" s="130"/>
      <c r="D66" s="130"/>
      <c r="E66" s="130"/>
      <c r="F66" s="130"/>
      <c r="G66" s="130"/>
      <c r="H66" s="130"/>
      <c r="I66" s="130"/>
      <c r="J66" s="130"/>
      <c r="K66" s="130"/>
      <c r="L66" s="130"/>
      <c r="M66" s="130"/>
      <c r="N66" s="130"/>
      <c r="O66" s="130"/>
      <c r="P66" s="130"/>
      <c r="Q66" s="130"/>
      <c r="R66" s="130"/>
      <c r="S66" s="130"/>
      <c r="T66" s="130"/>
      <c r="U66" s="130"/>
      <c r="V66" s="130"/>
      <c r="W66" s="130"/>
    </row>
    <row r="67" spans="2:55" x14ac:dyDescent="0.25">
      <c r="C67" s="130"/>
      <c r="D67" s="130"/>
      <c r="E67" s="130"/>
      <c r="F67" s="130"/>
      <c r="G67" s="130"/>
      <c r="H67" s="130"/>
      <c r="I67" s="130"/>
      <c r="J67" s="130"/>
      <c r="K67" s="130"/>
      <c r="L67" s="130"/>
      <c r="M67" s="130"/>
      <c r="N67" s="130"/>
      <c r="O67" s="130"/>
      <c r="P67" s="130"/>
      <c r="Q67" s="130"/>
      <c r="R67" s="130"/>
      <c r="S67" s="130"/>
      <c r="T67" s="130"/>
      <c r="U67" s="130"/>
      <c r="V67" s="130"/>
      <c r="W67" s="130"/>
    </row>
    <row r="68" spans="2:55" ht="15.75" x14ac:dyDescent="0.25">
      <c r="C68" s="149" t="s">
        <v>423</v>
      </c>
      <c r="D68" s="130"/>
      <c r="E68" s="130"/>
      <c r="F68" s="130"/>
      <c r="G68" s="130"/>
      <c r="H68" s="130"/>
      <c r="I68" s="130"/>
      <c r="J68" s="130"/>
      <c r="K68" s="130"/>
      <c r="L68" s="130"/>
      <c r="M68" s="130"/>
      <c r="N68" s="130"/>
      <c r="O68" s="130"/>
      <c r="P68" s="130"/>
      <c r="Q68" s="130"/>
      <c r="R68" s="130"/>
      <c r="S68" s="130"/>
      <c r="T68" s="130"/>
      <c r="U68" s="130"/>
      <c r="V68" s="130"/>
    </row>
    <row r="69" spans="2:55" x14ac:dyDescent="0.25">
      <c r="C69" s="130"/>
      <c r="D69" s="384" t="s">
        <v>448</v>
      </c>
      <c r="E69" s="384"/>
      <c r="F69" s="384"/>
      <c r="G69" s="174"/>
      <c r="H69" s="384" t="s">
        <v>269</v>
      </c>
      <c r="I69" s="384"/>
      <c r="J69" s="384"/>
      <c r="K69" s="174"/>
      <c r="L69" s="384" t="s">
        <v>270</v>
      </c>
      <c r="M69" s="384"/>
      <c r="N69" s="384"/>
      <c r="O69" s="174"/>
      <c r="P69" s="384" t="s">
        <v>271</v>
      </c>
      <c r="Q69" s="384"/>
      <c r="R69" s="384"/>
      <c r="S69" s="174"/>
      <c r="T69" s="384" t="s">
        <v>272</v>
      </c>
      <c r="U69" s="384"/>
      <c r="V69" s="384"/>
      <c r="W69" s="174"/>
      <c r="X69" s="384" t="s">
        <v>447</v>
      </c>
      <c r="Y69" s="384"/>
      <c r="Z69" s="384"/>
    </row>
    <row r="70" spans="2:55" s="138" customFormat="1" x14ac:dyDescent="0.25">
      <c r="B70" s="139"/>
      <c r="C70" s="140"/>
      <c r="D70" s="140" t="s">
        <v>492</v>
      </c>
      <c r="E70" s="140" t="s">
        <v>494</v>
      </c>
      <c r="F70" s="140" t="s">
        <v>495</v>
      </c>
      <c r="G70" s="140"/>
      <c r="H70" s="140" t="s">
        <v>492</v>
      </c>
      <c r="I70" s="140" t="s">
        <v>494</v>
      </c>
      <c r="J70" s="140" t="s">
        <v>495</v>
      </c>
      <c r="K70" s="140"/>
      <c r="L70" s="140" t="s">
        <v>492</v>
      </c>
      <c r="M70" s="140" t="s">
        <v>494</v>
      </c>
      <c r="N70" s="140" t="s">
        <v>495</v>
      </c>
      <c r="O70" s="140"/>
      <c r="P70" s="140" t="s">
        <v>492</v>
      </c>
      <c r="Q70" s="140" t="s">
        <v>494</v>
      </c>
      <c r="R70" s="140" t="s">
        <v>495</v>
      </c>
      <c r="S70" s="140"/>
      <c r="T70" s="140" t="s">
        <v>492</v>
      </c>
      <c r="U70" s="140" t="s">
        <v>494</v>
      </c>
      <c r="V70" s="140" t="s">
        <v>495</v>
      </c>
      <c r="W70" s="140"/>
      <c r="X70" s="140" t="s">
        <v>492</v>
      </c>
      <c r="Y70" s="140" t="s">
        <v>494</v>
      </c>
      <c r="Z70" s="140" t="s">
        <v>495</v>
      </c>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row>
    <row r="71" spans="2:55" x14ac:dyDescent="0.25">
      <c r="C71" s="130" t="s">
        <v>610</v>
      </c>
      <c r="D71" s="131" t="e">
        <f>D10</f>
        <v>#REF!</v>
      </c>
      <c r="E71" s="131" t="e">
        <f>D11</f>
        <v>#REF!</v>
      </c>
      <c r="F71" s="131" t="e">
        <f>D12</f>
        <v>#REF!</v>
      </c>
      <c r="G71" s="131"/>
      <c r="H71" s="131" t="e">
        <f>E10</f>
        <v>#REF!</v>
      </c>
      <c r="I71" s="131" t="e">
        <f>E11</f>
        <v>#REF!</v>
      </c>
      <c r="J71" s="131" t="e">
        <f>E12</f>
        <v>#REF!</v>
      </c>
      <c r="K71" s="131"/>
      <c r="L71" s="131" t="e">
        <f>F10</f>
        <v>#REF!</v>
      </c>
      <c r="M71" s="131" t="e">
        <f>F11</f>
        <v>#REF!</v>
      </c>
      <c r="N71" s="131" t="e">
        <f>F12</f>
        <v>#REF!</v>
      </c>
      <c r="O71" s="131"/>
      <c r="P71" s="131" t="e">
        <f>G10</f>
        <v>#REF!</v>
      </c>
      <c r="Q71" s="131" t="e">
        <f>G11</f>
        <v>#REF!</v>
      </c>
      <c r="R71" s="131" t="e">
        <f>G12</f>
        <v>#REF!</v>
      </c>
      <c r="S71" s="131"/>
      <c r="T71" s="131" t="e">
        <f>H10</f>
        <v>#REF!</v>
      </c>
      <c r="U71" s="131" t="e">
        <f>H11</f>
        <v>#REF!</v>
      </c>
      <c r="V71" s="131" t="e">
        <f>H12</f>
        <v>#REF!</v>
      </c>
      <c r="W71" s="131"/>
      <c r="X71" s="131" t="e">
        <f>I10</f>
        <v>#REF!</v>
      </c>
      <c r="Y71" s="131" t="e">
        <f>I11</f>
        <v>#REF!</v>
      </c>
      <c r="Z71" s="131" t="e">
        <f>I12</f>
        <v>#REF!</v>
      </c>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row>
    <row r="72" spans="2:55" x14ac:dyDescent="0.25">
      <c r="C72" s="130"/>
      <c r="D72" s="131"/>
      <c r="E72" s="132" t="e">
        <f>ABS(E71-D71)</f>
        <v>#REF!</v>
      </c>
      <c r="F72" s="132" t="e">
        <f>ABS(F71-D71)</f>
        <v>#REF!</v>
      </c>
      <c r="G72" s="132"/>
      <c r="H72" s="130"/>
      <c r="I72" s="132" t="e">
        <f>ABS(I73)</f>
        <v>#REF!</v>
      </c>
      <c r="J72" s="132" t="e">
        <f>ABS(J73)</f>
        <v>#REF!</v>
      </c>
      <c r="K72" s="132"/>
      <c r="L72" s="130"/>
      <c r="M72" s="132" t="e">
        <f>ABS(M73)</f>
        <v>#REF!</v>
      </c>
      <c r="N72" s="132" t="e">
        <f>ABS(N73)</f>
        <v>#REF!</v>
      </c>
      <c r="O72" s="132"/>
      <c r="P72" s="130"/>
      <c r="Q72" s="132" t="e">
        <f>ABS(Q73)</f>
        <v>#REF!</v>
      </c>
      <c r="R72" s="132" t="e">
        <f>ABS(R73)</f>
        <v>#REF!</v>
      </c>
      <c r="S72" s="132"/>
      <c r="T72" s="130"/>
      <c r="U72" s="132" t="e">
        <f>ABS(U73)</f>
        <v>#REF!</v>
      </c>
      <c r="V72" s="132" t="e">
        <f>ABS(V73)</f>
        <v>#REF!</v>
      </c>
      <c r="W72" s="132"/>
      <c r="X72" s="130"/>
      <c r="Y72" s="132" t="e">
        <f>ABS(Y73)</f>
        <v>#REF!</v>
      </c>
      <c r="Z72" s="132" t="e">
        <f>ABS(Z73)</f>
        <v>#REF!</v>
      </c>
      <c r="AA72" s="132"/>
      <c r="AB72" s="132"/>
      <c r="AC72" s="132"/>
      <c r="AD72" s="132"/>
      <c r="AE72" s="132"/>
      <c r="AF72" s="132"/>
      <c r="AG72" s="132"/>
      <c r="AH72" s="132"/>
      <c r="AI72" s="132"/>
      <c r="AJ72" s="132"/>
      <c r="AK72" s="132"/>
      <c r="AL72" s="132"/>
      <c r="AM72" s="132"/>
      <c r="AN72" s="132"/>
      <c r="AO72" s="132"/>
      <c r="AP72" s="132"/>
      <c r="AQ72" s="132"/>
      <c r="AR72" s="132"/>
      <c r="AS72" s="132"/>
      <c r="AT72" s="132"/>
      <c r="AU72" s="132"/>
      <c r="AV72" s="132"/>
      <c r="AW72" s="132"/>
      <c r="AX72" s="132"/>
      <c r="AY72" s="132"/>
      <c r="AZ72" s="132"/>
      <c r="BA72" s="132"/>
      <c r="BB72" s="132"/>
      <c r="BC72" s="132"/>
    </row>
    <row r="73" spans="2:55" x14ac:dyDescent="0.25">
      <c r="C73" s="130"/>
      <c r="D73" s="131"/>
      <c r="E73" s="133" t="e">
        <f>E71-D71</f>
        <v>#REF!</v>
      </c>
      <c r="F73" s="133" t="e">
        <f>F71-D71</f>
        <v>#REF!</v>
      </c>
      <c r="G73" s="133"/>
      <c r="H73" s="133"/>
      <c r="I73" s="133" t="e">
        <f>I71-H71</f>
        <v>#REF!</v>
      </c>
      <c r="J73" s="133" t="e">
        <f>J71-H71</f>
        <v>#REF!</v>
      </c>
      <c r="K73" s="133"/>
      <c r="L73" s="133"/>
      <c r="M73" s="133" t="e">
        <f>M71-L71</f>
        <v>#REF!</v>
      </c>
      <c r="N73" s="133" t="e">
        <f>N71-L71</f>
        <v>#REF!</v>
      </c>
      <c r="O73" s="133"/>
      <c r="P73" s="133"/>
      <c r="Q73" s="133" t="e">
        <f>Q71-P71</f>
        <v>#REF!</v>
      </c>
      <c r="R73" s="133" t="e">
        <f>R71-P71</f>
        <v>#REF!</v>
      </c>
      <c r="S73" s="133"/>
      <c r="T73" s="133"/>
      <c r="U73" s="133" t="e">
        <f>U71-T71</f>
        <v>#REF!</v>
      </c>
      <c r="V73" s="133" t="e">
        <f>V71-T71</f>
        <v>#REF!</v>
      </c>
      <c r="W73" s="133"/>
      <c r="X73" s="133"/>
      <c r="Y73" s="133" t="e">
        <f>Y71-X71</f>
        <v>#REF!</v>
      </c>
      <c r="Z73" s="133" t="e">
        <f>Z71-X71</f>
        <v>#REF!</v>
      </c>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row>
    <row r="74" spans="2:55" x14ac:dyDescent="0.25">
      <c r="C74" s="130" t="s">
        <v>611</v>
      </c>
      <c r="D74" s="131" t="e">
        <f>D20</f>
        <v>#REF!</v>
      </c>
      <c r="E74" s="131" t="e">
        <f>D21</f>
        <v>#REF!</v>
      </c>
      <c r="F74" s="131" t="e">
        <f>D22</f>
        <v>#REF!</v>
      </c>
      <c r="G74" s="131"/>
      <c r="H74" s="131" t="e">
        <f>E20</f>
        <v>#REF!</v>
      </c>
      <c r="I74" s="131" t="e">
        <f>E21</f>
        <v>#REF!</v>
      </c>
      <c r="J74" s="131" t="e">
        <f>E22</f>
        <v>#REF!</v>
      </c>
      <c r="K74" s="131"/>
      <c r="L74" s="131" t="e">
        <f>F20</f>
        <v>#REF!</v>
      </c>
      <c r="M74" s="131" t="e">
        <f>F21</f>
        <v>#REF!</v>
      </c>
      <c r="N74" s="131" t="e">
        <f>F22</f>
        <v>#REF!</v>
      </c>
      <c r="O74" s="131"/>
      <c r="P74" s="131" t="e">
        <f>G20</f>
        <v>#REF!</v>
      </c>
      <c r="Q74" s="131" t="e">
        <f>G21</f>
        <v>#REF!</v>
      </c>
      <c r="R74" s="131" t="e">
        <f>G22</f>
        <v>#REF!</v>
      </c>
      <c r="S74" s="131"/>
      <c r="T74" s="131" t="e">
        <f>H20</f>
        <v>#REF!</v>
      </c>
      <c r="U74" s="131" t="e">
        <f>H21</f>
        <v>#REF!</v>
      </c>
      <c r="V74" s="131" t="e">
        <f>H22</f>
        <v>#REF!</v>
      </c>
      <c r="W74" s="131"/>
      <c r="X74" s="131" t="e">
        <f>I20</f>
        <v>#REF!</v>
      </c>
      <c r="Y74" s="131" t="e">
        <f>I21</f>
        <v>#REF!</v>
      </c>
      <c r="Z74" s="131" t="e">
        <f>I22</f>
        <v>#REF!</v>
      </c>
      <c r="AA74" s="131"/>
      <c r="AB74" s="131"/>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131"/>
      <c r="BC74" s="131"/>
    </row>
    <row r="75" spans="2:55" x14ac:dyDescent="0.25">
      <c r="C75" s="130"/>
      <c r="D75" s="131"/>
      <c r="E75" s="132" t="e">
        <f>ABS(E74-D74)</f>
        <v>#REF!</v>
      </c>
      <c r="F75" s="132" t="e">
        <f>ABS(F74-D74)</f>
        <v>#REF!</v>
      </c>
      <c r="G75" s="132"/>
      <c r="H75" s="130"/>
      <c r="I75" s="132" t="e">
        <f>ABS(I76)</f>
        <v>#REF!</v>
      </c>
      <c r="J75" s="132" t="e">
        <f>ABS(J76)</f>
        <v>#REF!</v>
      </c>
      <c r="K75" s="132"/>
      <c r="L75" s="130"/>
      <c r="M75" s="132" t="e">
        <f>ABS(M76)</f>
        <v>#REF!</v>
      </c>
      <c r="N75" s="132" t="e">
        <f>ABS(N76)</f>
        <v>#REF!</v>
      </c>
      <c r="O75" s="132"/>
      <c r="P75" s="130"/>
      <c r="Q75" s="132" t="e">
        <f>ABS(Q76)</f>
        <v>#REF!</v>
      </c>
      <c r="R75" s="132" t="e">
        <f>ABS(R76)</f>
        <v>#REF!</v>
      </c>
      <c r="S75" s="132"/>
      <c r="T75" s="130"/>
      <c r="U75" s="132" t="e">
        <f>ABS(U76)</f>
        <v>#REF!</v>
      </c>
      <c r="V75" s="132" t="e">
        <f>ABS(V76)</f>
        <v>#REF!</v>
      </c>
      <c r="W75" s="132"/>
      <c r="X75" s="130"/>
      <c r="Y75" s="132" t="e">
        <f>ABS(Y76)</f>
        <v>#REF!</v>
      </c>
      <c r="Z75" s="132" t="e">
        <f>ABS(Z76)</f>
        <v>#REF!</v>
      </c>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2"/>
      <c r="BC75" s="132"/>
    </row>
    <row r="76" spans="2:55" x14ac:dyDescent="0.25">
      <c r="B76" s="164"/>
      <c r="C76" s="133"/>
      <c r="D76" s="133"/>
      <c r="E76" s="133" t="e">
        <f>E74-D74</f>
        <v>#REF!</v>
      </c>
      <c r="F76" s="133" t="e">
        <f>F74-D74</f>
        <v>#REF!</v>
      </c>
      <c r="G76" s="133"/>
      <c r="H76" s="133"/>
      <c r="I76" s="133" t="e">
        <f>I74-H74</f>
        <v>#REF!</v>
      </c>
      <c r="J76" s="133" t="e">
        <f>J74-H74</f>
        <v>#REF!</v>
      </c>
      <c r="K76" s="133"/>
      <c r="L76" s="133"/>
      <c r="M76" s="133" t="e">
        <f>M74-L74</f>
        <v>#REF!</v>
      </c>
      <c r="N76" s="133" t="e">
        <f>N74-L74</f>
        <v>#REF!</v>
      </c>
      <c r="O76" s="133"/>
      <c r="P76" s="133"/>
      <c r="Q76" s="133" t="e">
        <f>Q74-P74</f>
        <v>#REF!</v>
      </c>
      <c r="R76" s="133" t="e">
        <f>R74-P74</f>
        <v>#REF!</v>
      </c>
      <c r="S76" s="133"/>
      <c r="T76" s="133"/>
      <c r="U76" s="133" t="e">
        <f>U74-T74</f>
        <v>#REF!</v>
      </c>
      <c r="V76" s="133" t="e">
        <f>V74-T74</f>
        <v>#REF!</v>
      </c>
      <c r="W76" s="133"/>
      <c r="X76" s="133"/>
      <c r="Y76" s="133" t="e">
        <f>Y74-X74</f>
        <v>#REF!</v>
      </c>
      <c r="Z76" s="133" t="e">
        <f>Z74-X74</f>
        <v>#REF!</v>
      </c>
      <c r="AA76" s="133"/>
      <c r="AB76" s="133"/>
      <c r="AC76" s="133"/>
      <c r="AD76" s="133"/>
      <c r="AE76" s="133"/>
      <c r="AF76" s="133"/>
      <c r="AG76" s="133"/>
      <c r="AH76" s="133"/>
      <c r="AI76" s="133"/>
      <c r="AJ76" s="133"/>
      <c r="AK76" s="133"/>
      <c r="AL76" s="133"/>
      <c r="AM76" s="133"/>
      <c r="AN76" s="133"/>
      <c r="AO76" s="133"/>
      <c r="AP76" s="133"/>
      <c r="AQ76" s="133"/>
      <c r="AR76" s="133"/>
      <c r="AS76" s="133"/>
      <c r="AT76" s="133"/>
      <c r="AU76" s="133"/>
      <c r="AV76" s="133"/>
      <c r="AW76" s="133"/>
      <c r="AX76" s="133"/>
      <c r="AY76" s="133"/>
      <c r="AZ76" s="133"/>
      <c r="BA76" s="133"/>
      <c r="BB76" s="133"/>
      <c r="BC76" s="133"/>
    </row>
    <row r="77" spans="2:55" x14ac:dyDescent="0.25">
      <c r="C77" s="130"/>
      <c r="D77" s="130"/>
      <c r="E77" s="130"/>
      <c r="F77" s="130"/>
      <c r="G77" s="130"/>
      <c r="H77" s="130"/>
      <c r="I77" s="130"/>
      <c r="J77" s="130"/>
      <c r="K77" s="130"/>
      <c r="L77" s="130"/>
      <c r="M77" s="130"/>
      <c r="N77" s="130"/>
      <c r="O77" s="130"/>
      <c r="P77" s="130"/>
      <c r="Q77" s="130"/>
      <c r="R77" s="130"/>
      <c r="S77" s="130"/>
      <c r="T77" s="130"/>
      <c r="U77" s="130"/>
      <c r="V77" s="130"/>
      <c r="W77" s="130"/>
    </row>
    <row r="78" spans="2:55" x14ac:dyDescent="0.25">
      <c r="C78" s="130"/>
      <c r="D78" s="130"/>
      <c r="E78" s="130"/>
      <c r="F78" s="130"/>
      <c r="G78" s="130"/>
      <c r="H78" s="130"/>
      <c r="I78" s="130"/>
      <c r="J78" s="130"/>
      <c r="K78" s="130"/>
      <c r="L78" s="130"/>
      <c r="M78" s="130"/>
      <c r="N78" s="130"/>
      <c r="O78" s="130"/>
      <c r="P78" s="130"/>
      <c r="Q78" s="130"/>
      <c r="R78" s="130"/>
      <c r="S78" s="130"/>
      <c r="T78" s="130"/>
      <c r="U78" s="130"/>
      <c r="V78" s="130"/>
      <c r="W78" s="130"/>
    </row>
  </sheetData>
  <mergeCells count="7">
    <mergeCell ref="T69:V69"/>
    <mergeCell ref="X69:Z69"/>
    <mergeCell ref="A2:A3"/>
    <mergeCell ref="D69:F69"/>
    <mergeCell ref="H69:J69"/>
    <mergeCell ref="L69:N69"/>
    <mergeCell ref="P69:R69"/>
  </mergeCells>
  <dataValidations count="1">
    <dataValidation type="list" allowBlank="1" showInputMessage="1" showErrorMessage="1" sqref="P19" xr:uid="{11AA83B9-E8F0-4434-A7E9-3881B39951C4}">
      <formula1>"Actual,Approx"</formula1>
    </dataValidation>
  </dataValidations>
  <pageMargins left="0.7" right="0.7" top="0.75" bottom="0.75" header="0.3" footer="0.3"/>
  <pageSetup paperSize="9" orientation="portrait" r:id="rId1"/>
  <drawing r:id="rId2"/>
  <tableParts count="6">
    <tablePart r:id="rId3"/>
    <tablePart r:id="rId4"/>
    <tablePart r:id="rId5"/>
    <tablePart r:id="rId6"/>
    <tablePart r:id="rId7"/>
    <tablePart r:id="rId8"/>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1058A-AAF7-427D-A659-33A8C5F5FFC1}">
  <sheetPr>
    <tabColor rgb="FFFFB13F"/>
  </sheetPr>
  <dimension ref="A1:BC79"/>
  <sheetViews>
    <sheetView showGridLines="0" topLeftCell="B1" zoomScale="85" zoomScaleNormal="85" workbookViewId="0">
      <pane ySplit="3" topLeftCell="A7" activePane="bottomLeft" state="frozen"/>
      <selection pane="bottomLeft" activeCell="T41" sqref="T41"/>
    </sheetView>
  </sheetViews>
  <sheetFormatPr defaultColWidth="10.5703125" defaultRowHeight="15" outlineLevelCol="1" x14ac:dyDescent="0.25"/>
  <cols>
    <col min="1" max="1" width="100.5703125" hidden="1" customWidth="1" outlineLevel="1"/>
    <col min="2" max="2" width="10.5703125" style="6" customWidth="1" collapsed="1"/>
    <col min="3" max="3" width="16" customWidth="1"/>
    <col min="4" max="55" width="10.5703125" customWidth="1"/>
  </cols>
  <sheetData>
    <row r="1" spans="1:55" ht="15" customHeight="1" x14ac:dyDescent="0.25">
      <c r="A1" s="1" t="s">
        <v>20</v>
      </c>
      <c r="B1" s="21"/>
      <c r="C1" s="22"/>
      <c r="D1" s="22"/>
      <c r="E1" s="22"/>
      <c r="F1" s="22"/>
      <c r="G1" s="22"/>
      <c r="H1" s="123" t="s">
        <v>411</v>
      </c>
      <c r="I1" s="96"/>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row>
    <row r="2" spans="1:55" s="4" customFormat="1" ht="50.1" customHeight="1" x14ac:dyDescent="0.25">
      <c r="A2" s="382" t="s">
        <v>21</v>
      </c>
      <c r="B2" s="25"/>
      <c r="C2" s="25" t="str">
        <f>Disclaimer!$B$1</f>
        <v>VDO calculation model</v>
      </c>
      <c r="D2" s="25"/>
      <c r="E2" s="25"/>
      <c r="F2" s="25"/>
      <c r="G2" s="25"/>
      <c r="H2" s="41" t="str">
        <f>Calc_Rates!$D$5</f>
        <v>VDO 2022-23 - Draft</v>
      </c>
      <c r="I2" s="41" t="str">
        <f>Calc_Rates!$D$254</f>
        <v>VDO 2022 - Final</v>
      </c>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row>
    <row r="3" spans="1:55" s="4" customFormat="1" ht="30" customHeight="1" x14ac:dyDescent="0.25">
      <c r="A3" s="383"/>
      <c r="B3" s="27">
        <f ca="1">_xlfn.SHEET()</f>
        <v>23</v>
      </c>
      <c r="C3" s="26" t="s">
        <v>505</v>
      </c>
      <c r="D3" s="26"/>
      <c r="E3" s="26"/>
      <c r="F3" s="26"/>
      <c r="G3" s="26"/>
      <c r="H3" s="95" t="e">
        <f>SUM(D14:H14,D25:H25)</f>
        <v>#REF!</v>
      </c>
      <c r="I3" s="95" t="e">
        <f>SUM(D15:H16,D26:H27,O15:S16,O26:S27,P15:AL16,P26:AL27)</f>
        <v>#REF!</v>
      </c>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row>
    <row r="4" spans="1:55" x14ac:dyDescent="0.25">
      <c r="B4"/>
    </row>
    <row r="5" spans="1:55" ht="16.5" thickBot="1" x14ac:dyDescent="0.3">
      <c r="A5" s="1" t="s">
        <v>23</v>
      </c>
      <c r="B5" s="9">
        <f ca="1">MAX(B$3:B4)+0.1</f>
        <v>23.1</v>
      </c>
      <c r="C5" s="28" t="s">
        <v>433</v>
      </c>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row>
    <row r="6" spans="1:55" x14ac:dyDescent="0.25">
      <c r="Q6" s="165"/>
    </row>
    <row r="7" spans="1:55" ht="15.75" x14ac:dyDescent="0.25">
      <c r="C7" s="146" t="s">
        <v>432</v>
      </c>
      <c r="I7" s="146" t="s">
        <v>435</v>
      </c>
      <c r="J7" s="146"/>
      <c r="O7" s="146" t="s">
        <v>436</v>
      </c>
      <c r="U7" s="166"/>
    </row>
    <row r="8" spans="1:55" ht="15.75" x14ac:dyDescent="0.25">
      <c r="C8" s="29" t="s">
        <v>93</v>
      </c>
      <c r="D8" s="130"/>
      <c r="E8" s="130"/>
      <c r="F8" s="130"/>
      <c r="G8" s="130"/>
      <c r="H8" s="130"/>
      <c r="I8" s="29" t="s">
        <v>93</v>
      </c>
      <c r="J8" s="29"/>
      <c r="O8" s="29" t="s">
        <v>93</v>
      </c>
      <c r="P8" s="130"/>
      <c r="Q8" s="130"/>
      <c r="R8" s="130"/>
      <c r="S8" s="130"/>
      <c r="T8" s="130"/>
      <c r="U8" s="29"/>
      <c r="V8" s="130"/>
      <c r="W8" s="29"/>
      <c r="Z8" s="29"/>
      <c r="AC8" s="29"/>
    </row>
    <row r="9" spans="1:55" ht="15.75" x14ac:dyDescent="0.25">
      <c r="C9" s="43" t="s">
        <v>90</v>
      </c>
      <c r="D9" s="60" t="s">
        <v>503</v>
      </c>
      <c r="E9" s="60" t="s">
        <v>269</v>
      </c>
      <c r="F9" s="60" t="s">
        <v>504</v>
      </c>
      <c r="G9" s="60" t="s">
        <v>271</v>
      </c>
      <c r="I9" s="43" t="s">
        <v>90</v>
      </c>
      <c r="J9" s="60" t="s">
        <v>503</v>
      </c>
      <c r="K9" s="60" t="s">
        <v>269</v>
      </c>
      <c r="L9" s="60" t="s">
        <v>504</v>
      </c>
      <c r="M9" s="60" t="s">
        <v>271</v>
      </c>
      <c r="N9" s="130"/>
      <c r="O9" s="43" t="s">
        <v>90</v>
      </c>
      <c r="P9" s="60" t="s">
        <v>503</v>
      </c>
      <c r="Q9" s="60" t="s">
        <v>269</v>
      </c>
      <c r="R9" s="60" t="s">
        <v>504</v>
      </c>
      <c r="S9" s="60" t="s">
        <v>271</v>
      </c>
      <c r="T9" s="130"/>
      <c r="U9" s="130"/>
      <c r="V9" s="130"/>
      <c r="W9" s="130"/>
      <c r="X9" s="130"/>
      <c r="Y9" s="130"/>
      <c r="Z9" s="130"/>
      <c r="AA9" s="130"/>
      <c r="AB9" s="130"/>
      <c r="AC9" s="130"/>
      <c r="AD9" s="130"/>
      <c r="AE9" s="130"/>
      <c r="AF9" s="130"/>
    </row>
    <row r="10" spans="1:55" x14ac:dyDescent="0.25">
      <c r="C10" s="82" t="str">
        <f>Calc_Rates!$D$5</f>
        <v>VDO 2022-23 - Draft</v>
      </c>
      <c r="D10" s="137" t="e">
        <f>HYBills_RES7486[[#This Row],[Citipower]]</f>
        <v>#REF!</v>
      </c>
      <c r="E10" s="137" t="e">
        <f>'CH_Bill impacts half year'!E20</f>
        <v>#REF!</v>
      </c>
      <c r="F10" s="137" t="e">
        <f>HYBills_RES7486[[#This Row],[Powercor]]</f>
        <v>#REF!</v>
      </c>
      <c r="G10" s="137" t="e">
        <f>'CH_Bill impacts half year'!G20</f>
        <v>#REF!</v>
      </c>
      <c r="I10" s="59"/>
      <c r="J10" s="137"/>
      <c r="K10" s="137"/>
      <c r="L10" s="137"/>
      <c r="M10" s="137"/>
      <c r="N10" s="130"/>
      <c r="O10" s="59"/>
      <c r="P10" s="148"/>
      <c r="Q10" s="148"/>
      <c r="R10" s="148"/>
      <c r="S10" s="148"/>
      <c r="T10" s="130"/>
      <c r="U10" s="130"/>
      <c r="V10" s="130"/>
      <c r="W10" s="130"/>
      <c r="X10" s="130"/>
      <c r="Y10" s="130"/>
      <c r="Z10" s="130"/>
      <c r="AA10" s="130"/>
      <c r="AB10" s="130"/>
      <c r="AC10" s="130"/>
      <c r="AD10" s="130"/>
      <c r="AE10" s="130"/>
      <c r="AF10" s="130"/>
    </row>
    <row r="11" spans="1:55" x14ac:dyDescent="0.25">
      <c r="C11" s="82" t="str">
        <f>Calc_Rates!$D$254&amp;" - Flat"</f>
        <v>VDO 2022 - Final - Flat</v>
      </c>
      <c r="D11" s="137">
        <v>2750</v>
      </c>
      <c r="E11" s="137" t="e">
        <f>'CH_Bill impacts half year'!E21</f>
        <v>#REF!</v>
      </c>
      <c r="F11" s="137">
        <v>2737</v>
      </c>
      <c r="G11" s="137" t="e">
        <f>'CH_Bill impacts half year'!G21</f>
        <v>#REF!</v>
      </c>
      <c r="I11" s="82" t="str">
        <f>Calc_Rates!$D$254&amp;" - Flat"</f>
        <v>VDO 2022 - Final - Flat</v>
      </c>
      <c r="J11" s="145" t="e">
        <f>D11-D$10</f>
        <v>#REF!</v>
      </c>
      <c r="K11" s="145" t="e">
        <f>E11-E$10</f>
        <v>#REF!</v>
      </c>
      <c r="L11" s="145" t="e">
        <f>F11-F$10</f>
        <v>#REF!</v>
      </c>
      <c r="M11" s="145" t="e">
        <f>G11-G$10</f>
        <v>#REF!</v>
      </c>
      <c r="N11" s="130"/>
      <c r="O11" s="82" t="str">
        <f>Calc_Rates!$D$254&amp;" - Flat"</f>
        <v>VDO 2022 - Final - Flat</v>
      </c>
      <c r="P11" s="147" t="e">
        <f t="shared" ref="P11:S12" si="0">J11/D$10</f>
        <v>#REF!</v>
      </c>
      <c r="Q11" s="147" t="e">
        <f t="shared" si="0"/>
        <v>#REF!</v>
      </c>
      <c r="R11" s="147" t="e">
        <f t="shared" si="0"/>
        <v>#REF!</v>
      </c>
      <c r="S11" s="147" t="e">
        <f t="shared" si="0"/>
        <v>#REF!</v>
      </c>
      <c r="T11" s="130"/>
      <c r="U11" s="130"/>
      <c r="V11" s="130"/>
      <c r="W11" s="130"/>
      <c r="X11" s="130"/>
      <c r="Y11" s="130"/>
      <c r="Z11" s="130"/>
      <c r="AA11" s="130"/>
      <c r="AB11" s="130"/>
      <c r="AC11" s="130"/>
      <c r="AD11" s="130"/>
      <c r="AE11" s="130"/>
      <c r="AF11" s="130"/>
    </row>
    <row r="12" spans="1:55" x14ac:dyDescent="0.25">
      <c r="C12" s="82" t="str">
        <f>Calc_Rates!$D$254&amp;" - TOU"</f>
        <v>VDO 2022 - Final - TOU</v>
      </c>
      <c r="D12" s="137">
        <v>2704.5</v>
      </c>
      <c r="E12" s="137" t="e">
        <f>'CH_Bill impacts half year'!E22</f>
        <v>#REF!</v>
      </c>
      <c r="F12" s="137">
        <v>2654.5</v>
      </c>
      <c r="G12" s="137" t="e">
        <f>'CH_Bill impacts half year'!G22</f>
        <v>#REF!</v>
      </c>
      <c r="I12" s="82" t="str">
        <f>Calc_Rates!$D$254&amp;" - TOU"</f>
        <v>VDO 2022 - Final - TOU</v>
      </c>
      <c r="J12" s="175" t="e">
        <f>D12-D$10</f>
        <v>#REF!</v>
      </c>
      <c r="K12" s="175" t="e">
        <f t="shared" ref="K12:M12" si="1">E12-E$10</f>
        <v>#REF!</v>
      </c>
      <c r="L12" s="175" t="e">
        <f t="shared" si="1"/>
        <v>#REF!</v>
      </c>
      <c r="M12" s="175" t="e">
        <f t="shared" si="1"/>
        <v>#REF!</v>
      </c>
      <c r="N12" s="130"/>
      <c r="O12" s="82" t="str">
        <f>Calc_Rates!$D$254&amp;" - TOU"</f>
        <v>VDO 2022 - Final - TOU</v>
      </c>
      <c r="P12" s="147" t="e">
        <f t="shared" si="0"/>
        <v>#REF!</v>
      </c>
      <c r="Q12" s="147" t="e">
        <f t="shared" si="0"/>
        <v>#REF!</v>
      </c>
      <c r="R12" s="147" t="e">
        <f t="shared" si="0"/>
        <v>#REF!</v>
      </c>
      <c r="S12" s="147" t="e">
        <f t="shared" si="0"/>
        <v>#REF!</v>
      </c>
      <c r="T12" s="130"/>
      <c r="U12" s="130"/>
      <c r="V12" s="130"/>
      <c r="W12" s="130"/>
      <c r="X12" s="130"/>
      <c r="Y12" s="130"/>
      <c r="Z12" s="130"/>
      <c r="AA12" s="130"/>
      <c r="AB12" s="130"/>
      <c r="AC12" s="130"/>
      <c r="AD12" s="130"/>
      <c r="AE12" s="130"/>
      <c r="AF12" s="130"/>
    </row>
    <row r="13" spans="1:55" x14ac:dyDescent="0.25">
      <c r="C13" s="130"/>
      <c r="D13" s="130"/>
      <c r="E13" s="130"/>
      <c r="F13" s="130"/>
      <c r="G13" s="130"/>
      <c r="H13" s="130"/>
      <c r="J13" s="130"/>
      <c r="O13" s="130"/>
      <c r="P13" s="130"/>
      <c r="Q13" s="130"/>
      <c r="R13" s="130"/>
      <c r="S13" s="130"/>
      <c r="T13" s="130"/>
      <c r="U13" s="130"/>
      <c r="V13" s="130"/>
      <c r="W13" s="138"/>
      <c r="X13" s="138"/>
      <c r="Y13" s="138"/>
      <c r="Z13" s="138"/>
      <c r="AA13" s="138"/>
      <c r="AB13" s="138"/>
      <c r="AC13" s="138"/>
      <c r="AD13" s="138"/>
    </row>
    <row r="14" spans="1:55" ht="15.75" x14ac:dyDescent="0.25">
      <c r="C14" s="130"/>
      <c r="E14" s="93" t="e">
        <f>IF(E10=INDEX(#REF!,MATCH($C10,#REF!,0),MATCH(HYBills_RES7486[[#Headers],[Citipower]],#REF!,0))*H1_Prop,0,1)</f>
        <v>#REF!</v>
      </c>
      <c r="G14" s="93" t="e">
        <f>IF(G10=INDEX(#REF!,MATCH($C10,#REF!,0),MATCH(HYBills_RES7486[[#Headers],[Powercor]],#REF!,0))*H1_Prop,0,1)</f>
        <v>#REF!</v>
      </c>
      <c r="J14" s="130"/>
      <c r="P14" s="130"/>
      <c r="Q14" s="130"/>
      <c r="R14" s="130"/>
      <c r="S14" s="130"/>
      <c r="T14" s="130"/>
      <c r="U14" s="130"/>
      <c r="V14" s="130"/>
      <c r="W14" s="138"/>
      <c r="X14" s="138"/>
      <c r="Y14" s="138"/>
      <c r="Z14" s="138"/>
      <c r="AA14" s="138"/>
      <c r="AB14" s="138"/>
      <c r="AC14" s="138"/>
      <c r="AD14" s="138"/>
    </row>
    <row r="15" spans="1:55" ht="15.75" x14ac:dyDescent="0.25">
      <c r="C15" s="130"/>
      <c r="E15" s="93" t="e">
        <f>IF(E11=INDEX(#REF!,MATCH($C11,#REF!,0),MATCH(HYBills_RES7486[[#Headers],[Citipower]],#REF!,0))*H1_Prop,0,1)</f>
        <v>#REF!</v>
      </c>
      <c r="G15" s="93" t="e">
        <f>IF(G11=INDEX(#REF!,MATCH($C11,#REF!,0),MATCH(HYBills_RES7486[[#Headers],[Powercor]],#REF!,0))*H1_Prop,0,1)</f>
        <v>#REF!</v>
      </c>
      <c r="J15" s="93" t="e">
        <f>IF(J11=D11-D10,0,1)</f>
        <v>#REF!</v>
      </c>
      <c r="K15" s="93" t="e">
        <f>IF(K11=E11-E10,0,1)</f>
        <v>#REF!</v>
      </c>
      <c r="L15" s="93" t="e">
        <f>IF(L11=F11-F10,0,1)</f>
        <v>#REF!</v>
      </c>
      <c r="M15" s="93" t="e">
        <f>IF(M11=G11-G10,0,1)</f>
        <v>#REF!</v>
      </c>
      <c r="P15" s="93" t="e">
        <f>IF(P11=(D11-D10)/D10,0,1)</f>
        <v>#REF!</v>
      </c>
      <c r="Q15" s="93" t="e">
        <f>IF(Q11=(E11-E10)/E10,0,1)</f>
        <v>#REF!</v>
      </c>
      <c r="R15" s="93" t="e">
        <f>IF(R11=(F11-F10)/F10,0,1)</f>
        <v>#REF!</v>
      </c>
      <c r="S15" s="93" t="e">
        <f>IF(S11=(G11-G10)/G10,0,1)</f>
        <v>#REF!</v>
      </c>
      <c r="W15" s="138"/>
      <c r="X15" s="138"/>
      <c r="Y15" s="138"/>
      <c r="Z15" s="138"/>
      <c r="AA15" s="138"/>
      <c r="AB15" s="138"/>
      <c r="AC15" s="138"/>
      <c r="AD15" s="138"/>
    </row>
    <row r="16" spans="1:55" ht="15.75" x14ac:dyDescent="0.25">
      <c r="C16" s="130"/>
      <c r="E16" s="93" t="e">
        <f>IF(E12=INDEX(#REF!,MATCH($C12,#REF!,0),MATCH(HYBills_RES7486[[#Headers],[Citipower]],#REF!,0))*H1_Prop,0,1)</f>
        <v>#REF!</v>
      </c>
      <c r="G16" s="93" t="e">
        <f>IF(G12=INDEX(#REF!,MATCH($C12,#REF!,0),MATCH(HYBills_RES7486[[#Headers],[Powercor]],#REF!,0))*H1_Prop,0,1)</f>
        <v>#REF!</v>
      </c>
      <c r="J16" s="93" t="e">
        <f>IF(J12=D12-D10,0,1)</f>
        <v>#REF!</v>
      </c>
      <c r="K16" s="93" t="e">
        <f>IF(K12=E12-E10,0,1)</f>
        <v>#REF!</v>
      </c>
      <c r="L16" s="93" t="e">
        <f>IF(L12=F12-F10,0,1)</f>
        <v>#REF!</v>
      </c>
      <c r="M16" s="93" t="e">
        <f>IF(M12=G12-G10,0,1)</f>
        <v>#REF!</v>
      </c>
      <c r="P16" s="93" t="e">
        <f>IF(P12=(D12-D10)/D10,0,1)</f>
        <v>#REF!</v>
      </c>
      <c r="Q16" s="93" t="e">
        <f>IF(Q12=(E12-E10)/E10,0,1)</f>
        <v>#REF!</v>
      </c>
      <c r="R16" s="93" t="e">
        <f>IF(R12=(F12-F10)/F10,0,1)</f>
        <v>#REF!</v>
      </c>
      <c r="S16" s="93" t="e">
        <f>IF(S12=(G12-G10)/G10,0,1)</f>
        <v>#REF!</v>
      </c>
      <c r="W16" s="138"/>
      <c r="X16" s="138"/>
      <c r="Y16" s="138"/>
      <c r="Z16" s="138"/>
      <c r="AA16" s="138"/>
      <c r="AB16" s="138"/>
      <c r="AC16" s="138"/>
      <c r="AD16" s="138"/>
    </row>
    <row r="17" spans="1:55" x14ac:dyDescent="0.25">
      <c r="C17" s="130"/>
      <c r="D17" s="130"/>
      <c r="E17" s="130"/>
      <c r="F17" s="130"/>
      <c r="G17" s="130"/>
      <c r="H17" s="130"/>
      <c r="J17" s="130"/>
      <c r="O17" s="130"/>
      <c r="P17" s="130"/>
      <c r="Q17" s="130"/>
      <c r="R17" s="130"/>
      <c r="S17" s="130"/>
      <c r="T17" s="130"/>
      <c r="U17" s="165"/>
      <c r="V17" s="130"/>
      <c r="W17" s="138"/>
      <c r="X17" s="138"/>
      <c r="Y17" s="138"/>
      <c r="Z17" s="138"/>
      <c r="AA17" s="138"/>
      <c r="AB17" s="138"/>
      <c r="AC17" s="138"/>
      <c r="AD17" s="138"/>
    </row>
    <row r="18" spans="1:55" ht="15.75" x14ac:dyDescent="0.25">
      <c r="C18" s="146" t="s">
        <v>511</v>
      </c>
      <c r="D18" s="130"/>
      <c r="E18" s="130"/>
      <c r="F18" s="130"/>
      <c r="G18" s="130"/>
      <c r="H18" s="130"/>
      <c r="I18" s="146" t="s">
        <v>435</v>
      </c>
      <c r="J18" s="146"/>
      <c r="O18" s="146" t="s">
        <v>596</v>
      </c>
      <c r="P18" s="130"/>
      <c r="Q18" s="130"/>
      <c r="R18" s="130"/>
      <c r="S18" s="130"/>
      <c r="T18" s="130"/>
      <c r="U18" s="146" t="s">
        <v>436</v>
      </c>
      <c r="V18" s="130"/>
      <c r="W18" s="138"/>
      <c r="X18" s="138"/>
      <c r="Y18" s="138"/>
      <c r="Z18" s="138"/>
      <c r="AA18" s="138"/>
      <c r="AB18" s="138"/>
      <c r="AC18" s="138"/>
      <c r="AD18" s="138"/>
    </row>
    <row r="19" spans="1:55" ht="15.75" x14ac:dyDescent="0.25">
      <c r="C19" s="29" t="s">
        <v>93</v>
      </c>
      <c r="D19" s="130"/>
      <c r="E19" s="130"/>
      <c r="F19" s="130"/>
      <c r="G19" s="130"/>
      <c r="H19" s="130"/>
      <c r="I19" s="29" t="s">
        <v>93</v>
      </c>
      <c r="J19" s="29"/>
      <c r="O19" s="29" t="s">
        <v>93</v>
      </c>
      <c r="P19" s="29"/>
      <c r="U19" s="29" t="s">
        <v>93</v>
      </c>
      <c r="V19" s="130"/>
      <c r="W19" s="130"/>
      <c r="X19" s="130"/>
      <c r="Y19" s="130"/>
      <c r="Z19" s="130"/>
      <c r="AA19" s="166"/>
      <c r="AB19" s="130"/>
      <c r="AC19" s="138"/>
      <c r="AD19" s="138"/>
      <c r="AE19" s="138"/>
      <c r="AF19" s="138"/>
      <c r="AG19" s="138"/>
      <c r="AH19" s="138"/>
      <c r="AI19" s="138"/>
      <c r="AJ19" s="138"/>
    </row>
    <row r="20" spans="1:55" ht="15.75" x14ac:dyDescent="0.25">
      <c r="C20" s="43" t="s">
        <v>90</v>
      </c>
      <c r="D20" s="60" t="s">
        <v>503</v>
      </c>
      <c r="E20" s="60" t="s">
        <v>269</v>
      </c>
      <c r="F20" s="60" t="s">
        <v>504</v>
      </c>
      <c r="G20" s="60" t="s">
        <v>271</v>
      </c>
      <c r="I20" s="43" t="s">
        <v>90</v>
      </c>
      <c r="J20" s="60" t="s">
        <v>503</v>
      </c>
      <c r="K20" s="60" t="s">
        <v>269</v>
      </c>
      <c r="L20" s="60" t="s">
        <v>504</v>
      </c>
      <c r="M20" s="60" t="s">
        <v>271</v>
      </c>
      <c r="N20" s="130"/>
      <c r="O20" s="43" t="s">
        <v>90</v>
      </c>
      <c r="P20" s="60" t="s">
        <v>269</v>
      </c>
      <c r="Q20" s="60" t="s">
        <v>595</v>
      </c>
      <c r="R20" s="130"/>
      <c r="S20" s="43" t="s">
        <v>90</v>
      </c>
      <c r="T20" s="60" t="s">
        <v>503</v>
      </c>
      <c r="U20" s="60" t="s">
        <v>269</v>
      </c>
      <c r="V20" s="60" t="s">
        <v>504</v>
      </c>
      <c r="W20" s="60" t="s">
        <v>271</v>
      </c>
      <c r="X20" s="130"/>
      <c r="Y20" s="130"/>
      <c r="Z20" s="130"/>
      <c r="AA20" s="130"/>
      <c r="AB20" s="130"/>
      <c r="AC20" s="130"/>
      <c r="AD20" s="130"/>
      <c r="AE20" s="130"/>
      <c r="AF20" s="130"/>
      <c r="AG20" s="130"/>
      <c r="AH20" s="130"/>
      <c r="AI20" s="130"/>
      <c r="AJ20" s="130"/>
    </row>
    <row r="21" spans="1:55" x14ac:dyDescent="0.25">
      <c r="C21" s="82" t="str">
        <f>Calc_Rates!$D$5</f>
        <v>VDO 2022-23 - Draft</v>
      </c>
      <c r="D21" s="137" t="e">
        <f>D10/6</f>
        <v>#REF!</v>
      </c>
      <c r="E21" s="137" t="e">
        <f t="shared" ref="E21:F22" si="2">E10/6</f>
        <v>#REF!</v>
      </c>
      <c r="F21" s="137" t="e">
        <f t="shared" ref="F21" si="3">F10/6</f>
        <v>#REF!</v>
      </c>
      <c r="G21" s="137" t="e">
        <f t="shared" ref="G21:G23" si="4">G10/6</f>
        <v>#REF!</v>
      </c>
      <c r="I21" s="59"/>
      <c r="J21" s="137"/>
      <c r="K21" s="137"/>
      <c r="L21" s="137"/>
      <c r="M21" s="137"/>
      <c r="N21" s="130"/>
      <c r="O21" s="59"/>
      <c r="P21" s="137"/>
      <c r="Q21" s="137"/>
      <c r="R21" s="130"/>
      <c r="S21" s="59"/>
      <c r="T21" s="148"/>
      <c r="U21" s="148"/>
      <c r="V21" s="148"/>
      <c r="W21" s="148"/>
      <c r="X21" s="130"/>
      <c r="Y21" s="130"/>
      <c r="Z21" s="130"/>
      <c r="AA21" s="130"/>
      <c r="AB21" s="130"/>
      <c r="AC21" s="130"/>
      <c r="AD21" s="130"/>
      <c r="AE21" s="130"/>
      <c r="AF21" s="130"/>
      <c r="AG21" s="130"/>
      <c r="AH21" s="130"/>
      <c r="AI21" s="130"/>
      <c r="AJ21" s="130"/>
    </row>
    <row r="22" spans="1:55" x14ac:dyDescent="0.25">
      <c r="C22" s="82" t="str">
        <f>Calc_Rates!$D$254&amp;" - Flat"</f>
        <v>VDO 2022 - Final - Flat</v>
      </c>
      <c r="D22" s="137">
        <f t="shared" ref="D22" si="5">D11/6</f>
        <v>458.33333333333331</v>
      </c>
      <c r="E22" s="137" t="e">
        <f t="shared" si="2"/>
        <v>#REF!</v>
      </c>
      <c r="F22" s="137">
        <f t="shared" si="2"/>
        <v>456.16666666666669</v>
      </c>
      <c r="G22" s="137" t="e">
        <f t="shared" si="4"/>
        <v>#REF!</v>
      </c>
      <c r="I22" s="82" t="str">
        <f>Calc_Rates!$D$254&amp;" - Flat"</f>
        <v>VDO 2022 - Final - Flat</v>
      </c>
      <c r="J22" s="145" t="e">
        <f t="shared" ref="J22:M23" si="6">D22-D$21</f>
        <v>#REF!</v>
      </c>
      <c r="K22" s="145" t="e">
        <f t="shared" si="6"/>
        <v>#REF!</v>
      </c>
      <c r="L22" s="145" t="e">
        <f t="shared" si="6"/>
        <v>#REF!</v>
      </c>
      <c r="M22" s="145" t="e">
        <f t="shared" si="6"/>
        <v>#REF!</v>
      </c>
      <c r="N22" s="130"/>
      <c r="O22" s="82" t="str">
        <f>Calc_Rates!$D$254&amp;" - Flat"</f>
        <v>VDO 2022 - Final - Flat</v>
      </c>
      <c r="P22" s="145" t="e">
        <f>HYBills_SME7587[[#This Row],[Citipower]]-HYBills_SME7587[[#This Row],[Citipower - initial]]</f>
        <v>#REF!</v>
      </c>
      <c r="Q22" s="145" t="e">
        <f>HYBills_SME7587[[#This Row],[Powercor]]-HYBills_SME7587[[#This Row],[Powercor - initial]]</f>
        <v>#REF!</v>
      </c>
      <c r="R22" s="130"/>
      <c r="S22" s="82" t="str">
        <f>Calc_Rates!$D$254&amp;" - Flat"</f>
        <v>VDO 2022 - Final - Flat</v>
      </c>
      <c r="T22" s="147" t="e">
        <f t="shared" ref="T22:W23" si="7">J22/D$21</f>
        <v>#REF!</v>
      </c>
      <c r="U22" s="147" t="e">
        <f t="shared" si="7"/>
        <v>#REF!</v>
      </c>
      <c r="V22" s="147" t="e">
        <f t="shared" si="7"/>
        <v>#REF!</v>
      </c>
      <c r="W22" s="147" t="e">
        <f t="shared" si="7"/>
        <v>#REF!</v>
      </c>
      <c r="X22" s="130"/>
      <c r="Y22" s="130"/>
      <c r="Z22" s="130"/>
      <c r="AA22" s="130"/>
      <c r="AB22" s="130"/>
      <c r="AC22" s="130"/>
      <c r="AD22" s="130"/>
      <c r="AE22" s="130"/>
      <c r="AF22" s="130"/>
      <c r="AG22" s="130"/>
      <c r="AH22" s="130"/>
      <c r="AI22" s="130"/>
      <c r="AJ22" s="130"/>
    </row>
    <row r="23" spans="1:55" x14ac:dyDescent="0.25">
      <c r="C23" s="82" t="str">
        <f>Calc_Rates!$D$254&amp;" - TOU"</f>
        <v>VDO 2022 - Final - TOU</v>
      </c>
      <c r="D23" s="137">
        <f t="shared" ref="D23:F23" si="8">D12/6</f>
        <v>450.75</v>
      </c>
      <c r="E23" s="137" t="e">
        <f t="shared" si="8"/>
        <v>#REF!</v>
      </c>
      <c r="F23" s="137">
        <f t="shared" si="8"/>
        <v>442.41666666666669</v>
      </c>
      <c r="G23" s="137" t="e">
        <f t="shared" si="4"/>
        <v>#REF!</v>
      </c>
      <c r="I23" s="82" t="str">
        <f>Calc_Rates!$D$254&amp;" - TOU"</f>
        <v>VDO 2022 - Final - TOU</v>
      </c>
      <c r="J23" s="175" t="e">
        <f t="shared" si="6"/>
        <v>#REF!</v>
      </c>
      <c r="K23" s="175" t="e">
        <f t="shared" si="6"/>
        <v>#REF!</v>
      </c>
      <c r="L23" s="175" t="e">
        <f t="shared" si="6"/>
        <v>#REF!</v>
      </c>
      <c r="M23" s="175" t="e">
        <f t="shared" si="6"/>
        <v>#REF!</v>
      </c>
      <c r="N23" s="130"/>
      <c r="O23" s="82" t="str">
        <f>Calc_Rates!$D$254&amp;" - TOU"</f>
        <v>VDO 2022 - Final - TOU</v>
      </c>
      <c r="P23" s="145" t="e">
        <f>HYBills_SME7587[[#This Row],[Citipower]]-HYBills_SME7587[[#This Row],[Citipower - initial]]</f>
        <v>#REF!</v>
      </c>
      <c r="Q23" s="145" t="e">
        <f>HYBills_SME7587[[#This Row],[Powercor]]-HYBills_SME7587[[#This Row],[Powercor - initial]]</f>
        <v>#REF!</v>
      </c>
      <c r="R23" s="130"/>
      <c r="S23" s="82" t="str">
        <f>Calc_Rates!$D$254&amp;" - TOU"</f>
        <v>VDO 2022 - Final - TOU</v>
      </c>
      <c r="T23" s="147" t="e">
        <f t="shared" si="7"/>
        <v>#REF!</v>
      </c>
      <c r="U23" s="147" t="e">
        <f t="shared" si="7"/>
        <v>#REF!</v>
      </c>
      <c r="V23" s="147" t="e">
        <f t="shared" si="7"/>
        <v>#REF!</v>
      </c>
      <c r="W23" s="147" t="e">
        <f t="shared" si="7"/>
        <v>#REF!</v>
      </c>
      <c r="X23" s="130"/>
      <c r="Y23" s="130"/>
      <c r="Z23" s="130"/>
      <c r="AA23" s="130"/>
      <c r="AB23" s="130"/>
      <c r="AC23" s="130"/>
      <c r="AD23" s="130"/>
      <c r="AE23" s="130"/>
      <c r="AF23" s="130"/>
      <c r="AG23" s="130"/>
      <c r="AH23" s="130"/>
      <c r="AI23" s="130"/>
      <c r="AJ23" s="130"/>
    </row>
    <row r="24" spans="1:55" x14ac:dyDescent="0.25">
      <c r="C24" s="130"/>
      <c r="D24" s="130"/>
      <c r="E24" s="130"/>
      <c r="F24" s="130"/>
      <c r="G24" s="130"/>
      <c r="H24" s="130"/>
      <c r="I24" s="130"/>
      <c r="J24" s="130"/>
      <c r="O24" s="130"/>
      <c r="P24" s="130"/>
      <c r="Q24" s="130"/>
      <c r="R24" s="130"/>
      <c r="S24" s="130"/>
      <c r="T24" s="130"/>
      <c r="U24" s="130"/>
      <c r="V24" s="130"/>
    </row>
    <row r="25" spans="1:55" ht="15.75" x14ac:dyDescent="0.25">
      <c r="C25" s="130"/>
      <c r="E25" s="93" t="e">
        <f>IF(E21=INDEX(#REF!,MATCH('CH_Bill impacts half year'!$C21,#REF!,0),MATCH(HYBills_RES7486[[#Headers],[Citipower]],#REF!,0))/3,0,1)</f>
        <v>#REF!</v>
      </c>
      <c r="G25" s="93" t="e">
        <f>IF(G21=INDEX(#REF!,MATCH('CH_Bill impacts half year'!$C20,#REF!,0),MATCH(HYBills_RES7486[[#Headers],[Powercor]],#REF!,0))*H1_Prop,0,1)</f>
        <v>#REF!</v>
      </c>
      <c r="J25" s="130"/>
      <c r="O25" s="130"/>
      <c r="P25" s="130"/>
      <c r="Q25" s="130"/>
      <c r="R25" s="130"/>
      <c r="S25" s="130"/>
      <c r="T25" s="130"/>
      <c r="U25" s="130"/>
      <c r="V25" s="130"/>
    </row>
    <row r="26" spans="1:55" ht="15.75" x14ac:dyDescent="0.25">
      <c r="C26" s="130"/>
      <c r="E26" s="93" t="e">
        <f>IF(E22=INDEX(#REF!,MATCH('CH_Bill impacts half year'!$C21,#REF!,0),MATCH(HYBills_RES7486[[#Headers],[Citipower]],#REF!,0))*H1_Prop,0,1)</f>
        <v>#REF!</v>
      </c>
      <c r="G26" s="93" t="e">
        <f>IF(G22=INDEX(#REF!,MATCH('CH_Bill impacts half year'!$C21,#REF!,0),MATCH(HYBills_RES7486[[#Headers],[Powercor]],#REF!,0))*H1_Prop,0,1)</f>
        <v>#REF!</v>
      </c>
      <c r="J26" s="93" t="e">
        <f>IF(J22=D22-D21,0,1)</f>
        <v>#REF!</v>
      </c>
      <c r="K26" s="93" t="e">
        <f>IF(K22=E22-E21,0,1)</f>
        <v>#REF!</v>
      </c>
      <c r="L26" s="93" t="e">
        <f>IF(L22=F22-F21,0,1)</f>
        <v>#REF!</v>
      </c>
      <c r="M26" s="93" t="e">
        <f>IF(M22=G22-G21,0,1)</f>
        <v>#REF!</v>
      </c>
      <c r="P26" s="93" t="e">
        <f>IF(T22=(D22-D21)/D21,0,1)</f>
        <v>#REF!</v>
      </c>
      <c r="Q26" s="93" t="e">
        <f>IF(U22=(E22-E21)/E21,0,1)</f>
        <v>#REF!</v>
      </c>
      <c r="R26" s="93" t="e">
        <f>IF(V22=(F22-F21)/F21,0,1)</f>
        <v>#REF!</v>
      </c>
      <c r="S26" s="93" t="e">
        <f>IF(W22=(G22-G21)/G21,0,1)</f>
        <v>#REF!</v>
      </c>
    </row>
    <row r="27" spans="1:55" ht="15.75" x14ac:dyDescent="0.25">
      <c r="C27" s="130"/>
      <c r="E27" s="93" t="e">
        <f>IF(E23=INDEX(#REF!,MATCH('CH_Bill impacts half year'!$C22,#REF!,0),MATCH(HYBills_RES7486[[#Headers],[Citipower]],#REF!,0))*H1_Prop,0,1)</f>
        <v>#REF!</v>
      </c>
      <c r="G27" s="93" t="e">
        <f>IF(G23=INDEX(#REF!,MATCH('CH_Bill impacts half year'!$C22,#REF!,0),MATCH(HYBills_RES7486[[#Headers],[Powercor]],#REF!,0))*H1_Prop,0,1)</f>
        <v>#REF!</v>
      </c>
      <c r="J27" s="93" t="e">
        <f>IF(J23=D23-D21,0,1)</f>
        <v>#REF!</v>
      </c>
      <c r="K27" s="93" t="e">
        <f>IF(K23=E23-E21,0,1)</f>
        <v>#REF!</v>
      </c>
      <c r="L27" s="93" t="e">
        <f>IF(L23=F23-F21,0,1)</f>
        <v>#REF!</v>
      </c>
      <c r="M27" s="93" t="e">
        <f>IF(M23=G23-G21,0,1)</f>
        <v>#REF!</v>
      </c>
      <c r="P27" s="93" t="e">
        <f>IF(T23=(D23-D21)/D21,0,1)</f>
        <v>#REF!</v>
      </c>
      <c r="Q27" s="93" t="e">
        <f>IF(U23=(E23-E21)/E21,0,1)</f>
        <v>#REF!</v>
      </c>
      <c r="R27" s="93" t="e">
        <f>IF(V23=(F23-F21)/F21,0,1)</f>
        <v>#REF!</v>
      </c>
      <c r="S27" s="93" t="e">
        <f>IF(W23=(G23-G21)/G21,0,1)</f>
        <v>#REF!</v>
      </c>
    </row>
    <row r="28" spans="1:55" x14ac:dyDescent="0.25">
      <c r="C28" s="130"/>
      <c r="D28" s="130"/>
      <c r="E28" s="130"/>
      <c r="F28" s="130"/>
      <c r="G28" s="130"/>
      <c r="H28" s="130"/>
      <c r="I28" s="130"/>
      <c r="J28" s="130"/>
      <c r="K28" s="130"/>
      <c r="L28" s="130"/>
      <c r="M28" s="130"/>
      <c r="N28" s="130"/>
      <c r="O28" s="130"/>
      <c r="P28" s="130"/>
      <c r="Q28" s="130"/>
      <c r="R28" s="130"/>
      <c r="S28" s="130"/>
      <c r="T28" s="130"/>
      <c r="U28" s="130"/>
      <c r="V28" s="130"/>
      <c r="W28" s="130"/>
    </row>
    <row r="29" spans="1:55" x14ac:dyDescent="0.25">
      <c r="C29" s="130"/>
      <c r="D29" s="130"/>
      <c r="E29" s="130"/>
      <c r="F29" s="130"/>
      <c r="G29" s="130"/>
      <c r="H29" s="130"/>
      <c r="I29" s="130"/>
      <c r="J29" s="130"/>
      <c r="K29" s="151"/>
      <c r="L29" s="151"/>
      <c r="M29" s="151"/>
      <c r="N29" s="151"/>
      <c r="O29" s="151"/>
      <c r="P29" s="130"/>
      <c r="Q29" s="130"/>
      <c r="R29" s="130"/>
      <c r="S29" s="130"/>
      <c r="T29" s="130"/>
      <c r="U29" s="130"/>
      <c r="V29" s="130"/>
      <c r="W29" s="130"/>
    </row>
    <row r="30" spans="1:55" ht="16.5" thickBot="1" x14ac:dyDescent="0.3">
      <c r="A30" s="1" t="s">
        <v>23</v>
      </c>
      <c r="B30" s="9">
        <f ca="1">MAX(B$3:B29)+0.1</f>
        <v>23.200000000000003</v>
      </c>
      <c r="C30" s="28" t="s">
        <v>437</v>
      </c>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row>
    <row r="31" spans="1:55" x14ac:dyDescent="0.25">
      <c r="C31" s="130"/>
      <c r="D31" s="130"/>
      <c r="E31" s="130"/>
      <c r="F31" s="130"/>
      <c r="G31" s="130"/>
      <c r="H31" s="130"/>
      <c r="I31" s="130"/>
      <c r="J31" s="130"/>
      <c r="K31" s="130"/>
      <c r="L31" s="130"/>
      <c r="M31" s="130"/>
      <c r="N31" s="130"/>
      <c r="O31" s="130"/>
      <c r="P31" s="130"/>
      <c r="Q31" s="130"/>
      <c r="R31" s="130"/>
      <c r="S31" s="130"/>
      <c r="T31" s="130"/>
      <c r="U31" s="130"/>
      <c r="V31" s="130"/>
      <c r="W31" s="130"/>
    </row>
    <row r="32" spans="1:55" x14ac:dyDescent="0.25">
      <c r="C32" s="130"/>
      <c r="D32" s="130"/>
      <c r="E32" s="130"/>
      <c r="F32" s="130"/>
      <c r="G32" s="130"/>
      <c r="H32" s="130"/>
      <c r="I32" s="130"/>
      <c r="J32" s="130"/>
      <c r="K32" s="130"/>
      <c r="L32" s="130"/>
      <c r="M32" s="130"/>
      <c r="N32" s="130"/>
      <c r="O32" s="130"/>
      <c r="P32" s="130"/>
      <c r="Q32" s="130"/>
      <c r="R32" s="130"/>
      <c r="S32" s="130"/>
      <c r="T32" s="130"/>
      <c r="U32" s="130"/>
      <c r="V32" s="130"/>
      <c r="W32" s="130"/>
    </row>
    <row r="33" spans="3:23" x14ac:dyDescent="0.25">
      <c r="C33" s="130"/>
      <c r="D33" s="130"/>
      <c r="E33" s="130"/>
      <c r="F33" s="130"/>
      <c r="G33" s="130"/>
      <c r="H33" s="130"/>
      <c r="I33" s="130"/>
      <c r="J33" s="130"/>
      <c r="K33" s="130"/>
      <c r="L33" s="130"/>
      <c r="M33" s="130"/>
      <c r="N33" s="130"/>
      <c r="O33" s="130"/>
      <c r="P33" s="130"/>
      <c r="Q33" s="130"/>
      <c r="R33" s="130"/>
      <c r="S33" s="130"/>
      <c r="T33" s="130"/>
      <c r="U33" s="130"/>
      <c r="V33" s="130"/>
      <c r="W33" s="130"/>
    </row>
    <row r="34" spans="3:23" x14ac:dyDescent="0.25">
      <c r="C34" s="130"/>
      <c r="D34" s="130"/>
      <c r="E34" s="130"/>
      <c r="F34" s="130"/>
      <c r="G34" s="130"/>
      <c r="H34" s="130"/>
      <c r="I34" s="130"/>
      <c r="J34" s="130"/>
      <c r="K34" s="130"/>
      <c r="L34" s="130"/>
      <c r="M34" s="130"/>
      <c r="N34" s="130"/>
      <c r="O34" s="130"/>
      <c r="P34" s="130"/>
      <c r="Q34" s="130"/>
      <c r="R34" s="130"/>
      <c r="S34" s="130"/>
      <c r="T34" s="130"/>
      <c r="U34" s="130"/>
      <c r="V34" s="130"/>
      <c r="W34" s="130"/>
    </row>
    <row r="35" spans="3:23" x14ac:dyDescent="0.25">
      <c r="C35" s="130"/>
      <c r="D35" s="130"/>
      <c r="E35" s="130"/>
      <c r="F35" s="130"/>
      <c r="G35" s="130"/>
      <c r="H35" s="130"/>
      <c r="I35" s="130"/>
      <c r="J35" s="130"/>
      <c r="K35" s="130"/>
      <c r="L35" s="130"/>
      <c r="M35" s="130"/>
      <c r="N35" s="130"/>
      <c r="O35" s="130"/>
      <c r="P35" s="130"/>
      <c r="Q35" s="130"/>
      <c r="R35" s="130"/>
      <c r="S35" s="130"/>
      <c r="T35" s="130"/>
      <c r="U35" s="130"/>
      <c r="V35" s="130"/>
      <c r="W35" s="130"/>
    </row>
    <row r="36" spans="3:23" x14ac:dyDescent="0.25">
      <c r="C36" s="130"/>
      <c r="D36" s="130"/>
      <c r="E36" s="130"/>
      <c r="F36" s="130"/>
      <c r="G36" s="130"/>
      <c r="H36" s="130"/>
      <c r="I36" s="130"/>
      <c r="J36" s="130"/>
      <c r="K36" s="130"/>
      <c r="L36" s="130"/>
      <c r="M36" s="130"/>
      <c r="N36" s="130"/>
      <c r="O36" s="130"/>
      <c r="P36" s="130"/>
      <c r="Q36" s="130"/>
      <c r="R36" s="130"/>
      <c r="S36" s="130"/>
      <c r="T36" s="130"/>
      <c r="U36" s="130"/>
      <c r="V36" s="130"/>
      <c r="W36" s="130"/>
    </row>
    <row r="37" spans="3:23" x14ac:dyDescent="0.25">
      <c r="C37" s="130"/>
      <c r="D37" s="130"/>
      <c r="E37" s="130"/>
      <c r="F37" s="130"/>
      <c r="G37" s="130"/>
      <c r="H37" s="130"/>
      <c r="I37" s="130"/>
      <c r="J37" s="130"/>
      <c r="K37" s="130"/>
      <c r="L37" s="130"/>
      <c r="M37" s="130"/>
      <c r="N37" s="130"/>
      <c r="O37" s="130"/>
      <c r="P37" s="130"/>
      <c r="Q37" s="130"/>
      <c r="R37" s="130"/>
      <c r="S37" s="130"/>
      <c r="T37" s="130"/>
      <c r="U37" s="130"/>
      <c r="V37" s="130"/>
      <c r="W37" s="130"/>
    </row>
    <row r="38" spans="3:23" x14ac:dyDescent="0.25">
      <c r="C38" s="130"/>
      <c r="D38" s="130"/>
      <c r="E38" s="130"/>
      <c r="F38" s="130"/>
      <c r="G38" s="130"/>
      <c r="H38" s="130"/>
      <c r="I38" s="130"/>
      <c r="J38" s="130"/>
      <c r="K38" s="130"/>
      <c r="L38" s="130"/>
      <c r="M38" s="130"/>
      <c r="N38" s="130"/>
      <c r="O38" s="130"/>
      <c r="P38" s="130"/>
      <c r="Q38" s="130"/>
      <c r="R38" s="130"/>
      <c r="S38" s="130"/>
      <c r="T38" s="130"/>
      <c r="U38" s="130"/>
      <c r="V38" s="130"/>
      <c r="W38" s="130"/>
    </row>
    <row r="39" spans="3:23" x14ac:dyDescent="0.25">
      <c r="C39" s="130"/>
      <c r="D39" s="130"/>
      <c r="E39" s="130"/>
      <c r="F39" s="130"/>
      <c r="G39" s="130"/>
      <c r="H39" s="130"/>
      <c r="I39" s="130"/>
      <c r="J39" s="130"/>
      <c r="K39" s="130"/>
      <c r="L39" s="130"/>
      <c r="M39" s="130"/>
      <c r="N39" s="130"/>
      <c r="O39" s="130"/>
      <c r="P39" s="130"/>
      <c r="Q39" s="130"/>
      <c r="R39" s="130"/>
      <c r="S39" s="130"/>
      <c r="T39" s="130"/>
      <c r="U39" s="130"/>
      <c r="V39" s="130"/>
      <c r="W39" s="130"/>
    </row>
    <row r="40" spans="3:23" x14ac:dyDescent="0.25">
      <c r="C40" s="130"/>
      <c r="D40" s="130"/>
      <c r="E40" s="130"/>
      <c r="F40" s="130"/>
      <c r="G40" s="130"/>
      <c r="H40" s="130"/>
      <c r="I40" s="130"/>
      <c r="J40" s="130"/>
      <c r="K40" s="130"/>
      <c r="L40" s="130"/>
      <c r="M40" s="130"/>
      <c r="N40" s="130"/>
      <c r="O40" s="130"/>
      <c r="P40" s="130"/>
      <c r="Q40" s="130"/>
      <c r="R40" s="130"/>
      <c r="S40" s="130"/>
      <c r="T40" s="130"/>
      <c r="U40" s="130"/>
      <c r="V40" s="130"/>
      <c r="W40" s="130"/>
    </row>
    <row r="41" spans="3:23" x14ac:dyDescent="0.25">
      <c r="C41" s="130"/>
      <c r="D41" s="130"/>
      <c r="E41" s="130"/>
      <c r="F41" s="130"/>
      <c r="G41" s="130"/>
      <c r="H41" s="130"/>
      <c r="I41" s="130"/>
      <c r="J41" s="130"/>
      <c r="K41" s="130"/>
      <c r="L41" s="130"/>
      <c r="M41" s="130"/>
      <c r="N41" s="130"/>
      <c r="O41" s="130"/>
      <c r="P41" s="130"/>
      <c r="Q41" s="130"/>
      <c r="R41" s="130"/>
      <c r="S41" s="130"/>
      <c r="T41" s="130"/>
      <c r="U41" s="130"/>
      <c r="V41" s="130"/>
      <c r="W41" s="130"/>
    </row>
    <row r="42" spans="3:23" x14ac:dyDescent="0.25">
      <c r="C42" s="130"/>
      <c r="D42" s="130"/>
      <c r="E42" s="130"/>
      <c r="F42" s="130"/>
      <c r="G42" s="130"/>
      <c r="H42" s="130"/>
      <c r="I42" s="130"/>
      <c r="J42" s="130"/>
      <c r="K42" s="130"/>
      <c r="L42" s="130"/>
      <c r="M42" s="130"/>
      <c r="N42" s="130"/>
      <c r="O42" s="130"/>
      <c r="P42" s="130"/>
      <c r="Q42" s="130"/>
      <c r="R42" s="130"/>
      <c r="S42" s="130"/>
      <c r="T42" s="130"/>
      <c r="U42" s="130"/>
      <c r="V42" s="130"/>
      <c r="W42" s="130"/>
    </row>
    <row r="43" spans="3:23" x14ac:dyDescent="0.25">
      <c r="C43" s="130"/>
      <c r="D43" s="130"/>
      <c r="E43" s="130"/>
      <c r="F43" s="130"/>
      <c r="G43" s="130"/>
      <c r="H43" s="130"/>
      <c r="I43" s="130"/>
      <c r="J43" s="130"/>
      <c r="K43" s="130"/>
      <c r="L43" s="130"/>
      <c r="M43" s="130"/>
      <c r="N43" s="130"/>
      <c r="O43" s="130"/>
      <c r="P43" s="130"/>
      <c r="Q43" s="130"/>
      <c r="R43" s="130"/>
      <c r="S43" s="130"/>
      <c r="T43" s="130"/>
      <c r="U43" s="130"/>
      <c r="V43" s="130"/>
      <c r="W43" s="130"/>
    </row>
    <row r="44" spans="3:23" x14ac:dyDescent="0.25">
      <c r="C44" s="130"/>
      <c r="D44" s="130"/>
      <c r="E44" s="130"/>
      <c r="F44" s="130"/>
      <c r="G44" s="130"/>
      <c r="H44" s="130"/>
      <c r="I44" s="130"/>
      <c r="J44" s="130"/>
      <c r="K44" s="130"/>
      <c r="L44" s="130"/>
      <c r="M44" s="130"/>
      <c r="N44" s="130"/>
      <c r="O44" s="130"/>
      <c r="P44" s="130"/>
      <c r="Q44" s="130"/>
      <c r="R44" s="130"/>
      <c r="S44" s="130"/>
      <c r="T44" s="130"/>
      <c r="U44" s="130"/>
      <c r="V44" s="130"/>
      <c r="W44" s="130"/>
    </row>
    <row r="45" spans="3:23" x14ac:dyDescent="0.25">
      <c r="C45" s="130"/>
      <c r="D45" s="130"/>
      <c r="E45" s="130"/>
      <c r="F45" s="130"/>
      <c r="G45" s="130"/>
      <c r="H45" s="130"/>
      <c r="I45" s="130"/>
      <c r="J45" s="130"/>
      <c r="K45" s="130"/>
      <c r="L45" s="130"/>
      <c r="M45" s="130"/>
      <c r="N45" s="130"/>
      <c r="O45" s="130"/>
      <c r="P45" s="130"/>
      <c r="Q45" s="130"/>
      <c r="R45" s="130"/>
      <c r="S45" s="130"/>
      <c r="T45" s="130"/>
      <c r="U45" s="130"/>
      <c r="V45" s="130"/>
      <c r="W45" s="130"/>
    </row>
    <row r="46" spans="3:23" x14ac:dyDescent="0.25">
      <c r="C46" s="130"/>
      <c r="D46" s="130"/>
      <c r="E46" s="130"/>
      <c r="F46" s="130"/>
      <c r="G46" s="130"/>
      <c r="H46" s="130"/>
      <c r="I46" s="130"/>
      <c r="J46" s="130"/>
      <c r="K46" s="130"/>
      <c r="L46" s="130"/>
      <c r="M46" s="130"/>
      <c r="N46" s="130"/>
      <c r="O46" s="130"/>
      <c r="P46" s="130"/>
      <c r="Q46" s="130"/>
      <c r="R46" s="130"/>
      <c r="S46" s="130"/>
      <c r="T46" s="130"/>
      <c r="U46" s="130"/>
      <c r="V46" s="130"/>
      <c r="W46" s="130"/>
    </row>
    <row r="47" spans="3:23" x14ac:dyDescent="0.25">
      <c r="C47" s="130"/>
      <c r="D47" s="130"/>
      <c r="E47" s="130"/>
      <c r="F47" s="130"/>
      <c r="G47" s="130"/>
      <c r="H47" s="130"/>
      <c r="I47" s="130"/>
      <c r="J47" s="130"/>
      <c r="K47" s="130"/>
      <c r="L47" s="130"/>
      <c r="M47" s="130"/>
      <c r="N47" s="130"/>
      <c r="O47" s="130"/>
      <c r="P47" s="130"/>
      <c r="Q47" s="130"/>
      <c r="R47" s="130"/>
      <c r="S47" s="130"/>
      <c r="T47" s="130"/>
      <c r="U47" s="130"/>
      <c r="V47" s="130"/>
      <c r="W47" s="130"/>
    </row>
    <row r="48" spans="3:23" x14ac:dyDescent="0.25">
      <c r="C48" s="130"/>
      <c r="D48" s="130"/>
      <c r="E48" s="130"/>
      <c r="F48" s="130"/>
      <c r="G48" s="130"/>
      <c r="H48" s="130"/>
      <c r="I48" s="130"/>
      <c r="J48" s="130"/>
      <c r="K48" s="130"/>
      <c r="L48" s="130"/>
      <c r="M48" s="130"/>
      <c r="N48" s="130"/>
      <c r="O48" s="130"/>
      <c r="P48" s="130"/>
      <c r="Q48" s="130"/>
      <c r="R48" s="130"/>
      <c r="S48" s="130"/>
      <c r="T48" s="130"/>
      <c r="U48" s="130"/>
      <c r="V48" s="130"/>
      <c r="W48" s="130"/>
    </row>
    <row r="49" spans="3:23" x14ac:dyDescent="0.25">
      <c r="C49" s="130"/>
      <c r="D49" s="130"/>
      <c r="E49" s="130"/>
      <c r="F49" s="130"/>
      <c r="G49" s="130"/>
      <c r="H49" s="130"/>
      <c r="I49" s="130"/>
      <c r="J49" s="130"/>
      <c r="K49" s="130"/>
      <c r="L49" s="130"/>
      <c r="M49" s="130"/>
      <c r="N49" s="130"/>
      <c r="O49" s="130"/>
      <c r="P49" s="130"/>
      <c r="Q49" s="130"/>
      <c r="R49" s="130"/>
      <c r="S49" s="130"/>
      <c r="T49" s="130"/>
      <c r="U49" s="130"/>
      <c r="V49" s="130"/>
      <c r="W49" s="130"/>
    </row>
    <row r="50" spans="3:23" x14ac:dyDescent="0.25">
      <c r="C50" s="130"/>
      <c r="D50" s="130"/>
      <c r="E50" s="130"/>
      <c r="F50" s="130"/>
      <c r="G50" s="130"/>
      <c r="H50" s="130"/>
      <c r="I50" s="130"/>
      <c r="J50" s="130"/>
      <c r="K50" s="130"/>
      <c r="L50" s="130"/>
      <c r="M50" s="130"/>
      <c r="N50" s="130"/>
      <c r="O50" s="130"/>
      <c r="P50" s="130"/>
      <c r="Q50" s="130"/>
      <c r="R50" s="130"/>
      <c r="S50" s="130"/>
      <c r="T50" s="130"/>
      <c r="U50" s="130"/>
      <c r="V50" s="130"/>
      <c r="W50" s="130"/>
    </row>
    <row r="51" spans="3:23" x14ac:dyDescent="0.25">
      <c r="C51" s="130"/>
      <c r="D51" s="130"/>
      <c r="E51" s="130"/>
      <c r="F51" s="130"/>
      <c r="G51" s="130"/>
      <c r="H51" s="130"/>
      <c r="I51" s="130"/>
      <c r="J51" s="130"/>
      <c r="K51" s="130"/>
      <c r="L51" s="130"/>
      <c r="M51" s="130"/>
      <c r="N51" s="130"/>
      <c r="O51" s="130"/>
      <c r="P51" s="130"/>
      <c r="Q51" s="130"/>
      <c r="R51" s="130"/>
      <c r="S51" s="130"/>
      <c r="T51" s="130"/>
      <c r="U51" s="130"/>
      <c r="V51" s="130"/>
      <c r="W51" s="130"/>
    </row>
    <row r="52" spans="3:23" x14ac:dyDescent="0.25">
      <c r="C52" s="130"/>
      <c r="D52" s="130"/>
      <c r="E52" s="130"/>
      <c r="F52" s="130"/>
      <c r="G52" s="130"/>
      <c r="H52" s="130"/>
      <c r="I52" s="130"/>
      <c r="J52" s="130"/>
      <c r="K52" s="130"/>
      <c r="L52" s="130"/>
      <c r="M52" s="130"/>
      <c r="N52" s="130"/>
      <c r="O52" s="130"/>
      <c r="P52" s="130"/>
      <c r="Q52" s="130"/>
      <c r="R52" s="130"/>
      <c r="S52" s="130"/>
      <c r="T52" s="130"/>
      <c r="U52" s="130"/>
      <c r="V52" s="130"/>
      <c r="W52" s="130"/>
    </row>
    <row r="53" spans="3:23" x14ac:dyDescent="0.25">
      <c r="C53" s="130"/>
      <c r="D53" s="130"/>
      <c r="E53" s="130"/>
      <c r="F53" s="130"/>
      <c r="G53" s="130"/>
      <c r="H53" s="130"/>
      <c r="I53" s="130"/>
      <c r="J53" s="130"/>
      <c r="K53" s="130"/>
      <c r="L53" s="130"/>
      <c r="M53" s="130"/>
      <c r="N53" s="130"/>
      <c r="O53" s="130"/>
      <c r="P53" s="130"/>
      <c r="Q53" s="130"/>
      <c r="R53" s="130"/>
      <c r="S53" s="130"/>
      <c r="T53" s="130"/>
      <c r="U53" s="130"/>
      <c r="V53" s="130"/>
      <c r="W53" s="130"/>
    </row>
    <row r="54" spans="3:23" x14ac:dyDescent="0.25">
      <c r="C54" s="130"/>
      <c r="D54" s="130"/>
      <c r="E54" s="130"/>
      <c r="F54" s="130"/>
      <c r="G54" s="130"/>
      <c r="H54" s="130"/>
      <c r="I54" s="130"/>
      <c r="J54" s="130"/>
      <c r="K54" s="130"/>
      <c r="L54" s="130"/>
      <c r="M54" s="130"/>
      <c r="N54" s="130"/>
      <c r="O54" s="130"/>
      <c r="P54" s="130"/>
      <c r="Q54" s="130"/>
      <c r="R54" s="130"/>
      <c r="S54" s="130"/>
      <c r="T54" s="130"/>
      <c r="U54" s="130"/>
      <c r="V54" s="130"/>
      <c r="W54" s="130"/>
    </row>
    <row r="55" spans="3:23" x14ac:dyDescent="0.25">
      <c r="C55" s="130"/>
      <c r="D55" s="130"/>
      <c r="E55" s="130"/>
      <c r="F55" s="130"/>
      <c r="G55" s="130"/>
      <c r="H55" s="130"/>
      <c r="I55" s="130"/>
      <c r="J55" s="130"/>
      <c r="K55" s="130"/>
      <c r="L55" s="130"/>
      <c r="M55" s="130"/>
      <c r="N55" s="130"/>
      <c r="O55" s="130"/>
      <c r="P55" s="130"/>
      <c r="Q55" s="130"/>
      <c r="R55" s="130"/>
      <c r="S55" s="130"/>
      <c r="T55" s="130"/>
      <c r="U55" s="130"/>
      <c r="V55" s="130"/>
      <c r="W55" s="130"/>
    </row>
    <row r="56" spans="3:23" x14ac:dyDescent="0.25">
      <c r="C56" s="130"/>
      <c r="D56" s="130"/>
      <c r="E56" s="130"/>
      <c r="F56" s="130"/>
      <c r="G56" s="130"/>
      <c r="H56" s="130"/>
      <c r="I56" s="130"/>
      <c r="J56" s="130"/>
      <c r="K56" s="130"/>
      <c r="L56" s="130"/>
      <c r="M56" s="130"/>
      <c r="N56" s="130"/>
      <c r="O56" s="130"/>
      <c r="P56" s="130"/>
      <c r="Q56" s="130"/>
      <c r="R56" s="130"/>
      <c r="S56" s="130"/>
      <c r="T56" s="130"/>
      <c r="U56" s="130"/>
      <c r="V56" s="130"/>
      <c r="W56" s="130"/>
    </row>
    <row r="57" spans="3:23" x14ac:dyDescent="0.25">
      <c r="C57" s="130"/>
      <c r="D57" s="130"/>
      <c r="E57" s="130"/>
      <c r="F57" s="130"/>
      <c r="G57" s="130"/>
      <c r="H57" s="130"/>
      <c r="I57" s="130"/>
      <c r="J57" s="130"/>
      <c r="K57" s="130"/>
      <c r="L57" s="130"/>
      <c r="M57" s="130"/>
      <c r="N57" s="130"/>
      <c r="O57" s="130"/>
      <c r="P57" s="130"/>
      <c r="Q57" s="130"/>
      <c r="R57" s="130"/>
      <c r="S57" s="130"/>
      <c r="T57" s="130"/>
      <c r="U57" s="130"/>
      <c r="V57" s="130"/>
      <c r="W57" s="130"/>
    </row>
    <row r="58" spans="3:23" x14ac:dyDescent="0.25">
      <c r="C58" s="130"/>
      <c r="D58" s="130"/>
      <c r="E58" s="130"/>
      <c r="F58" s="130"/>
      <c r="G58" s="130"/>
      <c r="H58" s="130"/>
      <c r="I58" s="130"/>
      <c r="J58" s="130"/>
      <c r="K58" s="130"/>
      <c r="L58" s="130"/>
      <c r="M58" s="130"/>
      <c r="N58" s="130"/>
      <c r="O58" s="130"/>
      <c r="P58" s="130"/>
      <c r="Q58" s="130"/>
      <c r="R58" s="130"/>
      <c r="S58" s="130"/>
      <c r="T58" s="130"/>
      <c r="U58" s="130"/>
      <c r="V58" s="130"/>
      <c r="W58" s="130"/>
    </row>
    <row r="59" spans="3:23" x14ac:dyDescent="0.25">
      <c r="C59" s="130"/>
      <c r="D59" s="130"/>
      <c r="E59" s="130"/>
      <c r="F59" s="130"/>
      <c r="G59" s="130"/>
      <c r="H59" s="130"/>
      <c r="I59" s="130"/>
      <c r="J59" s="130"/>
      <c r="K59" s="130"/>
      <c r="L59" s="130"/>
      <c r="M59" s="130"/>
      <c r="N59" s="130"/>
      <c r="O59" s="130"/>
      <c r="P59" s="130"/>
      <c r="Q59" s="130"/>
      <c r="R59" s="130"/>
      <c r="S59" s="130"/>
      <c r="T59" s="130"/>
      <c r="U59" s="130"/>
      <c r="V59" s="130"/>
      <c r="W59" s="130"/>
    </row>
    <row r="60" spans="3:23" x14ac:dyDescent="0.25">
      <c r="C60" s="130"/>
      <c r="D60" s="130"/>
      <c r="E60" s="130"/>
      <c r="F60" s="130"/>
      <c r="G60" s="130"/>
      <c r="H60" s="130"/>
      <c r="I60" s="130"/>
      <c r="J60" s="130"/>
      <c r="K60" s="130"/>
      <c r="L60" s="130"/>
      <c r="M60" s="130"/>
      <c r="N60" s="130"/>
      <c r="O60" s="130"/>
      <c r="P60" s="130"/>
      <c r="Q60" s="130"/>
      <c r="R60" s="130"/>
      <c r="S60" s="130"/>
      <c r="T60" s="130"/>
      <c r="U60" s="130"/>
      <c r="V60" s="130"/>
      <c r="W60" s="130"/>
    </row>
    <row r="61" spans="3:23" x14ac:dyDescent="0.25">
      <c r="C61" s="130"/>
      <c r="D61" s="130"/>
      <c r="E61" s="130"/>
      <c r="F61" s="130"/>
      <c r="G61" s="130"/>
      <c r="H61" s="130"/>
      <c r="I61" s="130"/>
      <c r="J61" s="130"/>
      <c r="K61" s="130"/>
      <c r="L61" s="130"/>
      <c r="M61" s="130"/>
      <c r="N61" s="130"/>
      <c r="O61" s="130"/>
      <c r="P61" s="130"/>
      <c r="Q61" s="130"/>
      <c r="R61" s="130"/>
      <c r="S61" s="130"/>
      <c r="T61" s="130"/>
      <c r="U61" s="130"/>
      <c r="V61" s="130"/>
      <c r="W61" s="130"/>
    </row>
    <row r="62" spans="3:23" x14ac:dyDescent="0.25">
      <c r="C62" s="130"/>
      <c r="D62" s="130"/>
      <c r="E62" s="130"/>
      <c r="F62" s="130"/>
      <c r="G62" s="130"/>
      <c r="H62" s="130"/>
      <c r="I62" s="130"/>
      <c r="J62" s="130"/>
      <c r="K62" s="130"/>
      <c r="L62" s="130"/>
      <c r="M62" s="130"/>
      <c r="N62" s="130"/>
      <c r="O62" s="130"/>
      <c r="P62" s="130"/>
      <c r="Q62" s="130"/>
      <c r="R62" s="130"/>
      <c r="S62" s="130"/>
      <c r="T62" s="130"/>
      <c r="U62" s="130"/>
      <c r="V62" s="130"/>
      <c r="W62" s="130"/>
    </row>
    <row r="63" spans="3:23" x14ac:dyDescent="0.25">
      <c r="C63" s="130"/>
      <c r="D63" s="130"/>
      <c r="E63" s="130"/>
      <c r="F63" s="130"/>
      <c r="G63" s="130"/>
      <c r="H63" s="130"/>
      <c r="I63" s="130"/>
      <c r="J63" s="130"/>
      <c r="K63" s="130"/>
      <c r="L63" s="130"/>
      <c r="M63" s="130"/>
      <c r="N63" s="130"/>
      <c r="O63" s="130"/>
      <c r="P63" s="130"/>
      <c r="Q63" s="130"/>
      <c r="R63" s="130"/>
      <c r="S63" s="130"/>
      <c r="T63" s="130"/>
      <c r="U63" s="130"/>
      <c r="V63" s="130"/>
      <c r="W63" s="130"/>
    </row>
    <row r="64" spans="3:23" x14ac:dyDescent="0.25">
      <c r="C64" s="130"/>
      <c r="D64" s="130"/>
      <c r="E64" s="130"/>
      <c r="F64" s="130"/>
      <c r="G64" s="130"/>
      <c r="H64" s="130"/>
      <c r="I64" s="130"/>
      <c r="J64" s="130"/>
      <c r="K64" s="130"/>
      <c r="L64" s="130"/>
      <c r="M64" s="130"/>
      <c r="N64" s="130"/>
      <c r="O64" s="130"/>
      <c r="P64" s="130"/>
      <c r="Q64" s="130"/>
      <c r="R64" s="130"/>
      <c r="S64" s="130"/>
      <c r="T64" s="130"/>
      <c r="U64" s="130"/>
      <c r="V64" s="130"/>
      <c r="W64" s="130"/>
    </row>
    <row r="65" spans="2:44" x14ac:dyDescent="0.25">
      <c r="C65" s="130"/>
      <c r="D65" s="130"/>
      <c r="E65" s="130"/>
      <c r="F65" s="130"/>
      <c r="G65" s="130"/>
      <c r="H65" s="130"/>
      <c r="I65" s="130"/>
      <c r="J65" s="130"/>
      <c r="K65" s="130"/>
      <c r="L65" s="130"/>
      <c r="M65" s="130"/>
      <c r="N65" s="130"/>
      <c r="O65" s="130"/>
      <c r="P65" s="130"/>
      <c r="Q65" s="130"/>
      <c r="R65" s="130"/>
      <c r="S65" s="130"/>
      <c r="T65" s="130"/>
      <c r="U65" s="130"/>
      <c r="V65" s="130"/>
      <c r="W65" s="130"/>
    </row>
    <row r="66" spans="2:44" x14ac:dyDescent="0.25">
      <c r="C66" s="130"/>
      <c r="D66" s="130"/>
      <c r="E66" s="130"/>
      <c r="F66" s="130"/>
      <c r="G66" s="130"/>
      <c r="H66" s="130"/>
      <c r="I66" s="130"/>
      <c r="J66" s="130"/>
      <c r="K66" s="130"/>
      <c r="L66" s="130"/>
      <c r="M66" s="130"/>
      <c r="N66" s="130"/>
      <c r="O66" s="130"/>
      <c r="P66" s="130"/>
      <c r="Q66" s="130"/>
      <c r="R66" s="130"/>
      <c r="S66" s="130"/>
      <c r="T66" s="130"/>
      <c r="U66" s="130"/>
      <c r="V66" s="130"/>
      <c r="W66" s="130"/>
    </row>
    <row r="67" spans="2:44" x14ac:dyDescent="0.25">
      <c r="C67" s="130"/>
      <c r="D67" s="130"/>
      <c r="E67" s="130"/>
      <c r="F67" s="130"/>
      <c r="G67" s="130"/>
      <c r="H67" s="130"/>
      <c r="I67" s="130"/>
      <c r="J67" s="130"/>
      <c r="K67" s="130"/>
      <c r="L67" s="130"/>
      <c r="M67" s="130"/>
      <c r="N67" s="130"/>
      <c r="O67" s="130"/>
      <c r="P67" s="130"/>
      <c r="Q67" s="130"/>
      <c r="R67" s="130"/>
      <c r="S67" s="130"/>
      <c r="T67" s="130"/>
      <c r="U67" s="130"/>
      <c r="V67" s="130"/>
      <c r="W67" s="130"/>
    </row>
    <row r="68" spans="2:44" x14ac:dyDescent="0.25">
      <c r="C68" s="130"/>
      <c r="D68" s="130"/>
      <c r="E68" s="130"/>
      <c r="F68" s="130"/>
      <c r="G68" s="130"/>
      <c r="H68" s="130"/>
      <c r="I68" s="130"/>
      <c r="J68" s="130"/>
      <c r="K68" s="130"/>
      <c r="L68" s="130"/>
      <c r="M68" s="130"/>
      <c r="N68" s="130"/>
      <c r="O68" s="130"/>
      <c r="P68" s="130"/>
      <c r="Q68" s="130"/>
      <c r="R68" s="130"/>
      <c r="S68" s="130"/>
      <c r="T68" s="130"/>
      <c r="U68" s="130"/>
      <c r="V68" s="130"/>
      <c r="W68" s="130"/>
    </row>
    <row r="69" spans="2:44" ht="15.75" x14ac:dyDescent="0.25">
      <c r="C69" s="149" t="s">
        <v>423</v>
      </c>
      <c r="D69" s="130"/>
      <c r="E69" s="130"/>
      <c r="F69" s="130"/>
      <c r="G69" s="130"/>
      <c r="H69" s="130"/>
      <c r="I69" s="130"/>
      <c r="J69" s="130"/>
      <c r="K69" s="130"/>
      <c r="L69" s="130"/>
      <c r="M69" s="130"/>
      <c r="N69" s="130"/>
      <c r="O69" s="130"/>
      <c r="P69" s="130"/>
      <c r="Q69" s="130"/>
      <c r="R69" s="130"/>
      <c r="S69" s="130"/>
      <c r="T69" s="130"/>
      <c r="U69" s="130"/>
      <c r="V69" s="130"/>
    </row>
    <row r="70" spans="2:44" x14ac:dyDescent="0.25">
      <c r="C70" s="130"/>
      <c r="D70" s="385" t="s">
        <v>507</v>
      </c>
      <c r="E70" s="385"/>
      <c r="F70" s="385" t="s">
        <v>508</v>
      </c>
      <c r="G70" s="385"/>
      <c r="H70" s="176"/>
      <c r="K70" s="130"/>
      <c r="L70" s="130"/>
      <c r="M70" s="130"/>
      <c r="N70" s="130"/>
      <c r="O70" s="130"/>
      <c r="P70" s="130"/>
      <c r="Q70" s="130"/>
      <c r="R70" s="130"/>
    </row>
    <row r="71" spans="2:44" s="138" customFormat="1" x14ac:dyDescent="0.25">
      <c r="B71" s="139"/>
      <c r="C71" s="140"/>
      <c r="D71" s="140" t="s">
        <v>492</v>
      </c>
      <c r="E71" s="140" t="s">
        <v>506</v>
      </c>
      <c r="F71" s="140" t="s">
        <v>492</v>
      </c>
      <c r="G71" s="140" t="s">
        <v>506</v>
      </c>
      <c r="H71" s="130"/>
      <c r="I71" s="130"/>
      <c r="J71" s="130"/>
      <c r="K71" s="130"/>
      <c r="L71" s="130"/>
      <c r="M71" s="130"/>
      <c r="N71" s="130"/>
      <c r="O71" s="130"/>
      <c r="P71" s="140"/>
      <c r="Q71" s="140"/>
      <c r="R71" s="140"/>
      <c r="S71" s="140"/>
      <c r="T71" s="140"/>
      <c r="U71" s="140"/>
      <c r="V71" s="140"/>
      <c r="W71" s="140"/>
      <c r="X71" s="140"/>
      <c r="Y71" s="140"/>
      <c r="Z71" s="140"/>
      <c r="AA71" s="140"/>
      <c r="AB71" s="140"/>
      <c r="AC71" s="140"/>
      <c r="AD71" s="140"/>
      <c r="AE71" s="140"/>
      <c r="AF71" s="140"/>
      <c r="AG71" s="140"/>
      <c r="AH71" s="140"/>
      <c r="AI71" s="140"/>
      <c r="AJ71" s="140"/>
      <c r="AK71" s="140"/>
      <c r="AL71" s="140"/>
      <c r="AM71" s="140"/>
      <c r="AN71" s="140"/>
      <c r="AO71" s="140"/>
      <c r="AP71" s="140"/>
      <c r="AQ71" s="140"/>
      <c r="AR71" s="140"/>
    </row>
    <row r="72" spans="2:44" ht="30" x14ac:dyDescent="0.25">
      <c r="C72" s="177" t="s">
        <v>509</v>
      </c>
      <c r="D72" s="131" t="e">
        <f>D21</f>
        <v>#REF!</v>
      </c>
      <c r="E72" s="131">
        <f>D22</f>
        <v>458.33333333333331</v>
      </c>
      <c r="F72" s="131" t="e">
        <f>F21</f>
        <v>#REF!</v>
      </c>
      <c r="G72" s="131">
        <f>F22</f>
        <v>456.16666666666669</v>
      </c>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row>
    <row r="73" spans="2:44" x14ac:dyDescent="0.25">
      <c r="C73" s="130"/>
      <c r="D73" s="130"/>
      <c r="E73" s="132" t="e">
        <f>ABS(E74)</f>
        <v>#REF!</v>
      </c>
      <c r="F73" s="130"/>
      <c r="G73" s="132" t="e">
        <f>ABS(G74)</f>
        <v>#REF!</v>
      </c>
      <c r="P73" s="132"/>
      <c r="Q73" s="132"/>
      <c r="R73" s="132"/>
      <c r="S73" s="132"/>
      <c r="T73" s="132"/>
      <c r="U73" s="132"/>
      <c r="V73" s="132"/>
      <c r="W73" s="132"/>
      <c r="X73" s="132"/>
      <c r="Y73" s="132"/>
      <c r="Z73" s="132"/>
      <c r="AA73" s="132"/>
      <c r="AB73" s="132"/>
      <c r="AC73" s="132"/>
      <c r="AD73" s="132"/>
      <c r="AE73" s="132"/>
      <c r="AF73" s="132"/>
      <c r="AG73" s="132"/>
      <c r="AH73" s="132"/>
      <c r="AI73" s="132"/>
      <c r="AJ73" s="132"/>
      <c r="AK73" s="132"/>
      <c r="AL73" s="132"/>
      <c r="AM73" s="132"/>
      <c r="AN73" s="132"/>
      <c r="AO73" s="132"/>
      <c r="AP73" s="132"/>
      <c r="AQ73" s="132"/>
      <c r="AR73" s="132"/>
    </row>
    <row r="74" spans="2:44" x14ac:dyDescent="0.25">
      <c r="C74" s="130"/>
      <c r="D74" s="133"/>
      <c r="E74" s="133" t="e">
        <f>E72-D72</f>
        <v>#REF!</v>
      </c>
      <c r="F74" s="133"/>
      <c r="G74" s="133" t="e">
        <f>G72-F72</f>
        <v>#REF!</v>
      </c>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3"/>
    </row>
    <row r="75" spans="2:44" ht="30" x14ac:dyDescent="0.25">
      <c r="C75" s="177" t="s">
        <v>510</v>
      </c>
      <c r="D75" s="131" t="e">
        <f>D72</f>
        <v>#REF!</v>
      </c>
      <c r="E75" s="131" t="e">
        <f>E22</f>
        <v>#REF!</v>
      </c>
      <c r="F75" s="131" t="e">
        <f>F72</f>
        <v>#REF!</v>
      </c>
      <c r="G75" s="131" t="e">
        <f>G22</f>
        <v>#REF!</v>
      </c>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row>
    <row r="76" spans="2:44" x14ac:dyDescent="0.25">
      <c r="C76" s="130"/>
      <c r="D76" s="130"/>
      <c r="E76" s="132" t="e">
        <f>ABS(E77)</f>
        <v>#REF!</v>
      </c>
      <c r="F76" s="130"/>
      <c r="G76" s="132" t="e">
        <f>ABS(G77)</f>
        <v>#REF!</v>
      </c>
      <c r="P76" s="132"/>
      <c r="Q76" s="132"/>
      <c r="R76" s="132"/>
      <c r="S76" s="132"/>
      <c r="T76" s="132"/>
      <c r="U76" s="132"/>
      <c r="V76" s="132"/>
      <c r="W76" s="132"/>
      <c r="X76" s="132"/>
      <c r="Y76" s="132"/>
      <c r="Z76" s="132"/>
      <c r="AA76" s="132"/>
      <c r="AB76" s="132"/>
      <c r="AC76" s="132"/>
      <c r="AD76" s="132"/>
      <c r="AE76" s="132"/>
      <c r="AF76" s="132"/>
      <c r="AG76" s="132"/>
      <c r="AH76" s="132"/>
      <c r="AI76" s="132"/>
      <c r="AJ76" s="132"/>
      <c r="AK76" s="132"/>
      <c r="AL76" s="132"/>
      <c r="AM76" s="132"/>
      <c r="AN76" s="132"/>
      <c r="AO76" s="132"/>
      <c r="AP76" s="132"/>
      <c r="AQ76" s="132"/>
      <c r="AR76" s="132"/>
    </row>
    <row r="77" spans="2:44" x14ac:dyDescent="0.25">
      <c r="B77" s="164"/>
      <c r="C77" s="133"/>
      <c r="D77" s="133"/>
      <c r="E77" s="133" t="e">
        <f>E75-D75</f>
        <v>#REF!</v>
      </c>
      <c r="F77" s="133"/>
      <c r="G77" s="133" t="e">
        <f>G75-F75</f>
        <v>#REF!</v>
      </c>
      <c r="P77" s="133"/>
      <c r="Q77" s="133"/>
      <c r="R77" s="133"/>
      <c r="S77" s="133"/>
      <c r="T77" s="133"/>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3"/>
    </row>
    <row r="78" spans="2:44" x14ac:dyDescent="0.25">
      <c r="C78" s="130"/>
      <c r="D78" s="130"/>
      <c r="E78" s="130"/>
      <c r="F78" s="130"/>
      <c r="G78" s="130"/>
      <c r="H78" s="130"/>
      <c r="I78" s="130"/>
      <c r="J78" s="130"/>
      <c r="S78" s="130"/>
      <c r="T78" s="130"/>
      <c r="U78" s="130"/>
      <c r="V78" s="130"/>
      <c r="W78" s="130"/>
    </row>
    <row r="79" spans="2:44" x14ac:dyDescent="0.25">
      <c r="C79" s="130"/>
      <c r="D79" s="130"/>
      <c r="E79" s="130"/>
      <c r="F79" s="130"/>
      <c r="G79" s="130"/>
      <c r="H79" s="130"/>
      <c r="I79" s="130"/>
      <c r="J79" s="130"/>
      <c r="S79" s="130"/>
      <c r="T79" s="130"/>
      <c r="U79" s="130"/>
      <c r="V79" s="130"/>
      <c r="W79" s="130"/>
    </row>
  </sheetData>
  <mergeCells count="3">
    <mergeCell ref="D70:E70"/>
    <mergeCell ref="F70:G70"/>
    <mergeCell ref="A2:A3"/>
  </mergeCells>
  <pageMargins left="0.7" right="0.7" top="0.75" bottom="0.75" header="0.3" footer="0.3"/>
  <pageSetup paperSize="9" orientation="portrait" r:id="rId1"/>
  <ignoredErrors>
    <ignoredError sqref="E12 D11:E11 G11 G12" calculatedColumn="1"/>
  </ignoredErrors>
  <drawing r:id="rId2"/>
  <tableParts count="7">
    <tablePart r:id="rId3"/>
    <tablePart r:id="rId4"/>
    <tablePart r:id="rId5"/>
    <tablePart r:id="rId6"/>
    <tablePart r:id="rId7"/>
    <tablePart r:id="rId8"/>
    <tablePart r:id="rId9"/>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5D68D-0557-4754-AA20-11C56F41F733}">
  <sheetPr>
    <tabColor rgb="FFFFB13F"/>
  </sheetPr>
  <dimension ref="A1:BC165"/>
  <sheetViews>
    <sheetView showGridLines="0" topLeftCell="B1" zoomScale="85" zoomScaleNormal="85" workbookViewId="0">
      <pane ySplit="3" topLeftCell="A4" activePane="bottomLeft" state="frozen"/>
      <selection pane="bottomLeft" activeCell="G11" sqref="G11"/>
    </sheetView>
  </sheetViews>
  <sheetFormatPr defaultColWidth="10.5703125" defaultRowHeight="15" outlineLevelCol="1" x14ac:dyDescent="0.25"/>
  <cols>
    <col min="1" max="1" width="100.5703125" hidden="1" customWidth="1" outlineLevel="1"/>
    <col min="2" max="2" width="10.5703125" style="6" customWidth="1" collapsed="1"/>
    <col min="3" max="3" width="45.5703125" customWidth="1"/>
    <col min="4" max="4" width="15" customWidth="1"/>
    <col min="5" max="5" width="10.5703125" bestFit="1" customWidth="1"/>
    <col min="6" max="6" width="14.5703125" bestFit="1" customWidth="1"/>
    <col min="7" max="7" width="15.42578125" bestFit="1" customWidth="1"/>
    <col min="8" max="8" width="14.5703125" bestFit="1" customWidth="1"/>
    <col min="9" max="9" width="14.5703125" customWidth="1"/>
    <col min="10" max="10" width="14.5703125" bestFit="1" customWidth="1"/>
    <col min="11" max="11" width="15.5703125" customWidth="1"/>
    <col min="12" max="12" width="10.5703125" bestFit="1" customWidth="1"/>
    <col min="13" max="13" width="12.42578125" customWidth="1"/>
    <col min="14" max="14" width="14.5703125" bestFit="1" customWidth="1"/>
    <col min="15" max="15" width="15.42578125" bestFit="1" customWidth="1"/>
    <col min="16" max="16" width="16.5703125" customWidth="1"/>
    <col min="17" max="17" width="18.42578125" customWidth="1"/>
    <col min="18" max="18" width="14.5703125" bestFit="1" customWidth="1"/>
    <col min="19" max="19" width="15.42578125" bestFit="1" customWidth="1"/>
    <col min="22" max="22" width="14.5703125" bestFit="1" customWidth="1"/>
    <col min="23" max="23" width="15.42578125" bestFit="1" customWidth="1"/>
  </cols>
  <sheetData>
    <row r="1" spans="1:55" ht="15" customHeight="1" x14ac:dyDescent="0.25">
      <c r="A1" s="1" t="s">
        <v>20</v>
      </c>
      <c r="B1" s="21"/>
      <c r="C1" s="22"/>
      <c r="D1" s="22"/>
      <c r="E1" s="22"/>
      <c r="F1" s="22"/>
      <c r="G1" s="22"/>
      <c r="H1" s="22"/>
      <c r="I1" s="22"/>
      <c r="J1" s="22"/>
      <c r="K1" s="22"/>
      <c r="L1" s="22"/>
      <c r="M1" s="22"/>
      <c r="N1" s="22"/>
      <c r="O1" s="22"/>
      <c r="P1" s="22"/>
      <c r="Q1" s="22"/>
      <c r="R1" s="22"/>
      <c r="S1" s="22"/>
      <c r="T1" s="22"/>
      <c r="U1" s="22"/>
      <c r="V1" s="22"/>
      <c r="W1" s="22"/>
      <c r="X1" s="22"/>
      <c r="Y1" s="22"/>
      <c r="Z1" s="22"/>
    </row>
    <row r="2" spans="1:55" s="4" customFormat="1" ht="50.1" customHeight="1" x14ac:dyDescent="0.25">
      <c r="A2" s="382" t="s">
        <v>21</v>
      </c>
      <c r="B2" s="25"/>
      <c r="C2" s="25" t="str">
        <f>Disclaimer!$B$1</f>
        <v>VDO calculation model</v>
      </c>
      <c r="D2" s="25"/>
      <c r="E2" s="25"/>
      <c r="F2" s="25"/>
      <c r="G2" s="25"/>
      <c r="H2" s="25"/>
      <c r="I2" s="25"/>
      <c r="J2" s="25"/>
      <c r="K2" s="25"/>
      <c r="L2" s="25"/>
      <c r="M2" s="25"/>
      <c r="N2" s="25"/>
      <c r="O2" s="25"/>
      <c r="P2" s="25"/>
      <c r="Q2" s="25"/>
      <c r="R2" s="25"/>
      <c r="S2" s="25"/>
      <c r="T2" s="25"/>
      <c r="U2" s="25"/>
      <c r="V2" s="25"/>
      <c r="W2" s="25"/>
      <c r="X2" s="25"/>
      <c r="Y2" s="25"/>
      <c r="Z2" s="25"/>
    </row>
    <row r="3" spans="1:55" s="4" customFormat="1" ht="30" customHeight="1" x14ac:dyDescent="0.25">
      <c r="A3" s="383"/>
      <c r="B3" s="27">
        <f ca="1">_xlfn.SHEET()</f>
        <v>24</v>
      </c>
      <c r="C3" s="26" t="s">
        <v>439</v>
      </c>
      <c r="D3" s="26"/>
      <c r="E3" s="26"/>
      <c r="F3" s="26"/>
      <c r="G3" s="26"/>
      <c r="H3" s="26"/>
      <c r="I3" s="26"/>
      <c r="J3" s="26"/>
      <c r="K3" s="26"/>
      <c r="L3" s="26"/>
      <c r="M3" s="26"/>
      <c r="N3" s="26"/>
      <c r="O3" s="26"/>
      <c r="P3" s="26"/>
      <c r="Q3" s="26"/>
      <c r="R3" s="26"/>
      <c r="S3" s="26"/>
      <c r="T3" s="26"/>
      <c r="U3" s="26"/>
      <c r="V3" s="26"/>
      <c r="W3" s="26"/>
      <c r="X3" s="26"/>
      <c r="Y3" s="26"/>
      <c r="Z3" s="26"/>
    </row>
    <row r="4" spans="1:55" x14ac:dyDescent="0.25">
      <c r="B4"/>
    </row>
    <row r="5" spans="1:55" ht="16.5" thickBot="1" x14ac:dyDescent="0.3">
      <c r="A5" s="1" t="s">
        <v>23</v>
      </c>
      <c r="B5" s="9">
        <f ca="1">MAX(B$3:B4)+0.1</f>
        <v>24.1</v>
      </c>
      <c r="C5" s="28" t="s">
        <v>433</v>
      </c>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row>
    <row r="6" spans="1:55" x14ac:dyDescent="0.25">
      <c r="Q6" s="165"/>
    </row>
    <row r="7" spans="1:55" ht="15.75" x14ac:dyDescent="0.25">
      <c r="C7" s="29" t="s">
        <v>453</v>
      </c>
      <c r="Q7" s="165"/>
    </row>
    <row r="8" spans="1:55" ht="15.75" x14ac:dyDescent="0.25">
      <c r="C8" s="43" t="s">
        <v>6</v>
      </c>
      <c r="D8" s="60" t="s">
        <v>268</v>
      </c>
      <c r="E8" s="60" t="s">
        <v>269</v>
      </c>
      <c r="F8" s="60" t="s">
        <v>270</v>
      </c>
      <c r="G8" s="60" t="s">
        <v>271</v>
      </c>
      <c r="H8" s="60" t="s">
        <v>272</v>
      </c>
      <c r="I8" s="163" t="s">
        <v>447</v>
      </c>
      <c r="Q8" s="165"/>
    </row>
    <row r="9" spans="1:55" x14ac:dyDescent="0.25">
      <c r="C9" s="82" t="s">
        <v>255</v>
      </c>
      <c r="D9" s="137">
        <f>ROUNDUP(1645.0868307369,0)</f>
        <v>1646</v>
      </c>
      <c r="E9" s="137">
        <f>ROUNDUP(1419.6034655694,0)</f>
        <v>1420</v>
      </c>
      <c r="F9" s="137">
        <f>ROUNDUP(1495.43737702661,0)</f>
        <v>1496</v>
      </c>
      <c r="G9" s="137">
        <f>ROUNDUP(1516.79037731658,0)</f>
        <v>1517</v>
      </c>
      <c r="H9" s="137">
        <f>ROUNDUP(1507.72468254172,0)</f>
        <v>1508</v>
      </c>
      <c r="I9" s="161">
        <f>AVERAGE(HYBills_RES110[[#This Row],[Ausnet]:[United Energy]])</f>
        <v>1517.4</v>
      </c>
      <c r="Q9" s="165"/>
    </row>
    <row r="10" spans="1:55" x14ac:dyDescent="0.25">
      <c r="C10" s="82"/>
      <c r="D10" s="137"/>
      <c r="E10" s="137"/>
      <c r="F10" s="137"/>
      <c r="G10" s="137"/>
      <c r="H10" s="137"/>
      <c r="I10" s="161"/>
      <c r="Q10" s="165"/>
    </row>
    <row r="11" spans="1:55" x14ac:dyDescent="0.25">
      <c r="C11" s="82" t="s">
        <v>571</v>
      </c>
      <c r="D11" s="137" t="e">
        <f>'CH_Bill impacts full year 2'!#REF!</f>
        <v>#REF!</v>
      </c>
      <c r="E11" s="137" t="e">
        <f>'CH_Bill impacts full year 2'!#REF!</f>
        <v>#REF!</v>
      </c>
      <c r="F11" s="137" t="e">
        <f>'CH_Bill impacts full year 2'!#REF!</f>
        <v>#REF!</v>
      </c>
      <c r="G11" s="137" t="e">
        <f>'CH_Bill impacts full year 2'!#REF!</f>
        <v>#REF!</v>
      </c>
      <c r="H11" s="137" t="e">
        <f>'CH_Bill impacts full year 2'!#REF!</f>
        <v>#REF!</v>
      </c>
      <c r="I11" s="137" t="e">
        <f>AVERAGE(HYBills_RES110[[#This Row],[Ausnet]:[United Energy]])</f>
        <v>#REF!</v>
      </c>
      <c r="Q11" s="165"/>
    </row>
    <row r="12" spans="1:55" x14ac:dyDescent="0.25">
      <c r="C12" s="189" t="s">
        <v>564</v>
      </c>
      <c r="D12" s="137" t="e">
        <f t="shared" ref="D12:I12" si="0">D11-D$9</f>
        <v>#REF!</v>
      </c>
      <c r="E12" s="137" t="e">
        <f t="shared" si="0"/>
        <v>#REF!</v>
      </c>
      <c r="F12" s="137" t="e">
        <f t="shared" si="0"/>
        <v>#REF!</v>
      </c>
      <c r="G12" s="137" t="e">
        <f t="shared" si="0"/>
        <v>#REF!</v>
      </c>
      <c r="H12" s="137" t="e">
        <f t="shared" si="0"/>
        <v>#REF!</v>
      </c>
      <c r="I12" s="137" t="e">
        <f t="shared" si="0"/>
        <v>#REF!</v>
      </c>
      <c r="Q12" s="165"/>
    </row>
    <row r="13" spans="1:55" x14ac:dyDescent="0.25">
      <c r="C13" s="189" t="s">
        <v>565</v>
      </c>
      <c r="D13" s="191" t="e">
        <f t="shared" ref="D13:I13" si="1">D12/D$9</f>
        <v>#REF!</v>
      </c>
      <c r="E13" s="191" t="e">
        <f t="shared" si="1"/>
        <v>#REF!</v>
      </c>
      <c r="F13" s="191" t="e">
        <f t="shared" si="1"/>
        <v>#REF!</v>
      </c>
      <c r="G13" s="191" t="e">
        <f t="shared" si="1"/>
        <v>#REF!</v>
      </c>
      <c r="H13" s="191" t="e">
        <f t="shared" si="1"/>
        <v>#REF!</v>
      </c>
      <c r="I13" s="191" t="e">
        <f t="shared" si="1"/>
        <v>#REF!</v>
      </c>
      <c r="Q13" s="165"/>
    </row>
    <row r="14" spans="1:55" x14ac:dyDescent="0.25">
      <c r="C14" s="192"/>
      <c r="D14" s="191"/>
      <c r="E14" s="191"/>
      <c r="F14" s="191"/>
      <c r="G14" s="191"/>
      <c r="H14" s="191"/>
      <c r="I14" s="191"/>
      <c r="Q14" s="165"/>
    </row>
    <row r="15" spans="1:55" x14ac:dyDescent="0.25">
      <c r="C15" s="82" t="s">
        <v>572</v>
      </c>
      <c r="D15" s="137" t="e">
        <f>'CH_Bill impacts full year 2'!#REF!</f>
        <v>#REF!</v>
      </c>
      <c r="E15" s="137" t="e">
        <f>'CH_Bill impacts full year 2'!#REF!</f>
        <v>#REF!</v>
      </c>
      <c r="F15" s="137" t="e">
        <f>'CH_Bill impacts full year 2'!#REF!</f>
        <v>#REF!</v>
      </c>
      <c r="G15" s="137" t="e">
        <f>'CH_Bill impacts full year 2'!#REF!</f>
        <v>#REF!</v>
      </c>
      <c r="H15" s="137" t="e">
        <f>'CH_Bill impacts full year 2'!#REF!</f>
        <v>#REF!</v>
      </c>
      <c r="I15" s="161" t="e">
        <f>AVERAGE(HYBills_RES110[[#This Row],[Ausnet]:[United Energy]])</f>
        <v>#REF!</v>
      </c>
      <c r="Q15" s="165"/>
    </row>
    <row r="16" spans="1:55" x14ac:dyDescent="0.25">
      <c r="C16" s="189" t="s">
        <v>573</v>
      </c>
      <c r="D16" s="137" t="e">
        <f t="shared" ref="D16:I16" si="2">D15-D$11</f>
        <v>#REF!</v>
      </c>
      <c r="E16" s="137" t="e">
        <f t="shared" si="2"/>
        <v>#REF!</v>
      </c>
      <c r="F16" s="137" t="e">
        <f t="shared" si="2"/>
        <v>#REF!</v>
      </c>
      <c r="G16" s="137" t="e">
        <f t="shared" si="2"/>
        <v>#REF!</v>
      </c>
      <c r="H16" s="137" t="e">
        <f t="shared" si="2"/>
        <v>#REF!</v>
      </c>
      <c r="I16" s="137" t="e">
        <f t="shared" si="2"/>
        <v>#REF!</v>
      </c>
      <c r="Q16" s="165"/>
    </row>
    <row r="17" spans="3:23" x14ac:dyDescent="0.25">
      <c r="C17" s="189" t="s">
        <v>574</v>
      </c>
      <c r="D17" s="191" t="e">
        <f t="shared" ref="D17:I17" si="3">D16/D$11</f>
        <v>#REF!</v>
      </c>
      <c r="E17" s="191" t="e">
        <f t="shared" si="3"/>
        <v>#REF!</v>
      </c>
      <c r="F17" s="191" t="e">
        <f t="shared" si="3"/>
        <v>#REF!</v>
      </c>
      <c r="G17" s="191" t="e">
        <f t="shared" si="3"/>
        <v>#REF!</v>
      </c>
      <c r="H17" s="191" t="e">
        <f t="shared" si="3"/>
        <v>#REF!</v>
      </c>
      <c r="I17" s="191" t="e">
        <f t="shared" si="3"/>
        <v>#REF!</v>
      </c>
      <c r="Q17" s="165"/>
    </row>
    <row r="18" spans="3:23" x14ac:dyDescent="0.25">
      <c r="C18" s="192"/>
      <c r="D18" s="137"/>
      <c r="E18" s="137"/>
      <c r="F18" s="137"/>
      <c r="G18" s="137"/>
      <c r="H18" s="137"/>
      <c r="I18" s="161"/>
      <c r="Q18" s="165"/>
    </row>
    <row r="19" spans="3:23" x14ac:dyDescent="0.25">
      <c r="C19" s="82" t="s">
        <v>567</v>
      </c>
      <c r="D19" s="137" t="e">
        <f>D11*M8_Prop</f>
        <v>#REF!</v>
      </c>
      <c r="E19" s="137" t="e">
        <f>E11*M8_Prop</f>
        <v>#REF!</v>
      </c>
      <c r="F19" s="137" t="e">
        <f>F11*M8_Prop</f>
        <v>#REF!</v>
      </c>
      <c r="G19" s="137" t="e">
        <f>G11*M8_Prop</f>
        <v>#REF!</v>
      </c>
      <c r="H19" s="137" t="e">
        <f>H11*M8_Prop</f>
        <v>#REF!</v>
      </c>
      <c r="I19" s="161" t="e">
        <f>AVERAGE(HYBills_RES110[[#This Row],[Ausnet]:[United Energy]])</f>
        <v>#REF!</v>
      </c>
      <c r="Q19" s="165"/>
    </row>
    <row r="20" spans="3:23" x14ac:dyDescent="0.25">
      <c r="C20" s="82" t="s">
        <v>568</v>
      </c>
      <c r="D20" s="137" t="e">
        <f>D15*M4_Prop</f>
        <v>#REF!</v>
      </c>
      <c r="E20" s="137" t="e">
        <f>E15*M4_Prop</f>
        <v>#REF!</v>
      </c>
      <c r="F20" s="137" t="e">
        <f>F15*M4_Prop</f>
        <v>#REF!</v>
      </c>
      <c r="G20" s="137" t="e">
        <f>G15*M4_Prop</f>
        <v>#REF!</v>
      </c>
      <c r="H20" s="137" t="e">
        <f>H15*M4_Prop</f>
        <v>#REF!</v>
      </c>
      <c r="I20" s="161" t="e">
        <f>AVERAGE(HYBills_RES110[[#This Row],[Ausnet]:[United Energy]])</f>
        <v>#REF!</v>
      </c>
      <c r="Q20" s="165"/>
    </row>
    <row r="21" spans="3:23" x14ac:dyDescent="0.25">
      <c r="C21" s="82" t="s">
        <v>566</v>
      </c>
      <c r="D21" s="161" t="e">
        <f>SUM(D19:D20)</f>
        <v>#REF!</v>
      </c>
      <c r="E21" s="161" t="e">
        <f t="shared" ref="E21:I21" si="4">SUM(E19:E20)</f>
        <v>#REF!</v>
      </c>
      <c r="F21" s="161" t="e">
        <f t="shared" si="4"/>
        <v>#REF!</v>
      </c>
      <c r="G21" s="161" t="e">
        <f t="shared" si="4"/>
        <v>#REF!</v>
      </c>
      <c r="H21" s="161" t="e">
        <f t="shared" si="4"/>
        <v>#REF!</v>
      </c>
      <c r="I21" s="137" t="e">
        <f t="shared" si="4"/>
        <v>#REF!</v>
      </c>
      <c r="Q21" s="165"/>
    </row>
    <row r="22" spans="3:23" x14ac:dyDescent="0.25">
      <c r="C22" s="189" t="s">
        <v>578</v>
      </c>
      <c r="D22" s="137" t="e">
        <f t="shared" ref="D22:I22" si="5">D21-D$9</f>
        <v>#REF!</v>
      </c>
      <c r="E22" s="137" t="e">
        <f t="shared" si="5"/>
        <v>#REF!</v>
      </c>
      <c r="F22" s="137" t="e">
        <f t="shared" si="5"/>
        <v>#REF!</v>
      </c>
      <c r="G22" s="137" t="e">
        <f t="shared" si="5"/>
        <v>#REF!</v>
      </c>
      <c r="H22" s="137" t="e">
        <f t="shared" si="5"/>
        <v>#REF!</v>
      </c>
      <c r="I22" s="137" t="e">
        <f t="shared" si="5"/>
        <v>#REF!</v>
      </c>
      <c r="Q22" s="165"/>
    </row>
    <row r="23" spans="3:23" x14ac:dyDescent="0.25">
      <c r="C23" s="189" t="s">
        <v>579</v>
      </c>
      <c r="D23" s="191" t="e">
        <f t="shared" ref="D23:I23" si="6">D22/D$9</f>
        <v>#REF!</v>
      </c>
      <c r="E23" s="191" t="e">
        <f t="shared" si="6"/>
        <v>#REF!</v>
      </c>
      <c r="F23" s="191" t="e">
        <f t="shared" si="6"/>
        <v>#REF!</v>
      </c>
      <c r="G23" s="191" t="e">
        <f t="shared" si="6"/>
        <v>#REF!</v>
      </c>
      <c r="H23" s="191" t="e">
        <f t="shared" si="6"/>
        <v>#REF!</v>
      </c>
      <c r="I23" s="191" t="e">
        <f t="shared" si="6"/>
        <v>#REF!</v>
      </c>
      <c r="Q23" s="165"/>
    </row>
    <row r="24" spans="3:23" x14ac:dyDescent="0.25">
      <c r="C24" s="189"/>
      <c r="D24" s="161"/>
      <c r="E24" s="161"/>
      <c r="F24" s="161"/>
      <c r="G24" s="161"/>
      <c r="H24" s="161"/>
      <c r="I24" s="137"/>
      <c r="Q24" s="165"/>
    </row>
    <row r="25" spans="3:23" x14ac:dyDescent="0.25">
      <c r="C25" s="189" t="s">
        <v>581</v>
      </c>
      <c r="D25" s="193" t="e">
        <f t="shared" ref="D25:I25" si="7">D16*TM_Prop*TU_Prop</f>
        <v>#REF!</v>
      </c>
      <c r="E25" s="193" t="e">
        <f t="shared" si="7"/>
        <v>#REF!</v>
      </c>
      <c r="F25" s="193" t="e">
        <f t="shared" si="7"/>
        <v>#REF!</v>
      </c>
      <c r="G25" s="193" t="e">
        <f t="shared" si="7"/>
        <v>#REF!</v>
      </c>
      <c r="H25" s="193" t="e">
        <f t="shared" si="7"/>
        <v>#REF!</v>
      </c>
      <c r="I25" s="194" t="e">
        <f t="shared" si="7"/>
        <v>#REF!</v>
      </c>
      <c r="Q25" s="165"/>
    </row>
    <row r="26" spans="3:23" x14ac:dyDescent="0.25">
      <c r="C26" s="189" t="s">
        <v>569</v>
      </c>
      <c r="D26" s="161" t="e">
        <f t="shared" ref="D26:I26" si="8">SUM(D21,D25)</f>
        <v>#REF!</v>
      </c>
      <c r="E26" s="161" t="e">
        <f t="shared" si="8"/>
        <v>#REF!</v>
      </c>
      <c r="F26" s="161" t="e">
        <f t="shared" si="8"/>
        <v>#REF!</v>
      </c>
      <c r="G26" s="161" t="e">
        <f t="shared" si="8"/>
        <v>#REF!</v>
      </c>
      <c r="H26" s="161" t="e">
        <f t="shared" si="8"/>
        <v>#REF!</v>
      </c>
      <c r="I26" s="137" t="e">
        <f t="shared" si="8"/>
        <v>#REF!</v>
      </c>
      <c r="Q26" s="165"/>
    </row>
    <row r="27" spans="3:23" x14ac:dyDescent="0.25">
      <c r="C27" s="190" t="s">
        <v>576</v>
      </c>
      <c r="D27" s="137" t="e">
        <f t="shared" ref="D27:I27" si="9">D26-D$9</f>
        <v>#REF!</v>
      </c>
      <c r="E27" s="137" t="e">
        <f t="shared" si="9"/>
        <v>#REF!</v>
      </c>
      <c r="F27" s="137" t="e">
        <f t="shared" si="9"/>
        <v>#REF!</v>
      </c>
      <c r="G27" s="137" t="e">
        <f t="shared" si="9"/>
        <v>#REF!</v>
      </c>
      <c r="H27" s="137" t="e">
        <f t="shared" si="9"/>
        <v>#REF!</v>
      </c>
      <c r="I27" s="137" t="e">
        <f t="shared" si="9"/>
        <v>#REF!</v>
      </c>
      <c r="Q27" s="165"/>
    </row>
    <row r="28" spans="3:23" x14ac:dyDescent="0.25">
      <c r="C28" s="190" t="s">
        <v>577</v>
      </c>
      <c r="D28" s="191" t="e">
        <f t="shared" ref="D28:I28" si="10">D27/D$9</f>
        <v>#REF!</v>
      </c>
      <c r="E28" s="191" t="e">
        <f t="shared" si="10"/>
        <v>#REF!</v>
      </c>
      <c r="F28" s="191" t="e">
        <f t="shared" si="10"/>
        <v>#REF!</v>
      </c>
      <c r="G28" s="191" t="e">
        <f t="shared" si="10"/>
        <v>#REF!</v>
      </c>
      <c r="H28" s="191" t="e">
        <f t="shared" si="10"/>
        <v>#REF!</v>
      </c>
      <c r="I28" s="191" t="e">
        <f t="shared" si="10"/>
        <v>#REF!</v>
      </c>
      <c r="Q28" s="165"/>
    </row>
    <row r="29" spans="3:23" x14ac:dyDescent="0.25">
      <c r="C29" s="130"/>
      <c r="D29" s="130"/>
      <c r="E29" s="130"/>
      <c r="F29" s="130"/>
      <c r="G29" s="130"/>
      <c r="H29" s="130"/>
      <c r="I29" s="130"/>
      <c r="J29" s="130"/>
      <c r="K29" s="130"/>
      <c r="L29" s="130"/>
      <c r="M29" s="130"/>
      <c r="N29" s="130"/>
      <c r="O29" s="130"/>
      <c r="P29" s="130"/>
      <c r="Q29" s="130"/>
      <c r="R29" s="130"/>
      <c r="S29" s="130"/>
      <c r="T29" s="130"/>
      <c r="U29" s="130"/>
      <c r="V29" s="130"/>
      <c r="W29" s="130"/>
    </row>
    <row r="30" spans="3:23" ht="15.75" x14ac:dyDescent="0.25">
      <c r="C30" s="29" t="s">
        <v>583</v>
      </c>
      <c r="J30" s="130"/>
      <c r="K30" s="130"/>
      <c r="L30" s="130"/>
      <c r="M30" s="130"/>
      <c r="N30" s="130"/>
      <c r="O30" s="130"/>
      <c r="P30" s="130"/>
      <c r="Q30" s="130"/>
      <c r="R30" s="130"/>
      <c r="S30" s="130"/>
      <c r="T30" s="130"/>
      <c r="U30" s="130"/>
      <c r="V30" s="130"/>
      <c r="W30" s="130"/>
    </row>
    <row r="31" spans="3:23" ht="15.75" x14ac:dyDescent="0.25">
      <c r="C31" s="43" t="s">
        <v>6</v>
      </c>
      <c r="D31" s="60" t="s">
        <v>268</v>
      </c>
      <c r="E31" s="60" t="s">
        <v>269</v>
      </c>
      <c r="F31" s="60" t="s">
        <v>270</v>
      </c>
      <c r="G31" s="60" t="s">
        <v>271</v>
      </c>
      <c r="H31" s="60" t="s">
        <v>272</v>
      </c>
      <c r="I31" s="163" t="s">
        <v>447</v>
      </c>
      <c r="J31" s="130"/>
      <c r="K31" s="130"/>
      <c r="L31" s="130"/>
      <c r="M31" s="130"/>
      <c r="N31" s="130"/>
      <c r="O31" s="130"/>
      <c r="P31" s="130"/>
      <c r="Q31" s="130"/>
      <c r="R31" s="130"/>
      <c r="S31" s="130"/>
      <c r="T31" s="130"/>
      <c r="U31" s="130"/>
      <c r="V31" s="130"/>
      <c r="W31" s="130"/>
    </row>
    <row r="32" spans="3:23" x14ac:dyDescent="0.25">
      <c r="C32" s="82" t="s">
        <v>255</v>
      </c>
      <c r="D32" s="137">
        <f>D9</f>
        <v>1646</v>
      </c>
      <c r="E32" s="137">
        <f>E9</f>
        <v>1420</v>
      </c>
      <c r="F32" s="137">
        <f>F9</f>
        <v>1496</v>
      </c>
      <c r="G32" s="137">
        <f>G9</f>
        <v>1517</v>
      </c>
      <c r="H32" s="137">
        <f>H9</f>
        <v>1508</v>
      </c>
      <c r="I32" s="137">
        <f>AVERAGE(HYBills_RES11098[[#This Row],[Ausnet]:[United Energy]])</f>
        <v>1517.4</v>
      </c>
      <c r="J32" s="130"/>
      <c r="K32" s="130"/>
      <c r="L32" s="130"/>
      <c r="M32" s="130"/>
      <c r="N32" s="130"/>
      <c r="O32" s="130"/>
      <c r="P32" s="130"/>
      <c r="Q32" s="130"/>
      <c r="R32" s="130"/>
      <c r="S32" s="130"/>
      <c r="T32" s="130"/>
      <c r="U32" s="130"/>
      <c r="V32" s="130"/>
      <c r="W32" s="130"/>
    </row>
    <row r="33" spans="3:23" x14ac:dyDescent="0.25">
      <c r="C33" s="82"/>
      <c r="D33" s="137"/>
      <c r="E33" s="137"/>
      <c r="F33" s="137"/>
      <c r="G33" s="137"/>
      <c r="H33" s="137"/>
      <c r="I33" s="137"/>
      <c r="J33" s="130"/>
      <c r="K33" s="130"/>
      <c r="L33" s="130"/>
      <c r="M33" s="130"/>
      <c r="N33" s="130"/>
      <c r="O33" s="130"/>
      <c r="P33" s="130"/>
      <c r="Q33" s="130"/>
      <c r="R33" s="130"/>
      <c r="S33" s="130"/>
      <c r="T33" s="130"/>
      <c r="U33" s="130"/>
      <c r="V33" s="130"/>
      <c r="W33" s="130"/>
    </row>
    <row r="34" spans="3:23" x14ac:dyDescent="0.25">
      <c r="C34" s="82" t="s">
        <v>571</v>
      </c>
      <c r="D34" s="137" t="e">
        <f>'CH_Bill impacts full year 2'!#REF!</f>
        <v>#REF!</v>
      </c>
      <c r="E34" s="137" t="e">
        <f>'CH_Bill impacts full year 2'!#REF!</f>
        <v>#REF!</v>
      </c>
      <c r="F34" s="137" t="e">
        <f>'CH_Bill impacts full year 2'!#REF!</f>
        <v>#REF!</v>
      </c>
      <c r="G34" s="137" t="e">
        <f>'CH_Bill impacts full year 2'!#REF!</f>
        <v>#REF!</v>
      </c>
      <c r="H34" s="137" t="e">
        <f>'CH_Bill impacts full year 2'!#REF!</f>
        <v>#REF!</v>
      </c>
      <c r="I34" s="137" t="e">
        <f>AVERAGE(HYBills_RES11098[[#This Row],[Ausnet]:[United Energy]])</f>
        <v>#REF!</v>
      </c>
      <c r="J34" s="130"/>
      <c r="K34" s="130"/>
      <c r="L34" s="130"/>
      <c r="M34" s="130"/>
      <c r="N34" s="130"/>
      <c r="O34" s="130"/>
      <c r="P34" s="130"/>
      <c r="Q34" s="130"/>
      <c r="R34" s="130"/>
      <c r="S34" s="130"/>
      <c r="T34" s="130"/>
      <c r="U34" s="130"/>
      <c r="V34" s="130"/>
      <c r="W34" s="130"/>
    </row>
    <row r="35" spans="3:23" x14ac:dyDescent="0.25">
      <c r="C35" s="189" t="s">
        <v>564</v>
      </c>
      <c r="D35" s="137" t="e">
        <f t="shared" ref="D35:I35" si="11">D34-D$32</f>
        <v>#REF!</v>
      </c>
      <c r="E35" s="137" t="e">
        <f t="shared" si="11"/>
        <v>#REF!</v>
      </c>
      <c r="F35" s="137" t="e">
        <f t="shared" si="11"/>
        <v>#REF!</v>
      </c>
      <c r="G35" s="137" t="e">
        <f t="shared" si="11"/>
        <v>#REF!</v>
      </c>
      <c r="H35" s="137" t="e">
        <f t="shared" si="11"/>
        <v>#REF!</v>
      </c>
      <c r="I35" s="137" t="e">
        <f t="shared" si="11"/>
        <v>#REF!</v>
      </c>
      <c r="J35" s="130"/>
      <c r="K35" s="130"/>
      <c r="L35" s="130"/>
      <c r="M35" s="130"/>
      <c r="N35" s="130"/>
      <c r="O35" s="130"/>
      <c r="P35" s="130"/>
      <c r="Q35" s="130"/>
      <c r="R35" s="130"/>
      <c r="S35" s="130"/>
      <c r="T35" s="130"/>
      <c r="U35" s="130"/>
      <c r="V35" s="130"/>
      <c r="W35" s="130"/>
    </row>
    <row r="36" spans="3:23" x14ac:dyDescent="0.25">
      <c r="C36" s="189" t="s">
        <v>565</v>
      </c>
      <c r="D36" s="191" t="e">
        <f t="shared" ref="D36:I36" si="12">D35/D$32</f>
        <v>#REF!</v>
      </c>
      <c r="E36" s="191" t="e">
        <f t="shared" si="12"/>
        <v>#REF!</v>
      </c>
      <c r="F36" s="191" t="e">
        <f t="shared" si="12"/>
        <v>#REF!</v>
      </c>
      <c r="G36" s="191" t="e">
        <f t="shared" si="12"/>
        <v>#REF!</v>
      </c>
      <c r="H36" s="191" t="e">
        <f t="shared" si="12"/>
        <v>#REF!</v>
      </c>
      <c r="I36" s="191" t="e">
        <f t="shared" si="12"/>
        <v>#REF!</v>
      </c>
      <c r="J36" s="130"/>
      <c r="K36" s="130"/>
      <c r="L36" s="130"/>
      <c r="M36" s="130"/>
      <c r="N36" s="130"/>
      <c r="O36" s="130"/>
      <c r="P36" s="130"/>
      <c r="Q36" s="130"/>
      <c r="R36" s="130"/>
      <c r="S36" s="130"/>
      <c r="T36" s="130"/>
      <c r="U36" s="130"/>
      <c r="V36" s="130"/>
      <c r="W36" s="130"/>
    </row>
    <row r="37" spans="3:23" x14ac:dyDescent="0.25">
      <c r="C37" s="192"/>
      <c r="D37" s="191"/>
      <c r="E37" s="191"/>
      <c r="F37" s="191"/>
      <c r="G37" s="191"/>
      <c r="H37" s="191"/>
      <c r="I37" s="191"/>
      <c r="J37" s="130"/>
      <c r="K37" s="130"/>
      <c r="L37" s="130"/>
      <c r="M37" s="130"/>
      <c r="N37" s="130"/>
      <c r="O37" s="130"/>
      <c r="P37" s="130"/>
      <c r="Q37" s="130"/>
      <c r="R37" s="130"/>
      <c r="S37" s="130"/>
      <c r="T37" s="130"/>
      <c r="U37" s="130"/>
      <c r="V37" s="130"/>
      <c r="W37" s="130"/>
    </row>
    <row r="38" spans="3:23" x14ac:dyDescent="0.25">
      <c r="C38" s="82" t="s">
        <v>572</v>
      </c>
      <c r="D38" s="137" t="e">
        <f>'CH_Bill impacts full year 2'!#REF!</f>
        <v>#REF!</v>
      </c>
      <c r="E38" s="137" t="e">
        <f>'CH_Bill impacts full year 2'!#REF!</f>
        <v>#REF!</v>
      </c>
      <c r="F38" s="137" t="e">
        <f>'CH_Bill impacts full year 2'!#REF!</f>
        <v>#REF!</v>
      </c>
      <c r="G38" s="137" t="e">
        <f>'CH_Bill impacts full year 2'!#REF!</f>
        <v>#REF!</v>
      </c>
      <c r="H38" s="137" t="e">
        <f>'CH_Bill impacts full year 2'!#REF!</f>
        <v>#REF!</v>
      </c>
      <c r="I38" s="137" t="e">
        <f>AVERAGE(HYBills_RES11098[[#This Row],[Ausnet]:[United Energy]])</f>
        <v>#REF!</v>
      </c>
      <c r="J38" s="130"/>
      <c r="K38" s="130"/>
      <c r="L38" s="130"/>
      <c r="M38" s="130"/>
      <c r="N38" s="130"/>
      <c r="O38" s="130"/>
      <c r="P38" s="130"/>
      <c r="Q38" s="130"/>
      <c r="R38" s="130"/>
      <c r="S38" s="130"/>
      <c r="T38" s="130"/>
      <c r="U38" s="130"/>
      <c r="V38" s="130"/>
      <c r="W38" s="130"/>
    </row>
    <row r="39" spans="3:23" x14ac:dyDescent="0.25">
      <c r="C39" s="189" t="s">
        <v>573</v>
      </c>
      <c r="D39" s="137" t="e">
        <f t="shared" ref="D39:I39" si="13">D38-D$34</f>
        <v>#REF!</v>
      </c>
      <c r="E39" s="137" t="e">
        <f t="shared" si="13"/>
        <v>#REF!</v>
      </c>
      <c r="F39" s="137" t="e">
        <f t="shared" si="13"/>
        <v>#REF!</v>
      </c>
      <c r="G39" s="137" t="e">
        <f t="shared" si="13"/>
        <v>#REF!</v>
      </c>
      <c r="H39" s="137" t="e">
        <f t="shared" si="13"/>
        <v>#REF!</v>
      </c>
      <c r="I39" s="137" t="e">
        <f t="shared" si="13"/>
        <v>#REF!</v>
      </c>
      <c r="J39" s="130"/>
      <c r="K39" s="130"/>
      <c r="L39" s="130"/>
      <c r="M39" s="130"/>
      <c r="N39" s="130"/>
      <c r="O39" s="130"/>
      <c r="P39" s="130"/>
      <c r="Q39" s="130"/>
      <c r="R39" s="130"/>
      <c r="S39" s="130"/>
      <c r="T39" s="130"/>
      <c r="U39" s="130"/>
      <c r="V39" s="130"/>
      <c r="W39" s="130"/>
    </row>
    <row r="40" spans="3:23" x14ac:dyDescent="0.25">
      <c r="C40" s="189" t="s">
        <v>574</v>
      </c>
      <c r="D40" s="191" t="e">
        <f t="shared" ref="D40:I40" si="14">D39/D$34</f>
        <v>#REF!</v>
      </c>
      <c r="E40" s="191" t="e">
        <f t="shared" si="14"/>
        <v>#REF!</v>
      </c>
      <c r="F40" s="191" t="e">
        <f t="shared" si="14"/>
        <v>#REF!</v>
      </c>
      <c r="G40" s="191" t="e">
        <f t="shared" si="14"/>
        <v>#REF!</v>
      </c>
      <c r="H40" s="191" t="e">
        <f t="shared" si="14"/>
        <v>#REF!</v>
      </c>
      <c r="I40" s="191" t="e">
        <f t="shared" si="14"/>
        <v>#REF!</v>
      </c>
      <c r="J40" s="130"/>
      <c r="K40" s="130"/>
      <c r="L40" s="130"/>
      <c r="M40" s="130"/>
      <c r="N40" s="130"/>
      <c r="O40" s="130"/>
      <c r="P40" s="130"/>
      <c r="Q40" s="130"/>
      <c r="R40" s="130"/>
      <c r="S40" s="130"/>
      <c r="T40" s="130"/>
      <c r="U40" s="130"/>
      <c r="V40" s="130"/>
      <c r="W40" s="130"/>
    </row>
    <row r="41" spans="3:23" x14ac:dyDescent="0.25">
      <c r="C41" s="192"/>
      <c r="D41" s="137"/>
      <c r="E41" s="137"/>
      <c r="F41" s="137"/>
      <c r="G41" s="137"/>
      <c r="H41" s="137"/>
      <c r="I41" s="137"/>
      <c r="J41" s="130"/>
      <c r="K41" s="130"/>
      <c r="L41" s="130"/>
      <c r="M41" s="130"/>
      <c r="N41" s="130"/>
      <c r="O41" s="130"/>
      <c r="P41" s="130"/>
      <c r="Q41" s="130"/>
      <c r="R41" s="130"/>
      <c r="S41" s="130"/>
      <c r="T41" s="130"/>
      <c r="U41" s="130"/>
      <c r="V41" s="130"/>
      <c r="W41" s="130"/>
    </row>
    <row r="42" spans="3:23" x14ac:dyDescent="0.25">
      <c r="C42" s="82" t="s">
        <v>567</v>
      </c>
      <c r="D42" s="137" t="e">
        <f>D34*M8_Prop</f>
        <v>#REF!</v>
      </c>
      <c r="E42" s="137" t="e">
        <f>E34*M8_Prop</f>
        <v>#REF!</v>
      </c>
      <c r="F42" s="137" t="e">
        <f>F34*M8_Prop</f>
        <v>#REF!</v>
      </c>
      <c r="G42" s="137" t="e">
        <f>G34*M8_Prop</f>
        <v>#REF!</v>
      </c>
      <c r="H42" s="137" t="e">
        <f>H34*M8_Prop</f>
        <v>#REF!</v>
      </c>
      <c r="I42" s="137" t="e">
        <f>AVERAGE(HYBills_RES11098[[#This Row],[Ausnet]:[United Energy]])</f>
        <v>#REF!</v>
      </c>
      <c r="J42" s="130"/>
      <c r="K42" s="130"/>
      <c r="L42" s="130"/>
      <c r="M42" s="130"/>
      <c r="N42" s="130"/>
      <c r="O42" s="130"/>
      <c r="P42" s="130"/>
      <c r="Q42" s="130"/>
      <c r="R42" s="130"/>
      <c r="S42" s="130"/>
      <c r="T42" s="130"/>
      <c r="U42" s="130"/>
      <c r="V42" s="130"/>
      <c r="W42" s="130"/>
    </row>
    <row r="43" spans="3:23" x14ac:dyDescent="0.25">
      <c r="C43" s="82" t="s">
        <v>568</v>
      </c>
      <c r="D43" s="137" t="e">
        <f>D38*M4_Prop</f>
        <v>#REF!</v>
      </c>
      <c r="E43" s="137" t="e">
        <f>E38*M4_Prop</f>
        <v>#REF!</v>
      </c>
      <c r="F43" s="137" t="e">
        <f>F38*M4_Prop</f>
        <v>#REF!</v>
      </c>
      <c r="G43" s="137" t="e">
        <f>G38*M4_Prop</f>
        <v>#REF!</v>
      </c>
      <c r="H43" s="137" t="e">
        <f>H38*M4_Prop</f>
        <v>#REF!</v>
      </c>
      <c r="I43" s="137" t="e">
        <f>AVERAGE(HYBills_RES11098[[#This Row],[Ausnet]:[United Energy]])</f>
        <v>#REF!</v>
      </c>
      <c r="J43" s="130"/>
      <c r="K43" s="130"/>
      <c r="L43" s="130"/>
      <c r="M43" s="130"/>
      <c r="N43" s="130"/>
      <c r="O43" s="130"/>
      <c r="P43" s="130"/>
      <c r="Q43" s="130"/>
      <c r="R43" s="130"/>
      <c r="S43" s="130"/>
      <c r="T43" s="130"/>
      <c r="U43" s="130"/>
      <c r="V43" s="130"/>
      <c r="W43" s="130"/>
    </row>
    <row r="44" spans="3:23" x14ac:dyDescent="0.25">
      <c r="C44" s="82" t="s">
        <v>566</v>
      </c>
      <c r="D44" s="137" t="e">
        <f t="shared" ref="D44:I44" si="15">SUM(D42:D43)</f>
        <v>#REF!</v>
      </c>
      <c r="E44" s="137" t="e">
        <f t="shared" si="15"/>
        <v>#REF!</v>
      </c>
      <c r="F44" s="137" t="e">
        <f t="shared" si="15"/>
        <v>#REF!</v>
      </c>
      <c r="G44" s="137" t="e">
        <f t="shared" si="15"/>
        <v>#REF!</v>
      </c>
      <c r="H44" s="137" t="e">
        <f t="shared" si="15"/>
        <v>#REF!</v>
      </c>
      <c r="I44" s="137" t="e">
        <f t="shared" si="15"/>
        <v>#REF!</v>
      </c>
      <c r="J44" s="130"/>
      <c r="K44" s="130"/>
      <c r="L44" s="130"/>
      <c r="M44" s="130"/>
      <c r="N44" s="130"/>
      <c r="O44" s="130"/>
      <c r="P44" s="130"/>
      <c r="Q44" s="130"/>
      <c r="R44" s="130"/>
      <c r="S44" s="130"/>
      <c r="T44" s="130"/>
      <c r="U44" s="130"/>
      <c r="V44" s="130"/>
      <c r="W44" s="130"/>
    </row>
    <row r="45" spans="3:23" x14ac:dyDescent="0.25">
      <c r="C45" s="189" t="s">
        <v>578</v>
      </c>
      <c r="D45" s="137" t="e">
        <f t="shared" ref="D45:I45" si="16">D44-D$32</f>
        <v>#REF!</v>
      </c>
      <c r="E45" s="137" t="e">
        <f t="shared" si="16"/>
        <v>#REF!</v>
      </c>
      <c r="F45" s="137" t="e">
        <f t="shared" si="16"/>
        <v>#REF!</v>
      </c>
      <c r="G45" s="137" t="e">
        <f t="shared" si="16"/>
        <v>#REF!</v>
      </c>
      <c r="H45" s="137" t="e">
        <f t="shared" si="16"/>
        <v>#REF!</v>
      </c>
      <c r="I45" s="137" t="e">
        <f t="shared" si="16"/>
        <v>#REF!</v>
      </c>
      <c r="J45" s="130"/>
      <c r="K45" s="130"/>
      <c r="L45" s="130"/>
      <c r="M45" s="130"/>
      <c r="N45" s="130"/>
      <c r="O45" s="130"/>
      <c r="P45" s="130"/>
      <c r="Q45" s="130"/>
      <c r="R45" s="130"/>
      <c r="S45" s="130"/>
      <c r="T45" s="130"/>
      <c r="U45" s="130"/>
      <c r="V45" s="130"/>
      <c r="W45" s="130"/>
    </row>
    <row r="46" spans="3:23" x14ac:dyDescent="0.25">
      <c r="C46" s="189" t="s">
        <v>579</v>
      </c>
      <c r="D46" s="191" t="e">
        <f t="shared" ref="D46:I46" si="17">D45/D$32</f>
        <v>#REF!</v>
      </c>
      <c r="E46" s="191" t="e">
        <f t="shared" si="17"/>
        <v>#REF!</v>
      </c>
      <c r="F46" s="191" t="e">
        <f t="shared" si="17"/>
        <v>#REF!</v>
      </c>
      <c r="G46" s="191" t="e">
        <f t="shared" si="17"/>
        <v>#REF!</v>
      </c>
      <c r="H46" s="191" t="e">
        <f t="shared" si="17"/>
        <v>#REF!</v>
      </c>
      <c r="I46" s="191" t="e">
        <f t="shared" si="17"/>
        <v>#REF!</v>
      </c>
      <c r="J46" s="130"/>
      <c r="K46" s="130"/>
      <c r="L46" s="130"/>
      <c r="M46" s="130"/>
      <c r="N46" s="130"/>
      <c r="O46" s="130"/>
      <c r="P46" s="130"/>
      <c r="Q46" s="130"/>
      <c r="R46" s="130"/>
      <c r="S46" s="130"/>
      <c r="T46" s="130"/>
      <c r="U46" s="130"/>
      <c r="V46" s="130"/>
      <c r="W46" s="130"/>
    </row>
    <row r="47" spans="3:23" x14ac:dyDescent="0.25">
      <c r="C47" s="189"/>
      <c r="D47" s="137"/>
      <c r="E47" s="137"/>
      <c r="F47" s="137"/>
      <c r="G47" s="137"/>
      <c r="H47" s="137"/>
      <c r="I47" s="137"/>
      <c r="J47" s="130"/>
      <c r="K47" s="130"/>
      <c r="L47" s="130"/>
      <c r="M47" s="130"/>
      <c r="N47" s="130"/>
      <c r="O47" s="130"/>
      <c r="P47" s="130"/>
      <c r="Q47" s="130"/>
      <c r="R47" s="130"/>
      <c r="S47" s="130"/>
      <c r="T47" s="130"/>
      <c r="U47" s="130"/>
      <c r="V47" s="130"/>
      <c r="W47" s="130"/>
    </row>
    <row r="48" spans="3:23" x14ac:dyDescent="0.25">
      <c r="C48" s="189" t="s">
        <v>581</v>
      </c>
      <c r="D48" s="194" t="e">
        <f t="shared" ref="D48:I48" si="18">D39*TM_Prop*TU_Prop</f>
        <v>#REF!</v>
      </c>
      <c r="E48" s="194" t="e">
        <f t="shared" si="18"/>
        <v>#REF!</v>
      </c>
      <c r="F48" s="194" t="e">
        <f t="shared" si="18"/>
        <v>#REF!</v>
      </c>
      <c r="G48" s="194" t="e">
        <f t="shared" si="18"/>
        <v>#REF!</v>
      </c>
      <c r="H48" s="194" t="e">
        <f t="shared" si="18"/>
        <v>#REF!</v>
      </c>
      <c r="I48" s="194" t="e">
        <f t="shared" si="18"/>
        <v>#REF!</v>
      </c>
      <c r="J48" s="130"/>
      <c r="K48" s="130"/>
      <c r="L48" s="130"/>
      <c r="M48" s="130"/>
      <c r="N48" s="130"/>
      <c r="O48" s="130"/>
      <c r="P48" s="130"/>
      <c r="Q48" s="130"/>
      <c r="R48" s="130"/>
      <c r="S48" s="130"/>
      <c r="T48" s="130"/>
      <c r="U48" s="130"/>
      <c r="V48" s="130"/>
      <c r="W48" s="130"/>
    </row>
    <row r="49" spans="3:23" x14ac:dyDescent="0.25">
      <c r="C49" s="189" t="s">
        <v>569</v>
      </c>
      <c r="D49" s="137" t="e">
        <f t="shared" ref="D49:I49" si="19">SUM(D44,D48)</f>
        <v>#REF!</v>
      </c>
      <c r="E49" s="137" t="e">
        <f t="shared" si="19"/>
        <v>#REF!</v>
      </c>
      <c r="F49" s="137" t="e">
        <f t="shared" si="19"/>
        <v>#REF!</v>
      </c>
      <c r="G49" s="137" t="e">
        <f t="shared" si="19"/>
        <v>#REF!</v>
      </c>
      <c r="H49" s="137" t="e">
        <f t="shared" si="19"/>
        <v>#REF!</v>
      </c>
      <c r="I49" s="137" t="e">
        <f t="shared" si="19"/>
        <v>#REF!</v>
      </c>
      <c r="J49" s="130"/>
      <c r="K49" s="130"/>
      <c r="L49" s="130"/>
      <c r="M49" s="130"/>
      <c r="N49" s="130"/>
      <c r="O49" s="130"/>
      <c r="P49" s="130"/>
      <c r="Q49" s="130"/>
      <c r="R49" s="130"/>
      <c r="S49" s="130"/>
      <c r="T49" s="130"/>
      <c r="U49" s="130"/>
      <c r="V49" s="130"/>
      <c r="W49" s="130"/>
    </row>
    <row r="50" spans="3:23" x14ac:dyDescent="0.25">
      <c r="C50" s="190" t="s">
        <v>576</v>
      </c>
      <c r="D50" s="137" t="e">
        <f t="shared" ref="D50:I50" si="20">D49-D$32</f>
        <v>#REF!</v>
      </c>
      <c r="E50" s="137" t="e">
        <f t="shared" si="20"/>
        <v>#REF!</v>
      </c>
      <c r="F50" s="137" t="e">
        <f t="shared" si="20"/>
        <v>#REF!</v>
      </c>
      <c r="G50" s="137" t="e">
        <f t="shared" si="20"/>
        <v>#REF!</v>
      </c>
      <c r="H50" s="137" t="e">
        <f t="shared" si="20"/>
        <v>#REF!</v>
      </c>
      <c r="I50" s="137" t="e">
        <f t="shared" si="20"/>
        <v>#REF!</v>
      </c>
      <c r="J50" s="130"/>
      <c r="K50" s="130"/>
      <c r="L50" s="130"/>
      <c r="M50" s="130"/>
      <c r="N50" s="130"/>
      <c r="O50" s="130"/>
      <c r="P50" s="130"/>
      <c r="Q50" s="130"/>
      <c r="R50" s="130"/>
      <c r="S50" s="130"/>
      <c r="T50" s="130"/>
      <c r="U50" s="130"/>
      <c r="V50" s="130"/>
      <c r="W50" s="130"/>
    </row>
    <row r="51" spans="3:23" x14ac:dyDescent="0.25">
      <c r="C51" s="190" t="s">
        <v>577</v>
      </c>
      <c r="D51" s="191" t="e">
        <f t="shared" ref="D51:I51" si="21">D50/D$32</f>
        <v>#REF!</v>
      </c>
      <c r="E51" s="191" t="e">
        <f t="shared" si="21"/>
        <v>#REF!</v>
      </c>
      <c r="F51" s="191" t="e">
        <f t="shared" si="21"/>
        <v>#REF!</v>
      </c>
      <c r="G51" s="191" t="e">
        <f t="shared" si="21"/>
        <v>#REF!</v>
      </c>
      <c r="H51" s="191" t="e">
        <f t="shared" si="21"/>
        <v>#REF!</v>
      </c>
      <c r="I51" s="191" t="e">
        <f t="shared" si="21"/>
        <v>#REF!</v>
      </c>
      <c r="J51" s="130"/>
      <c r="K51" s="130"/>
      <c r="L51" s="130"/>
      <c r="M51" s="130"/>
      <c r="N51" s="130"/>
      <c r="O51" s="130"/>
      <c r="P51" s="130"/>
      <c r="Q51" s="130"/>
      <c r="R51" s="130"/>
      <c r="S51" s="130"/>
      <c r="T51" s="130"/>
      <c r="U51" s="130"/>
      <c r="V51" s="130"/>
      <c r="W51" s="130"/>
    </row>
    <row r="52" spans="3:23" x14ac:dyDescent="0.25">
      <c r="C52" s="130"/>
      <c r="D52" s="130"/>
      <c r="E52" s="130"/>
      <c r="F52" s="130"/>
      <c r="G52" s="130"/>
      <c r="H52" s="130"/>
      <c r="I52" s="130"/>
      <c r="J52" s="130"/>
      <c r="K52" s="130"/>
      <c r="L52" s="130"/>
      <c r="M52" s="130"/>
      <c r="N52" s="130"/>
      <c r="O52" s="130"/>
      <c r="P52" s="130"/>
      <c r="Q52" s="130"/>
      <c r="R52" s="130"/>
      <c r="S52" s="130"/>
      <c r="T52" s="130"/>
      <c r="U52" s="130"/>
      <c r="V52" s="130"/>
      <c r="W52" s="130"/>
    </row>
    <row r="53" spans="3:23" ht="15.75" x14ac:dyDescent="0.25">
      <c r="C53" s="29" t="s">
        <v>452</v>
      </c>
      <c r="J53" s="130"/>
      <c r="K53" s="130"/>
      <c r="L53" s="130"/>
      <c r="M53" s="130"/>
      <c r="N53" s="130"/>
      <c r="O53" s="130"/>
      <c r="P53" s="130"/>
      <c r="Q53" s="130"/>
      <c r="R53" s="130"/>
      <c r="S53" s="130"/>
      <c r="T53" s="130"/>
      <c r="U53" s="130"/>
      <c r="V53" s="130"/>
      <c r="W53" s="130"/>
    </row>
    <row r="54" spans="3:23" ht="15.75" x14ac:dyDescent="0.25">
      <c r="C54" s="43" t="s">
        <v>6</v>
      </c>
      <c r="D54" s="60" t="s">
        <v>268</v>
      </c>
      <c r="E54" s="60" t="s">
        <v>269</v>
      </c>
      <c r="F54" s="60" t="s">
        <v>270</v>
      </c>
      <c r="G54" s="60" t="s">
        <v>271</v>
      </c>
      <c r="H54" s="60" t="s">
        <v>272</v>
      </c>
      <c r="I54" s="163" t="s">
        <v>447</v>
      </c>
      <c r="J54" s="130"/>
      <c r="K54" s="130"/>
      <c r="L54" s="130"/>
      <c r="M54" s="130"/>
      <c r="N54" s="130"/>
      <c r="O54" s="130"/>
      <c r="P54" s="130"/>
      <c r="Q54" s="130"/>
      <c r="R54" s="130"/>
      <c r="S54" s="130"/>
      <c r="T54" s="130"/>
      <c r="U54" s="130"/>
      <c r="V54" s="130"/>
      <c r="W54" s="130"/>
    </row>
    <row r="55" spans="3:23" x14ac:dyDescent="0.25">
      <c r="C55" s="82" t="s">
        <v>255</v>
      </c>
      <c r="D55" s="137">
        <f>ROUNDUP(7230.90166465541,0)</f>
        <v>7231</v>
      </c>
      <c r="E55" s="137">
        <f>ROUNDUP(5821.83026826193,0)</f>
        <v>5822</v>
      </c>
      <c r="F55" s="137">
        <f>ROUNDUP(6238.51778293806,0)</f>
        <v>6239</v>
      </c>
      <c r="G55" s="137">
        <f>ROUNDUP(5745.44669596493,0)</f>
        <v>5746</v>
      </c>
      <c r="H55" s="137">
        <f>ROUNDUP(6368.52952389927,0)</f>
        <v>6369</v>
      </c>
      <c r="I55" s="137">
        <f>AVERAGE(HYBills_RES11099[[#This Row],[Ausnet]:[United Energy]])</f>
        <v>6281.4</v>
      </c>
      <c r="J55" s="130"/>
      <c r="K55" s="130"/>
      <c r="L55" s="130"/>
      <c r="M55" s="130"/>
      <c r="N55" s="130"/>
      <c r="O55" s="130"/>
      <c r="P55" s="130"/>
      <c r="Q55" s="130"/>
      <c r="R55" s="130"/>
      <c r="S55" s="130"/>
      <c r="T55" s="130"/>
      <c r="U55" s="130"/>
      <c r="V55" s="130"/>
      <c r="W55" s="130"/>
    </row>
    <row r="56" spans="3:23" x14ac:dyDescent="0.25">
      <c r="C56" s="82"/>
      <c r="D56" s="137"/>
      <c r="E56" s="137"/>
      <c r="F56" s="137"/>
      <c r="G56" s="137"/>
      <c r="H56" s="137"/>
      <c r="I56" s="137"/>
      <c r="J56" s="130"/>
      <c r="K56" s="130"/>
      <c r="L56" s="130"/>
      <c r="M56" s="130"/>
      <c r="N56" s="130"/>
      <c r="O56" s="130"/>
      <c r="P56" s="130"/>
      <c r="Q56" s="130"/>
      <c r="R56" s="130"/>
      <c r="S56" s="130"/>
      <c r="T56" s="130"/>
      <c r="U56" s="130"/>
      <c r="V56" s="130"/>
      <c r="W56" s="130"/>
    </row>
    <row r="57" spans="3:23" x14ac:dyDescent="0.25">
      <c r="C57" s="82" t="s">
        <v>571</v>
      </c>
      <c r="D57" s="137" t="e">
        <f>'CH_Bill impacts full year 2'!#REF!</f>
        <v>#REF!</v>
      </c>
      <c r="E57" s="137" t="e">
        <f>'CH_Bill impacts full year 2'!#REF!</f>
        <v>#REF!</v>
      </c>
      <c r="F57" s="137" t="e">
        <f>'CH_Bill impacts full year 2'!#REF!</f>
        <v>#REF!</v>
      </c>
      <c r="G57" s="137" t="e">
        <f>'CH_Bill impacts full year 2'!#REF!</f>
        <v>#REF!</v>
      </c>
      <c r="H57" s="137" t="e">
        <f>'CH_Bill impacts full year 2'!#REF!</f>
        <v>#REF!</v>
      </c>
      <c r="I57" s="137" t="e">
        <f>AVERAGE(HYBills_RES11099[[#This Row],[Ausnet]:[United Energy]])</f>
        <v>#REF!</v>
      </c>
      <c r="J57" s="130"/>
      <c r="K57" s="130"/>
      <c r="L57" s="130"/>
      <c r="M57" s="130"/>
      <c r="N57" s="130"/>
      <c r="O57" s="130"/>
      <c r="P57" s="130"/>
      <c r="Q57" s="130"/>
      <c r="R57" s="130"/>
      <c r="S57" s="130"/>
      <c r="T57" s="130"/>
      <c r="U57" s="130"/>
      <c r="V57" s="130"/>
      <c r="W57" s="130"/>
    </row>
    <row r="58" spans="3:23" x14ac:dyDescent="0.25">
      <c r="C58" s="189" t="s">
        <v>564</v>
      </c>
      <c r="D58" s="137" t="e">
        <f t="shared" ref="D58:I58" si="22">D57-D$55</f>
        <v>#REF!</v>
      </c>
      <c r="E58" s="137" t="e">
        <f t="shared" si="22"/>
        <v>#REF!</v>
      </c>
      <c r="F58" s="137" t="e">
        <f t="shared" si="22"/>
        <v>#REF!</v>
      </c>
      <c r="G58" s="137" t="e">
        <f t="shared" si="22"/>
        <v>#REF!</v>
      </c>
      <c r="H58" s="137" t="e">
        <f t="shared" si="22"/>
        <v>#REF!</v>
      </c>
      <c r="I58" s="137" t="e">
        <f t="shared" si="22"/>
        <v>#REF!</v>
      </c>
      <c r="J58" s="130"/>
      <c r="K58" s="130"/>
      <c r="L58" s="130"/>
      <c r="M58" s="130"/>
      <c r="N58" s="130"/>
      <c r="O58" s="130"/>
      <c r="P58" s="130"/>
      <c r="Q58" s="130"/>
      <c r="R58" s="130"/>
      <c r="S58" s="130"/>
      <c r="T58" s="130"/>
      <c r="U58" s="130"/>
      <c r="V58" s="130"/>
      <c r="W58" s="130"/>
    </row>
    <row r="59" spans="3:23" x14ac:dyDescent="0.25">
      <c r="C59" s="189" t="s">
        <v>565</v>
      </c>
      <c r="D59" s="191" t="e">
        <f t="shared" ref="D59:I59" si="23">D58/D$55</f>
        <v>#REF!</v>
      </c>
      <c r="E59" s="191" t="e">
        <f t="shared" si="23"/>
        <v>#REF!</v>
      </c>
      <c r="F59" s="191" t="e">
        <f t="shared" si="23"/>
        <v>#REF!</v>
      </c>
      <c r="G59" s="191" t="e">
        <f t="shared" si="23"/>
        <v>#REF!</v>
      </c>
      <c r="H59" s="191" t="e">
        <f t="shared" si="23"/>
        <v>#REF!</v>
      </c>
      <c r="I59" s="191" t="e">
        <f t="shared" si="23"/>
        <v>#REF!</v>
      </c>
      <c r="J59" s="130"/>
      <c r="K59" s="130"/>
      <c r="L59" s="130"/>
      <c r="M59" s="130"/>
      <c r="N59" s="130"/>
      <c r="O59" s="130"/>
      <c r="P59" s="130"/>
      <c r="Q59" s="130"/>
      <c r="R59" s="130"/>
      <c r="S59" s="130"/>
      <c r="T59" s="130"/>
      <c r="U59" s="130"/>
      <c r="V59" s="130"/>
      <c r="W59" s="130"/>
    </row>
    <row r="60" spans="3:23" x14ac:dyDescent="0.25">
      <c r="C60" s="192"/>
      <c r="D60" s="191"/>
      <c r="E60" s="191"/>
      <c r="F60" s="191"/>
      <c r="G60" s="191"/>
      <c r="H60" s="191"/>
      <c r="I60" s="191"/>
      <c r="J60" s="130"/>
      <c r="K60" s="130"/>
      <c r="L60" s="130"/>
      <c r="M60" s="130"/>
      <c r="N60" s="130"/>
      <c r="O60" s="130"/>
      <c r="P60" s="130"/>
      <c r="Q60" s="130"/>
      <c r="R60" s="130"/>
      <c r="S60" s="130"/>
      <c r="T60" s="130"/>
      <c r="U60" s="130"/>
      <c r="V60" s="130"/>
      <c r="W60" s="130"/>
    </row>
    <row r="61" spans="3:23" x14ac:dyDescent="0.25">
      <c r="C61" s="82" t="s">
        <v>572</v>
      </c>
      <c r="D61" s="137" t="e">
        <f>'CH_Bill impacts full year 2'!#REF!</f>
        <v>#REF!</v>
      </c>
      <c r="E61" s="137" t="e">
        <f>'CH_Bill impacts full year 2'!#REF!</f>
        <v>#REF!</v>
      </c>
      <c r="F61" s="137" t="e">
        <f>'CH_Bill impacts full year 2'!#REF!</f>
        <v>#REF!</v>
      </c>
      <c r="G61" s="137" t="e">
        <f>'CH_Bill impacts full year 2'!#REF!</f>
        <v>#REF!</v>
      </c>
      <c r="H61" s="137" t="e">
        <f>'CH_Bill impacts full year 2'!#REF!</f>
        <v>#REF!</v>
      </c>
      <c r="I61" s="137" t="e">
        <f>AVERAGE(HYBills_RES11099[[#This Row],[Ausnet]:[United Energy]])</f>
        <v>#REF!</v>
      </c>
      <c r="J61" s="130"/>
      <c r="K61" s="130"/>
      <c r="L61" s="130"/>
      <c r="M61" s="130"/>
      <c r="N61" s="130"/>
      <c r="O61" s="130"/>
      <c r="P61" s="130"/>
      <c r="Q61" s="130"/>
      <c r="R61" s="130"/>
      <c r="S61" s="130"/>
      <c r="T61" s="130"/>
      <c r="U61" s="130"/>
      <c r="V61" s="130"/>
      <c r="W61" s="130"/>
    </row>
    <row r="62" spans="3:23" x14ac:dyDescent="0.25">
      <c r="C62" s="189" t="s">
        <v>573</v>
      </c>
      <c r="D62" s="137" t="e">
        <f t="shared" ref="D62:I62" si="24">D61-D$57</f>
        <v>#REF!</v>
      </c>
      <c r="E62" s="137" t="e">
        <f t="shared" si="24"/>
        <v>#REF!</v>
      </c>
      <c r="F62" s="137" t="e">
        <f t="shared" si="24"/>
        <v>#REF!</v>
      </c>
      <c r="G62" s="137" t="e">
        <f t="shared" si="24"/>
        <v>#REF!</v>
      </c>
      <c r="H62" s="137" t="e">
        <f t="shared" si="24"/>
        <v>#REF!</v>
      </c>
      <c r="I62" s="137" t="e">
        <f t="shared" si="24"/>
        <v>#REF!</v>
      </c>
      <c r="J62" s="130"/>
      <c r="K62" s="130"/>
      <c r="L62" s="130"/>
      <c r="M62" s="130"/>
      <c r="N62" s="130"/>
      <c r="O62" s="130"/>
      <c r="P62" s="130"/>
      <c r="Q62" s="130"/>
      <c r="R62" s="130"/>
      <c r="S62" s="130"/>
      <c r="T62" s="130"/>
      <c r="U62" s="130"/>
      <c r="V62" s="130"/>
      <c r="W62" s="130"/>
    </row>
    <row r="63" spans="3:23" x14ac:dyDescent="0.25">
      <c r="C63" s="189" t="s">
        <v>574</v>
      </c>
      <c r="D63" s="191" t="e">
        <f t="shared" ref="D63:I63" si="25">D62/D$57</f>
        <v>#REF!</v>
      </c>
      <c r="E63" s="191" t="e">
        <f t="shared" si="25"/>
        <v>#REF!</v>
      </c>
      <c r="F63" s="191" t="e">
        <f t="shared" si="25"/>
        <v>#REF!</v>
      </c>
      <c r="G63" s="191" t="e">
        <f t="shared" si="25"/>
        <v>#REF!</v>
      </c>
      <c r="H63" s="191" t="e">
        <f t="shared" si="25"/>
        <v>#REF!</v>
      </c>
      <c r="I63" s="191" t="e">
        <f t="shared" si="25"/>
        <v>#REF!</v>
      </c>
      <c r="J63" s="130"/>
      <c r="K63" s="130"/>
      <c r="L63" s="130"/>
      <c r="M63" s="130"/>
      <c r="N63" s="130"/>
      <c r="O63" s="130"/>
      <c r="P63" s="130"/>
      <c r="Q63" s="130"/>
      <c r="R63" s="130"/>
      <c r="S63" s="130"/>
      <c r="T63" s="130"/>
      <c r="U63" s="130"/>
      <c r="V63" s="130"/>
      <c r="W63" s="130"/>
    </row>
    <row r="64" spans="3:23" x14ac:dyDescent="0.25">
      <c r="C64" s="192"/>
      <c r="D64" s="137"/>
      <c r="E64" s="137"/>
      <c r="F64" s="137"/>
      <c r="G64" s="137"/>
      <c r="H64" s="137"/>
      <c r="I64" s="137"/>
      <c r="J64" s="130"/>
      <c r="K64" s="130"/>
      <c r="L64" s="130"/>
      <c r="M64" s="130"/>
      <c r="N64" s="130"/>
      <c r="O64" s="130"/>
      <c r="P64" s="130"/>
      <c r="Q64" s="130"/>
      <c r="R64" s="130"/>
      <c r="S64" s="130"/>
      <c r="T64" s="130"/>
      <c r="U64" s="130"/>
      <c r="V64" s="130"/>
      <c r="W64" s="130"/>
    </row>
    <row r="65" spans="3:23" x14ac:dyDescent="0.25">
      <c r="C65" s="82" t="s">
        <v>567</v>
      </c>
      <c r="D65" s="137" t="e">
        <f>D57*M8_Prop</f>
        <v>#REF!</v>
      </c>
      <c r="E65" s="137" t="e">
        <f>E57*M8_Prop</f>
        <v>#REF!</v>
      </c>
      <c r="F65" s="137" t="e">
        <f>F57*M8_Prop</f>
        <v>#REF!</v>
      </c>
      <c r="G65" s="137" t="e">
        <f>G57*M8_Prop</f>
        <v>#REF!</v>
      </c>
      <c r="H65" s="137" t="e">
        <f>H57*M8_Prop</f>
        <v>#REF!</v>
      </c>
      <c r="I65" s="137" t="e">
        <f>AVERAGE(HYBills_RES11099[[#This Row],[Ausnet]:[United Energy]])</f>
        <v>#REF!</v>
      </c>
      <c r="J65" s="130"/>
      <c r="K65" s="130"/>
      <c r="L65" s="130"/>
      <c r="M65" s="130"/>
      <c r="N65" s="130"/>
      <c r="O65" s="130"/>
      <c r="P65" s="130"/>
      <c r="Q65" s="130"/>
      <c r="R65" s="130"/>
      <c r="S65" s="130"/>
      <c r="T65" s="130"/>
      <c r="U65" s="130"/>
      <c r="V65" s="130"/>
      <c r="W65" s="130"/>
    </row>
    <row r="66" spans="3:23" x14ac:dyDescent="0.25">
      <c r="C66" s="82" t="s">
        <v>568</v>
      </c>
      <c r="D66" s="137" t="e">
        <f>D61*M4_Prop</f>
        <v>#REF!</v>
      </c>
      <c r="E66" s="137" t="e">
        <f>E61*M4_Prop</f>
        <v>#REF!</v>
      </c>
      <c r="F66" s="137" t="e">
        <f>F61*M4_Prop</f>
        <v>#REF!</v>
      </c>
      <c r="G66" s="137" t="e">
        <f>G61*M4_Prop</f>
        <v>#REF!</v>
      </c>
      <c r="H66" s="137" t="e">
        <f>H61*M4_Prop</f>
        <v>#REF!</v>
      </c>
      <c r="I66" s="137" t="e">
        <f>AVERAGE(HYBills_RES11099[[#This Row],[Ausnet]:[United Energy]])</f>
        <v>#REF!</v>
      </c>
      <c r="J66" s="130"/>
      <c r="K66" s="130"/>
      <c r="L66" s="130"/>
      <c r="M66" s="130"/>
      <c r="N66" s="130"/>
      <c r="O66" s="130"/>
      <c r="P66" s="130"/>
      <c r="Q66" s="130"/>
      <c r="R66" s="130"/>
      <c r="S66" s="130"/>
      <c r="T66" s="130"/>
      <c r="U66" s="130"/>
      <c r="V66" s="130"/>
      <c r="W66" s="130"/>
    </row>
    <row r="67" spans="3:23" x14ac:dyDescent="0.25">
      <c r="C67" s="82" t="s">
        <v>566</v>
      </c>
      <c r="D67" s="137" t="e">
        <f t="shared" ref="D67:I67" si="26">SUM(D65:D66)</f>
        <v>#REF!</v>
      </c>
      <c r="E67" s="137" t="e">
        <f t="shared" si="26"/>
        <v>#REF!</v>
      </c>
      <c r="F67" s="137" t="e">
        <f t="shared" si="26"/>
        <v>#REF!</v>
      </c>
      <c r="G67" s="137" t="e">
        <f t="shared" si="26"/>
        <v>#REF!</v>
      </c>
      <c r="H67" s="137" t="e">
        <f t="shared" si="26"/>
        <v>#REF!</v>
      </c>
      <c r="I67" s="137" t="e">
        <f t="shared" si="26"/>
        <v>#REF!</v>
      </c>
      <c r="J67" s="130"/>
      <c r="K67" s="130"/>
      <c r="L67" s="130"/>
      <c r="M67" s="130"/>
      <c r="N67" s="130"/>
      <c r="O67" s="130"/>
      <c r="P67" s="130"/>
      <c r="Q67" s="130"/>
      <c r="R67" s="130"/>
      <c r="S67" s="130"/>
      <c r="T67" s="130"/>
      <c r="U67" s="130"/>
      <c r="V67" s="130"/>
      <c r="W67" s="130"/>
    </row>
    <row r="68" spans="3:23" x14ac:dyDescent="0.25">
      <c r="C68" s="189" t="s">
        <v>578</v>
      </c>
      <c r="D68" s="137" t="e">
        <f t="shared" ref="D68:I68" si="27">D67-D$55</f>
        <v>#REF!</v>
      </c>
      <c r="E68" s="137" t="e">
        <f t="shared" si="27"/>
        <v>#REF!</v>
      </c>
      <c r="F68" s="137" t="e">
        <f t="shared" si="27"/>
        <v>#REF!</v>
      </c>
      <c r="G68" s="137" t="e">
        <f t="shared" si="27"/>
        <v>#REF!</v>
      </c>
      <c r="H68" s="137" t="e">
        <f t="shared" si="27"/>
        <v>#REF!</v>
      </c>
      <c r="I68" s="137" t="e">
        <f t="shared" si="27"/>
        <v>#REF!</v>
      </c>
      <c r="J68" s="130"/>
      <c r="K68" s="130"/>
      <c r="L68" s="130"/>
      <c r="M68" s="130"/>
      <c r="N68" s="130"/>
      <c r="O68" s="130"/>
      <c r="P68" s="130"/>
      <c r="Q68" s="130"/>
      <c r="R68" s="130"/>
      <c r="S68" s="130"/>
      <c r="T68" s="130"/>
      <c r="U68" s="130"/>
      <c r="V68" s="130"/>
      <c r="W68" s="130"/>
    </row>
    <row r="69" spans="3:23" x14ac:dyDescent="0.25">
      <c r="C69" s="189" t="s">
        <v>579</v>
      </c>
      <c r="D69" s="191" t="e">
        <f t="shared" ref="D69:I69" si="28">D68/D$55</f>
        <v>#REF!</v>
      </c>
      <c r="E69" s="191" t="e">
        <f t="shared" si="28"/>
        <v>#REF!</v>
      </c>
      <c r="F69" s="191" t="e">
        <f t="shared" si="28"/>
        <v>#REF!</v>
      </c>
      <c r="G69" s="191" t="e">
        <f t="shared" si="28"/>
        <v>#REF!</v>
      </c>
      <c r="H69" s="191" t="e">
        <f t="shared" si="28"/>
        <v>#REF!</v>
      </c>
      <c r="I69" s="191" t="e">
        <f t="shared" si="28"/>
        <v>#REF!</v>
      </c>
      <c r="J69" s="130"/>
      <c r="K69" s="130"/>
      <c r="L69" s="130"/>
      <c r="M69" s="130"/>
      <c r="N69" s="130"/>
      <c r="O69" s="130"/>
      <c r="P69" s="130"/>
      <c r="Q69" s="130"/>
      <c r="R69" s="130"/>
      <c r="S69" s="130"/>
      <c r="T69" s="130"/>
      <c r="U69" s="130"/>
      <c r="V69" s="130"/>
      <c r="W69" s="130"/>
    </row>
    <row r="70" spans="3:23" x14ac:dyDescent="0.25">
      <c r="C70" s="189"/>
      <c r="D70" s="137"/>
      <c r="E70" s="137"/>
      <c r="F70" s="137"/>
      <c r="G70" s="137"/>
      <c r="H70" s="137"/>
      <c r="I70" s="137"/>
      <c r="J70" s="130"/>
      <c r="K70" s="130"/>
      <c r="L70" s="130"/>
      <c r="M70" s="130"/>
      <c r="N70" s="130"/>
      <c r="O70" s="130"/>
      <c r="P70" s="130"/>
      <c r="Q70" s="130"/>
      <c r="R70" s="130"/>
      <c r="S70" s="130"/>
      <c r="T70" s="130"/>
      <c r="U70" s="130"/>
      <c r="V70" s="130"/>
      <c r="W70" s="130"/>
    </row>
    <row r="71" spans="3:23" x14ac:dyDescent="0.25">
      <c r="C71" s="189" t="s">
        <v>581</v>
      </c>
      <c r="D71" s="194" t="e">
        <f t="shared" ref="D71:I71" si="29">D62*TM_Prop*TU_Prop</f>
        <v>#REF!</v>
      </c>
      <c r="E71" s="194" t="e">
        <f t="shared" si="29"/>
        <v>#REF!</v>
      </c>
      <c r="F71" s="194" t="e">
        <f t="shared" si="29"/>
        <v>#REF!</v>
      </c>
      <c r="G71" s="194" t="e">
        <f t="shared" si="29"/>
        <v>#REF!</v>
      </c>
      <c r="H71" s="194" t="e">
        <f t="shared" si="29"/>
        <v>#REF!</v>
      </c>
      <c r="I71" s="194" t="e">
        <f t="shared" si="29"/>
        <v>#REF!</v>
      </c>
      <c r="J71" s="130"/>
      <c r="K71" s="130"/>
      <c r="L71" s="130"/>
      <c r="M71" s="130"/>
      <c r="N71" s="130"/>
      <c r="O71" s="130"/>
      <c r="P71" s="130"/>
      <c r="Q71" s="130"/>
      <c r="R71" s="130"/>
      <c r="S71" s="130"/>
      <c r="T71" s="130"/>
      <c r="U71" s="130"/>
      <c r="V71" s="130"/>
      <c r="W71" s="130"/>
    </row>
    <row r="72" spans="3:23" x14ac:dyDescent="0.25">
      <c r="C72" s="189" t="s">
        <v>569</v>
      </c>
      <c r="D72" s="137" t="e">
        <f t="shared" ref="D72:I72" si="30">SUM(D67,D71)</f>
        <v>#REF!</v>
      </c>
      <c r="E72" s="137" t="e">
        <f t="shared" si="30"/>
        <v>#REF!</v>
      </c>
      <c r="F72" s="137" t="e">
        <f t="shared" si="30"/>
        <v>#REF!</v>
      </c>
      <c r="G72" s="137" t="e">
        <f t="shared" si="30"/>
        <v>#REF!</v>
      </c>
      <c r="H72" s="137" t="e">
        <f t="shared" si="30"/>
        <v>#REF!</v>
      </c>
      <c r="I72" s="137" t="e">
        <f t="shared" si="30"/>
        <v>#REF!</v>
      </c>
      <c r="J72" s="130"/>
      <c r="K72" s="130"/>
      <c r="L72" s="130"/>
      <c r="M72" s="130"/>
      <c r="N72" s="130"/>
      <c r="O72" s="130"/>
      <c r="P72" s="130"/>
      <c r="Q72" s="130"/>
      <c r="R72" s="130"/>
      <c r="S72" s="130"/>
      <c r="T72" s="130"/>
      <c r="U72" s="130"/>
      <c r="V72" s="130"/>
      <c r="W72" s="130"/>
    </row>
    <row r="73" spans="3:23" x14ac:dyDescent="0.25">
      <c r="C73" s="190" t="s">
        <v>576</v>
      </c>
      <c r="D73" s="137" t="e">
        <f t="shared" ref="D73:I73" si="31">D72-D$55</f>
        <v>#REF!</v>
      </c>
      <c r="E73" s="137" t="e">
        <f t="shared" si="31"/>
        <v>#REF!</v>
      </c>
      <c r="F73" s="137" t="e">
        <f t="shared" si="31"/>
        <v>#REF!</v>
      </c>
      <c r="G73" s="137" t="e">
        <f t="shared" si="31"/>
        <v>#REF!</v>
      </c>
      <c r="H73" s="137" t="e">
        <f t="shared" si="31"/>
        <v>#REF!</v>
      </c>
      <c r="I73" s="137" t="e">
        <f t="shared" si="31"/>
        <v>#REF!</v>
      </c>
      <c r="J73" s="130"/>
      <c r="K73" s="130"/>
      <c r="L73" s="130"/>
      <c r="M73" s="130"/>
      <c r="N73" s="130"/>
      <c r="O73" s="130"/>
      <c r="P73" s="130"/>
      <c r="Q73" s="130"/>
      <c r="R73" s="130"/>
      <c r="S73" s="130"/>
      <c r="T73" s="130"/>
      <c r="U73" s="130"/>
      <c r="V73" s="130"/>
      <c r="W73" s="130"/>
    </row>
    <row r="74" spans="3:23" x14ac:dyDescent="0.25">
      <c r="C74" s="190" t="s">
        <v>577</v>
      </c>
      <c r="D74" s="191" t="e">
        <f t="shared" ref="D74:I74" si="32">D73/D$55</f>
        <v>#REF!</v>
      </c>
      <c r="E74" s="191" t="e">
        <f t="shared" si="32"/>
        <v>#REF!</v>
      </c>
      <c r="F74" s="191" t="e">
        <f t="shared" si="32"/>
        <v>#REF!</v>
      </c>
      <c r="G74" s="191" t="e">
        <f t="shared" si="32"/>
        <v>#REF!</v>
      </c>
      <c r="H74" s="191" t="e">
        <f t="shared" si="32"/>
        <v>#REF!</v>
      </c>
      <c r="I74" s="191" t="e">
        <f t="shared" si="32"/>
        <v>#REF!</v>
      </c>
      <c r="J74" s="130"/>
      <c r="K74" s="130"/>
      <c r="L74" s="130"/>
      <c r="M74" s="130"/>
      <c r="N74" s="130"/>
      <c r="O74" s="130"/>
      <c r="P74" s="130"/>
      <c r="Q74" s="130"/>
      <c r="R74" s="130"/>
      <c r="S74" s="130"/>
      <c r="T74" s="130"/>
      <c r="U74" s="130"/>
      <c r="V74" s="130"/>
      <c r="W74" s="130"/>
    </row>
    <row r="75" spans="3:23" x14ac:dyDescent="0.25">
      <c r="C75" s="130"/>
      <c r="D75" s="130"/>
      <c r="E75" s="130"/>
      <c r="F75" s="130"/>
      <c r="G75" s="130"/>
      <c r="H75" s="130"/>
      <c r="I75" s="130"/>
      <c r="J75" s="130"/>
      <c r="K75" s="130"/>
      <c r="L75" s="130"/>
      <c r="M75" s="130"/>
      <c r="N75" s="130"/>
      <c r="O75" s="130"/>
      <c r="P75" s="130"/>
      <c r="Q75" s="130"/>
      <c r="R75" s="130"/>
      <c r="S75" s="130"/>
      <c r="T75" s="130"/>
      <c r="U75" s="130"/>
      <c r="V75" s="130"/>
      <c r="W75" s="130"/>
    </row>
    <row r="76" spans="3:23" ht="15.75" x14ac:dyDescent="0.25">
      <c r="C76" s="29" t="s">
        <v>584</v>
      </c>
      <c r="J76" s="130"/>
      <c r="K76" s="130"/>
      <c r="L76" s="130"/>
      <c r="M76" s="130"/>
      <c r="N76" s="130"/>
      <c r="O76" s="130"/>
      <c r="P76" s="130"/>
      <c r="Q76" s="130"/>
      <c r="R76" s="130"/>
      <c r="S76" s="130"/>
      <c r="T76" s="130"/>
      <c r="U76" s="130"/>
      <c r="V76" s="130"/>
      <c r="W76" s="130"/>
    </row>
    <row r="77" spans="3:23" ht="15.75" x14ac:dyDescent="0.25">
      <c r="C77" s="43" t="s">
        <v>6</v>
      </c>
      <c r="D77" s="60" t="s">
        <v>268</v>
      </c>
      <c r="E77" s="60" t="s">
        <v>269</v>
      </c>
      <c r="F77" s="60" t="s">
        <v>270</v>
      </c>
      <c r="G77" s="60" t="s">
        <v>271</v>
      </c>
      <c r="H77" s="60" t="s">
        <v>272</v>
      </c>
      <c r="I77" s="163" t="s">
        <v>447</v>
      </c>
      <c r="J77" s="130"/>
      <c r="K77" s="130"/>
      <c r="L77" s="130"/>
      <c r="M77" s="130"/>
      <c r="N77" s="130"/>
      <c r="O77" s="130"/>
      <c r="P77" s="130"/>
      <c r="Q77" s="130"/>
      <c r="R77" s="130"/>
      <c r="S77" s="130"/>
      <c r="T77" s="130"/>
      <c r="U77" s="130"/>
      <c r="V77" s="130"/>
      <c r="W77" s="130"/>
    </row>
    <row r="78" spans="3:23" x14ac:dyDescent="0.25">
      <c r="C78" s="82" t="s">
        <v>255</v>
      </c>
      <c r="D78" s="137">
        <f>D55</f>
        <v>7231</v>
      </c>
      <c r="E78" s="137">
        <f>E55</f>
        <v>5822</v>
      </c>
      <c r="F78" s="137">
        <f>F55</f>
        <v>6239</v>
      </c>
      <c r="G78" s="137">
        <f>G55</f>
        <v>5746</v>
      </c>
      <c r="H78" s="137">
        <f>H55</f>
        <v>6369</v>
      </c>
      <c r="I78" s="137">
        <f>AVERAGE(HYBills_RES11098100[[#This Row],[Ausnet]:[United Energy]])</f>
        <v>6281.4</v>
      </c>
      <c r="J78" s="130"/>
      <c r="K78" s="130"/>
      <c r="L78" s="130"/>
      <c r="M78" s="130"/>
      <c r="N78" s="130"/>
      <c r="O78" s="130"/>
      <c r="P78" s="130"/>
      <c r="Q78" s="130"/>
      <c r="R78" s="130"/>
      <c r="S78" s="130"/>
      <c r="T78" s="130"/>
      <c r="U78" s="130"/>
      <c r="V78" s="130"/>
      <c r="W78" s="130"/>
    </row>
    <row r="79" spans="3:23" x14ac:dyDescent="0.25">
      <c r="C79" s="82"/>
      <c r="D79" s="137"/>
      <c r="E79" s="137"/>
      <c r="F79" s="137"/>
      <c r="G79" s="137"/>
      <c r="H79" s="137"/>
      <c r="I79" s="137"/>
      <c r="J79" s="130"/>
      <c r="K79" s="130"/>
      <c r="L79" s="130"/>
      <c r="M79" s="130"/>
      <c r="N79" s="130"/>
      <c r="O79" s="130"/>
      <c r="P79" s="130"/>
      <c r="Q79" s="130"/>
      <c r="R79" s="130"/>
      <c r="S79" s="130"/>
      <c r="T79" s="130"/>
      <c r="U79" s="130"/>
      <c r="V79" s="130"/>
      <c r="W79" s="130"/>
    </row>
    <row r="80" spans="3:23" x14ac:dyDescent="0.25">
      <c r="C80" s="82" t="s">
        <v>571</v>
      </c>
      <c r="D80" s="137" t="e">
        <f>'CH_Bill impacts full year 2'!#REF!</f>
        <v>#REF!</v>
      </c>
      <c r="E80" s="137" t="e">
        <f>'CH_Bill impacts full year 2'!#REF!</f>
        <v>#REF!</v>
      </c>
      <c r="F80" s="137" t="e">
        <f>'CH_Bill impacts full year 2'!#REF!</f>
        <v>#REF!</v>
      </c>
      <c r="G80" s="137" t="e">
        <f>'CH_Bill impacts full year 2'!#REF!</f>
        <v>#REF!</v>
      </c>
      <c r="H80" s="137" t="e">
        <f>'CH_Bill impacts full year 2'!#REF!</f>
        <v>#REF!</v>
      </c>
      <c r="I80" s="137" t="e">
        <f>AVERAGE(HYBills_RES11098100[[#This Row],[Ausnet]:[United Energy]])</f>
        <v>#REF!</v>
      </c>
      <c r="J80" s="130"/>
      <c r="K80" s="130"/>
      <c r="L80" s="130"/>
      <c r="M80" s="130"/>
      <c r="N80" s="130"/>
      <c r="O80" s="130"/>
      <c r="P80" s="130"/>
      <c r="Q80" s="130"/>
      <c r="R80" s="130"/>
      <c r="S80" s="130"/>
      <c r="T80" s="130"/>
      <c r="U80" s="130"/>
      <c r="V80" s="130"/>
      <c r="W80" s="130"/>
    </row>
    <row r="81" spans="3:23" x14ac:dyDescent="0.25">
      <c r="C81" s="189" t="s">
        <v>564</v>
      </c>
      <c r="D81" s="137" t="e">
        <f t="shared" ref="D81:I81" si="33">D80-D$78</f>
        <v>#REF!</v>
      </c>
      <c r="E81" s="137" t="e">
        <f t="shared" si="33"/>
        <v>#REF!</v>
      </c>
      <c r="F81" s="137" t="e">
        <f t="shared" si="33"/>
        <v>#REF!</v>
      </c>
      <c r="G81" s="137" t="e">
        <f t="shared" si="33"/>
        <v>#REF!</v>
      </c>
      <c r="H81" s="137" t="e">
        <f t="shared" si="33"/>
        <v>#REF!</v>
      </c>
      <c r="I81" s="137" t="e">
        <f t="shared" si="33"/>
        <v>#REF!</v>
      </c>
      <c r="J81" s="130"/>
      <c r="K81" s="130"/>
      <c r="L81" s="130"/>
      <c r="M81" s="130"/>
      <c r="N81" s="130"/>
      <c r="O81" s="130"/>
      <c r="P81" s="130"/>
      <c r="Q81" s="130"/>
      <c r="R81" s="130"/>
      <c r="S81" s="130"/>
      <c r="T81" s="130"/>
      <c r="U81" s="130"/>
      <c r="V81" s="130"/>
      <c r="W81" s="130"/>
    </row>
    <row r="82" spans="3:23" x14ac:dyDescent="0.25">
      <c r="C82" s="189" t="s">
        <v>565</v>
      </c>
      <c r="D82" s="191" t="e">
        <f t="shared" ref="D82:I82" si="34">D81/D$78</f>
        <v>#REF!</v>
      </c>
      <c r="E82" s="191" t="e">
        <f t="shared" si="34"/>
        <v>#REF!</v>
      </c>
      <c r="F82" s="191" t="e">
        <f t="shared" si="34"/>
        <v>#REF!</v>
      </c>
      <c r="G82" s="191" t="e">
        <f t="shared" si="34"/>
        <v>#REF!</v>
      </c>
      <c r="H82" s="191" t="e">
        <f t="shared" si="34"/>
        <v>#REF!</v>
      </c>
      <c r="I82" s="191" t="e">
        <f t="shared" si="34"/>
        <v>#REF!</v>
      </c>
      <c r="J82" s="130"/>
      <c r="K82" s="130"/>
      <c r="L82" s="130"/>
      <c r="M82" s="130"/>
      <c r="N82" s="130"/>
      <c r="O82" s="130"/>
      <c r="P82" s="130"/>
      <c r="Q82" s="130"/>
      <c r="R82" s="130"/>
      <c r="S82" s="130"/>
      <c r="T82" s="130"/>
      <c r="U82" s="130"/>
      <c r="V82" s="130"/>
      <c r="W82" s="130"/>
    </row>
    <row r="83" spans="3:23" x14ac:dyDescent="0.25">
      <c r="C83" s="192"/>
      <c r="D83" s="191"/>
      <c r="E83" s="191"/>
      <c r="F83" s="191"/>
      <c r="G83" s="191"/>
      <c r="H83" s="191"/>
      <c r="I83" s="191"/>
      <c r="J83" s="130"/>
      <c r="K83" s="130"/>
      <c r="L83" s="130"/>
      <c r="M83" s="130"/>
      <c r="N83" s="130"/>
      <c r="O83" s="130"/>
      <c r="P83" s="130"/>
      <c r="Q83" s="130"/>
      <c r="R83" s="130"/>
      <c r="S83" s="130"/>
      <c r="T83" s="130"/>
      <c r="U83" s="130"/>
      <c r="V83" s="130"/>
      <c r="W83" s="130"/>
    </row>
    <row r="84" spans="3:23" x14ac:dyDescent="0.25">
      <c r="C84" s="82" t="s">
        <v>572</v>
      </c>
      <c r="D84" s="137" t="e">
        <f>'CH_Bill impacts full year 2'!#REF!</f>
        <v>#REF!</v>
      </c>
      <c r="E84" s="137" t="e">
        <f>'CH_Bill impacts full year 2'!#REF!</f>
        <v>#REF!</v>
      </c>
      <c r="F84" s="137" t="e">
        <f>'CH_Bill impacts full year 2'!#REF!</f>
        <v>#REF!</v>
      </c>
      <c r="G84" s="137" t="e">
        <f>'CH_Bill impacts full year 2'!#REF!</f>
        <v>#REF!</v>
      </c>
      <c r="H84" s="137" t="e">
        <f>'CH_Bill impacts full year 2'!#REF!</f>
        <v>#REF!</v>
      </c>
      <c r="I84" s="137" t="e">
        <f>AVERAGE(HYBills_RES11098100[[#This Row],[Ausnet]:[United Energy]])</f>
        <v>#REF!</v>
      </c>
      <c r="J84" s="130"/>
      <c r="K84" s="130"/>
      <c r="L84" s="130"/>
      <c r="M84" s="130"/>
      <c r="N84" s="130"/>
      <c r="O84" s="130"/>
      <c r="P84" s="130"/>
      <c r="Q84" s="130"/>
      <c r="R84" s="130"/>
      <c r="S84" s="130"/>
      <c r="T84" s="130"/>
      <c r="U84" s="130"/>
      <c r="V84" s="130"/>
      <c r="W84" s="130"/>
    </row>
    <row r="85" spans="3:23" x14ac:dyDescent="0.25">
      <c r="C85" s="189" t="s">
        <v>573</v>
      </c>
      <c r="D85" s="137" t="e">
        <f t="shared" ref="D85:I85" si="35">D84-D$80</f>
        <v>#REF!</v>
      </c>
      <c r="E85" s="137" t="e">
        <f t="shared" si="35"/>
        <v>#REF!</v>
      </c>
      <c r="F85" s="137" t="e">
        <f t="shared" si="35"/>
        <v>#REF!</v>
      </c>
      <c r="G85" s="137" t="e">
        <f t="shared" si="35"/>
        <v>#REF!</v>
      </c>
      <c r="H85" s="137" t="e">
        <f t="shared" si="35"/>
        <v>#REF!</v>
      </c>
      <c r="I85" s="137" t="e">
        <f t="shared" si="35"/>
        <v>#REF!</v>
      </c>
      <c r="J85" s="130"/>
      <c r="K85" s="130"/>
      <c r="L85" s="130"/>
      <c r="M85" s="130"/>
      <c r="N85" s="130"/>
      <c r="O85" s="130"/>
      <c r="P85" s="130"/>
      <c r="Q85" s="130"/>
      <c r="R85" s="130"/>
      <c r="S85" s="130"/>
      <c r="T85" s="130"/>
      <c r="U85" s="130"/>
      <c r="V85" s="130"/>
      <c r="W85" s="130"/>
    </row>
    <row r="86" spans="3:23" x14ac:dyDescent="0.25">
      <c r="C86" s="189" t="s">
        <v>574</v>
      </c>
      <c r="D86" s="191" t="e">
        <f t="shared" ref="D86:I86" si="36">D85/D$80</f>
        <v>#REF!</v>
      </c>
      <c r="E86" s="191" t="e">
        <f t="shared" si="36"/>
        <v>#REF!</v>
      </c>
      <c r="F86" s="191" t="e">
        <f t="shared" si="36"/>
        <v>#REF!</v>
      </c>
      <c r="G86" s="191" t="e">
        <f t="shared" si="36"/>
        <v>#REF!</v>
      </c>
      <c r="H86" s="191" t="e">
        <f t="shared" si="36"/>
        <v>#REF!</v>
      </c>
      <c r="I86" s="191" t="e">
        <f t="shared" si="36"/>
        <v>#REF!</v>
      </c>
      <c r="J86" s="130"/>
      <c r="K86" s="130"/>
      <c r="L86" s="130"/>
      <c r="M86" s="130"/>
      <c r="N86" s="130"/>
      <c r="O86" s="130"/>
      <c r="P86" s="130"/>
      <c r="Q86" s="130"/>
      <c r="R86" s="130"/>
      <c r="S86" s="130"/>
      <c r="T86" s="130"/>
      <c r="U86" s="130"/>
      <c r="V86" s="130"/>
      <c r="W86" s="130"/>
    </row>
    <row r="87" spans="3:23" x14ac:dyDescent="0.25">
      <c r="C87" s="192"/>
      <c r="D87" s="137"/>
      <c r="E87" s="137"/>
      <c r="F87" s="137"/>
      <c r="G87" s="137"/>
      <c r="H87" s="137"/>
      <c r="I87" s="137"/>
      <c r="J87" s="130"/>
      <c r="K87" s="130"/>
      <c r="L87" s="130"/>
      <c r="M87" s="130"/>
      <c r="N87" s="130"/>
      <c r="O87" s="130"/>
      <c r="P87" s="130"/>
      <c r="Q87" s="130"/>
      <c r="R87" s="130"/>
      <c r="S87" s="130"/>
      <c r="T87" s="130"/>
      <c r="U87" s="130"/>
      <c r="V87" s="130"/>
      <c r="W87" s="130"/>
    </row>
    <row r="88" spans="3:23" x14ac:dyDescent="0.25">
      <c r="C88" s="82" t="s">
        <v>567</v>
      </c>
      <c r="D88" s="137" t="e">
        <f>D80*M8_Prop</f>
        <v>#REF!</v>
      </c>
      <c r="E88" s="137" t="e">
        <f>E80*M8_Prop</f>
        <v>#REF!</v>
      </c>
      <c r="F88" s="137" t="e">
        <f>F80*M8_Prop</f>
        <v>#REF!</v>
      </c>
      <c r="G88" s="137" t="e">
        <f>G80*M8_Prop</f>
        <v>#REF!</v>
      </c>
      <c r="H88" s="137" t="e">
        <f>H80*M8_Prop</f>
        <v>#REF!</v>
      </c>
      <c r="I88" s="137" t="e">
        <f>AVERAGE(HYBills_RES11098100[[#This Row],[Ausnet]:[United Energy]])</f>
        <v>#REF!</v>
      </c>
      <c r="J88" s="130"/>
      <c r="K88" s="130"/>
      <c r="L88" s="130"/>
      <c r="M88" s="130"/>
      <c r="N88" s="130"/>
      <c r="O88" s="130"/>
      <c r="P88" s="130"/>
      <c r="Q88" s="130"/>
      <c r="R88" s="130"/>
      <c r="S88" s="130"/>
      <c r="T88" s="130"/>
      <c r="U88" s="130"/>
      <c r="V88" s="130"/>
      <c r="W88" s="130"/>
    </row>
    <row r="89" spans="3:23" x14ac:dyDescent="0.25">
      <c r="C89" s="82" t="s">
        <v>568</v>
      </c>
      <c r="D89" s="137" t="e">
        <f>D84*M4_Prop</f>
        <v>#REF!</v>
      </c>
      <c r="E89" s="137" t="e">
        <f>E84*M4_Prop</f>
        <v>#REF!</v>
      </c>
      <c r="F89" s="137" t="e">
        <f>F84*M4_Prop</f>
        <v>#REF!</v>
      </c>
      <c r="G89" s="137" t="e">
        <f>G84*M4_Prop</f>
        <v>#REF!</v>
      </c>
      <c r="H89" s="137" t="e">
        <f>H84*M4_Prop</f>
        <v>#REF!</v>
      </c>
      <c r="I89" s="137" t="e">
        <f>AVERAGE(HYBills_RES11098100[[#This Row],[Ausnet]:[United Energy]])</f>
        <v>#REF!</v>
      </c>
      <c r="J89" s="130"/>
      <c r="K89" s="130"/>
      <c r="L89" s="130"/>
      <c r="M89" s="130"/>
      <c r="N89" s="130"/>
      <c r="O89" s="130"/>
      <c r="P89" s="130"/>
      <c r="Q89" s="130"/>
      <c r="R89" s="130"/>
      <c r="S89" s="130"/>
      <c r="T89" s="130"/>
      <c r="U89" s="130"/>
      <c r="V89" s="130"/>
      <c r="W89" s="130"/>
    </row>
    <row r="90" spans="3:23" x14ac:dyDescent="0.25">
      <c r="C90" s="82" t="s">
        <v>566</v>
      </c>
      <c r="D90" s="137" t="e">
        <f t="shared" ref="D90:I90" si="37">SUM(D88:D89)</f>
        <v>#REF!</v>
      </c>
      <c r="E90" s="137" t="e">
        <f t="shared" si="37"/>
        <v>#REF!</v>
      </c>
      <c r="F90" s="137" t="e">
        <f t="shared" si="37"/>
        <v>#REF!</v>
      </c>
      <c r="G90" s="137" t="e">
        <f t="shared" si="37"/>
        <v>#REF!</v>
      </c>
      <c r="H90" s="137" t="e">
        <f t="shared" si="37"/>
        <v>#REF!</v>
      </c>
      <c r="I90" s="137" t="e">
        <f t="shared" si="37"/>
        <v>#REF!</v>
      </c>
      <c r="J90" s="130"/>
      <c r="K90" s="130"/>
      <c r="L90" s="130"/>
      <c r="M90" s="130"/>
      <c r="N90" s="130"/>
      <c r="O90" s="130"/>
      <c r="P90" s="130"/>
      <c r="Q90" s="130"/>
      <c r="R90" s="130"/>
      <c r="S90" s="130"/>
      <c r="T90" s="130"/>
      <c r="U90" s="130"/>
      <c r="V90" s="130"/>
      <c r="W90" s="130"/>
    </row>
    <row r="91" spans="3:23" x14ac:dyDescent="0.25">
      <c r="C91" s="189" t="s">
        <v>578</v>
      </c>
      <c r="D91" s="137" t="e">
        <f t="shared" ref="D91:I91" si="38">D90-D$78</f>
        <v>#REF!</v>
      </c>
      <c r="E91" s="137" t="e">
        <f t="shared" si="38"/>
        <v>#REF!</v>
      </c>
      <c r="F91" s="137" t="e">
        <f t="shared" si="38"/>
        <v>#REF!</v>
      </c>
      <c r="G91" s="137" t="e">
        <f t="shared" si="38"/>
        <v>#REF!</v>
      </c>
      <c r="H91" s="137" t="e">
        <f t="shared" si="38"/>
        <v>#REF!</v>
      </c>
      <c r="I91" s="137" t="e">
        <f t="shared" si="38"/>
        <v>#REF!</v>
      </c>
      <c r="J91" s="130"/>
      <c r="K91" s="130"/>
      <c r="L91" s="130"/>
      <c r="M91" s="130"/>
      <c r="N91" s="130"/>
      <c r="O91" s="130"/>
      <c r="P91" s="130"/>
      <c r="Q91" s="130"/>
      <c r="R91" s="130"/>
      <c r="S91" s="130"/>
      <c r="T91" s="130"/>
      <c r="U91" s="130"/>
      <c r="V91" s="130"/>
      <c r="W91" s="130"/>
    </row>
    <row r="92" spans="3:23" x14ac:dyDescent="0.25">
      <c r="C92" s="189" t="s">
        <v>579</v>
      </c>
      <c r="D92" s="191" t="e">
        <f t="shared" ref="D92:I92" si="39">D91/D$78</f>
        <v>#REF!</v>
      </c>
      <c r="E92" s="191" t="e">
        <f t="shared" si="39"/>
        <v>#REF!</v>
      </c>
      <c r="F92" s="191" t="e">
        <f t="shared" si="39"/>
        <v>#REF!</v>
      </c>
      <c r="G92" s="191" t="e">
        <f t="shared" si="39"/>
        <v>#REF!</v>
      </c>
      <c r="H92" s="191" t="e">
        <f t="shared" si="39"/>
        <v>#REF!</v>
      </c>
      <c r="I92" s="191" t="e">
        <f t="shared" si="39"/>
        <v>#REF!</v>
      </c>
      <c r="J92" s="130"/>
      <c r="K92" s="130"/>
      <c r="L92" s="130"/>
      <c r="M92" s="130"/>
      <c r="N92" s="130"/>
      <c r="O92" s="130"/>
      <c r="P92" s="130"/>
      <c r="Q92" s="130"/>
      <c r="R92" s="130"/>
      <c r="S92" s="130"/>
      <c r="T92" s="130"/>
      <c r="U92" s="130"/>
      <c r="V92" s="130"/>
      <c r="W92" s="130"/>
    </row>
    <row r="93" spans="3:23" x14ac:dyDescent="0.25">
      <c r="C93" s="189"/>
      <c r="D93" s="137"/>
      <c r="E93" s="137"/>
      <c r="F93" s="137"/>
      <c r="G93" s="137"/>
      <c r="H93" s="137"/>
      <c r="I93" s="137"/>
      <c r="J93" s="130"/>
      <c r="K93" s="130"/>
      <c r="L93" s="130"/>
      <c r="M93" s="130"/>
      <c r="N93" s="130"/>
      <c r="O93" s="130"/>
      <c r="P93" s="130"/>
      <c r="Q93" s="130"/>
      <c r="R93" s="130"/>
      <c r="S93" s="130"/>
      <c r="T93" s="130"/>
      <c r="U93" s="130"/>
      <c r="V93" s="130"/>
      <c r="W93" s="130"/>
    </row>
    <row r="94" spans="3:23" x14ac:dyDescent="0.25">
      <c r="C94" s="189" t="s">
        <v>581</v>
      </c>
      <c r="D94" s="194" t="e">
        <f t="shared" ref="D94:I94" si="40">D85*TM_Prop*TU_Prop</f>
        <v>#REF!</v>
      </c>
      <c r="E94" s="194" t="e">
        <f t="shared" si="40"/>
        <v>#REF!</v>
      </c>
      <c r="F94" s="194" t="e">
        <f t="shared" si="40"/>
        <v>#REF!</v>
      </c>
      <c r="G94" s="194" t="e">
        <f t="shared" si="40"/>
        <v>#REF!</v>
      </c>
      <c r="H94" s="194" t="e">
        <f t="shared" si="40"/>
        <v>#REF!</v>
      </c>
      <c r="I94" s="194" t="e">
        <f t="shared" si="40"/>
        <v>#REF!</v>
      </c>
      <c r="J94" s="130"/>
      <c r="K94" s="130"/>
      <c r="L94" s="130"/>
      <c r="M94" s="130"/>
      <c r="N94" s="130"/>
      <c r="O94" s="130"/>
      <c r="P94" s="130"/>
      <c r="Q94" s="130"/>
      <c r="R94" s="130"/>
      <c r="S94" s="130"/>
      <c r="T94" s="130"/>
      <c r="U94" s="130"/>
      <c r="V94" s="130"/>
      <c r="W94" s="130"/>
    </row>
    <row r="95" spans="3:23" x14ac:dyDescent="0.25">
      <c r="C95" s="189" t="s">
        <v>569</v>
      </c>
      <c r="D95" s="137" t="e">
        <f t="shared" ref="D95:I95" si="41">SUM(D90,D94)</f>
        <v>#REF!</v>
      </c>
      <c r="E95" s="137" t="e">
        <f t="shared" si="41"/>
        <v>#REF!</v>
      </c>
      <c r="F95" s="137" t="e">
        <f t="shared" si="41"/>
        <v>#REF!</v>
      </c>
      <c r="G95" s="137" t="e">
        <f t="shared" si="41"/>
        <v>#REF!</v>
      </c>
      <c r="H95" s="137" t="e">
        <f t="shared" si="41"/>
        <v>#REF!</v>
      </c>
      <c r="I95" s="137" t="e">
        <f t="shared" si="41"/>
        <v>#REF!</v>
      </c>
      <c r="J95" s="130"/>
      <c r="K95" s="130"/>
      <c r="L95" s="130"/>
      <c r="M95" s="130"/>
      <c r="N95" s="130"/>
      <c r="O95" s="130"/>
      <c r="P95" s="130"/>
      <c r="Q95" s="130"/>
      <c r="R95" s="130"/>
      <c r="S95" s="130"/>
      <c r="T95" s="130"/>
      <c r="U95" s="130"/>
      <c r="V95" s="130"/>
      <c r="W95" s="130"/>
    </row>
    <row r="96" spans="3:23" x14ac:dyDescent="0.25">
      <c r="C96" s="190" t="s">
        <v>576</v>
      </c>
      <c r="D96" s="137" t="e">
        <f t="shared" ref="D96:I96" si="42">D95-D$78</f>
        <v>#REF!</v>
      </c>
      <c r="E96" s="137" t="e">
        <f t="shared" si="42"/>
        <v>#REF!</v>
      </c>
      <c r="F96" s="137" t="e">
        <f t="shared" si="42"/>
        <v>#REF!</v>
      </c>
      <c r="G96" s="137" t="e">
        <f t="shared" si="42"/>
        <v>#REF!</v>
      </c>
      <c r="H96" s="137" t="e">
        <f t="shared" si="42"/>
        <v>#REF!</v>
      </c>
      <c r="I96" s="137" t="e">
        <f t="shared" si="42"/>
        <v>#REF!</v>
      </c>
      <c r="J96" s="130"/>
      <c r="K96" s="130"/>
      <c r="L96" s="130"/>
      <c r="M96" s="130"/>
      <c r="N96" s="130"/>
      <c r="O96" s="130"/>
      <c r="P96" s="130"/>
      <c r="Q96" s="130"/>
      <c r="R96" s="130"/>
      <c r="S96" s="130"/>
      <c r="T96" s="130"/>
      <c r="U96" s="130"/>
      <c r="V96" s="130"/>
      <c r="W96" s="130"/>
    </row>
    <row r="97" spans="1:55" x14ac:dyDescent="0.25">
      <c r="C97" s="190" t="s">
        <v>577</v>
      </c>
      <c r="D97" s="191" t="e">
        <f t="shared" ref="D97:I97" si="43">D96/D$78</f>
        <v>#REF!</v>
      </c>
      <c r="E97" s="191" t="e">
        <f t="shared" si="43"/>
        <v>#REF!</v>
      </c>
      <c r="F97" s="191" t="e">
        <f t="shared" si="43"/>
        <v>#REF!</v>
      </c>
      <c r="G97" s="191" t="e">
        <f t="shared" si="43"/>
        <v>#REF!</v>
      </c>
      <c r="H97" s="191" t="e">
        <f t="shared" si="43"/>
        <v>#REF!</v>
      </c>
      <c r="I97" s="191" t="e">
        <f t="shared" si="43"/>
        <v>#REF!</v>
      </c>
      <c r="J97" s="130"/>
      <c r="K97" s="130"/>
      <c r="L97" s="130"/>
      <c r="M97" s="130"/>
      <c r="N97" s="130"/>
      <c r="O97" s="130"/>
      <c r="P97" s="130"/>
      <c r="Q97" s="130"/>
      <c r="R97" s="130"/>
      <c r="S97" s="130"/>
      <c r="T97" s="130"/>
      <c r="U97" s="130"/>
      <c r="V97" s="130"/>
      <c r="W97" s="130"/>
    </row>
    <row r="98" spans="1:55" x14ac:dyDescent="0.25">
      <c r="C98" s="130"/>
      <c r="D98" s="130"/>
      <c r="E98" s="130"/>
      <c r="F98" s="130"/>
      <c r="G98" s="130"/>
      <c r="H98" s="130"/>
      <c r="I98" s="130"/>
      <c r="J98" s="130"/>
      <c r="K98" s="130"/>
      <c r="L98" s="130"/>
      <c r="M98" s="130"/>
      <c r="N98" s="130"/>
      <c r="O98" s="130"/>
      <c r="P98" s="130"/>
      <c r="Q98" s="130"/>
      <c r="R98" s="130"/>
      <c r="S98" s="130"/>
      <c r="T98" s="130"/>
      <c r="U98" s="130"/>
      <c r="V98" s="130"/>
      <c r="W98" s="130"/>
    </row>
    <row r="99" spans="1:55" x14ac:dyDescent="0.25">
      <c r="C99" s="130" t="s">
        <v>582</v>
      </c>
      <c r="D99" s="130"/>
      <c r="E99" s="130"/>
      <c r="F99" s="130"/>
      <c r="G99" s="130"/>
      <c r="H99" s="130"/>
      <c r="I99" s="130"/>
      <c r="J99" s="130"/>
      <c r="K99" s="130"/>
      <c r="L99" s="130"/>
      <c r="M99" s="130"/>
      <c r="N99" s="130"/>
      <c r="O99" s="130"/>
      <c r="P99" s="130"/>
      <c r="Q99" s="130"/>
      <c r="R99" s="130"/>
      <c r="S99" s="130"/>
      <c r="T99" s="130"/>
      <c r="U99" s="130"/>
      <c r="V99" s="130"/>
      <c r="W99" s="130"/>
    </row>
    <row r="100" spans="1:55" x14ac:dyDescent="0.25">
      <c r="C100" s="130"/>
      <c r="D100" s="130"/>
      <c r="E100" s="130"/>
      <c r="F100" s="130"/>
      <c r="G100" s="130"/>
      <c r="H100" s="130"/>
      <c r="I100" s="130"/>
      <c r="J100" s="130"/>
      <c r="K100" s="130"/>
      <c r="L100" s="130"/>
      <c r="M100" s="130"/>
      <c r="N100" s="130"/>
      <c r="O100" s="130"/>
      <c r="P100" s="130"/>
      <c r="Q100" s="130"/>
      <c r="R100" s="130"/>
      <c r="S100" s="130"/>
      <c r="T100" s="130"/>
      <c r="U100" s="130"/>
      <c r="V100" s="130"/>
      <c r="W100" s="130"/>
    </row>
    <row r="101" spans="1:55" ht="16.5" thickBot="1" x14ac:dyDescent="0.3">
      <c r="B101" s="9">
        <f ca="1">MAX(B$3:B100)+0.1</f>
        <v>24.200000000000003</v>
      </c>
      <c r="C101" s="28" t="s">
        <v>424</v>
      </c>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row>
    <row r="102" spans="1:55" ht="15.75" x14ac:dyDescent="0.25">
      <c r="A102" s="1" t="s">
        <v>23</v>
      </c>
      <c r="C102" s="130"/>
      <c r="D102" s="130"/>
      <c r="E102" s="130"/>
      <c r="F102" s="130"/>
      <c r="G102" s="130"/>
      <c r="H102" s="130"/>
      <c r="I102" s="130"/>
      <c r="J102" s="130"/>
      <c r="K102" s="130"/>
      <c r="L102" s="130"/>
      <c r="M102" s="130"/>
      <c r="N102" s="130"/>
      <c r="O102" s="130"/>
      <c r="P102" s="130"/>
      <c r="Q102" s="130"/>
      <c r="R102" s="130"/>
      <c r="S102" s="130"/>
      <c r="T102" s="130"/>
      <c r="U102" s="130"/>
      <c r="V102" s="130"/>
    </row>
    <row r="103" spans="1:55" x14ac:dyDescent="0.25">
      <c r="C103" s="130"/>
      <c r="D103" s="82" t="str">
        <f>Calc_Rates!$D$5</f>
        <v>VDO 2022-23 - Draft</v>
      </c>
      <c r="E103" s="82" t="str">
        <f>Calc_Rates!$D$254</f>
        <v>VDO 2022 - Final</v>
      </c>
      <c r="F103" s="130"/>
      <c r="G103" s="130"/>
      <c r="H103" s="130"/>
      <c r="I103" s="130"/>
      <c r="K103" s="152"/>
      <c r="L103" s="151"/>
      <c r="M103" s="130"/>
      <c r="N103" s="130"/>
      <c r="O103" s="130"/>
      <c r="P103" s="130"/>
      <c r="Q103" s="130"/>
      <c r="R103" s="130"/>
      <c r="S103" s="130"/>
      <c r="T103" s="130"/>
      <c r="U103" s="130"/>
      <c r="V103" s="130"/>
      <c r="W103" s="130"/>
    </row>
    <row r="104" spans="1:55" x14ac:dyDescent="0.25">
      <c r="C104" s="130" t="s">
        <v>425</v>
      </c>
      <c r="D104" s="141">
        <v>44197</v>
      </c>
      <c r="E104" s="141">
        <v>44440</v>
      </c>
      <c r="F104" s="130"/>
      <c r="G104" s="130"/>
      <c r="H104" s="130"/>
      <c r="I104" s="130"/>
      <c r="K104" s="152"/>
      <c r="L104" s="151"/>
      <c r="M104" s="130"/>
      <c r="N104" s="130"/>
      <c r="O104" s="130"/>
      <c r="P104" s="130"/>
      <c r="Q104" s="130"/>
      <c r="R104" s="130"/>
      <c r="S104" s="130"/>
      <c r="T104" s="130"/>
      <c r="U104" s="130"/>
      <c r="V104" s="130"/>
      <c r="W104" s="130"/>
    </row>
    <row r="105" spans="1:55" x14ac:dyDescent="0.25">
      <c r="C105" s="130" t="s">
        <v>426</v>
      </c>
      <c r="D105" s="141">
        <v>44439</v>
      </c>
      <c r="E105" s="141">
        <v>44561</v>
      </c>
      <c r="F105" s="130"/>
      <c r="G105" s="130"/>
      <c r="H105" s="130"/>
      <c r="I105" s="130"/>
      <c r="J105" s="130"/>
      <c r="K105" s="130"/>
      <c r="L105" s="130"/>
      <c r="M105" s="130"/>
      <c r="N105" s="130"/>
      <c r="O105" s="130"/>
      <c r="P105" s="130"/>
      <c r="Q105" s="130"/>
      <c r="R105" s="130"/>
      <c r="S105" s="130"/>
      <c r="T105" s="130"/>
      <c r="U105" s="130"/>
      <c r="V105" s="130"/>
      <c r="W105" s="130"/>
    </row>
    <row r="106" spans="1:55" x14ac:dyDescent="0.25">
      <c r="C106" s="130" t="s">
        <v>427</v>
      </c>
      <c r="D106" s="142">
        <f>D105-D104+1</f>
        <v>243</v>
      </c>
      <c r="E106" s="142">
        <f>E105-E104+1</f>
        <v>122</v>
      </c>
      <c r="F106" s="130"/>
      <c r="G106" s="130"/>
      <c r="H106" s="130"/>
      <c r="I106" s="130"/>
      <c r="K106" s="153"/>
      <c r="L106" s="179"/>
      <c r="O106" s="179"/>
      <c r="P106" s="179"/>
      <c r="Q106" s="130"/>
      <c r="R106" s="130"/>
      <c r="S106" s="130"/>
      <c r="T106" s="130"/>
      <c r="U106" s="130"/>
      <c r="V106" s="130"/>
      <c r="W106" s="130"/>
    </row>
    <row r="107" spans="1:55" x14ac:dyDescent="0.25">
      <c r="C107" s="130" t="s">
        <v>560</v>
      </c>
      <c r="D107" s="143">
        <f>D106/DiY</f>
        <v>0.66575342465753429</v>
      </c>
      <c r="E107" s="143">
        <f>E106/DiY</f>
        <v>0.33424657534246577</v>
      </c>
      <c r="F107" s="130"/>
      <c r="G107" s="130"/>
      <c r="H107" s="130"/>
      <c r="I107" s="130"/>
      <c r="J107" s="130"/>
      <c r="K107" s="154"/>
      <c r="L107" s="155"/>
      <c r="M107" s="157"/>
      <c r="O107" s="154"/>
      <c r="P107" s="155"/>
      <c r="Q107" s="157"/>
      <c r="R107" s="130"/>
      <c r="S107" s="130"/>
      <c r="T107" s="130"/>
      <c r="U107" s="130"/>
      <c r="V107" s="130"/>
      <c r="W107" s="130"/>
    </row>
    <row r="108" spans="1:55" x14ac:dyDescent="0.25">
      <c r="C108" s="130" t="s">
        <v>561</v>
      </c>
      <c r="D108" s="144">
        <f>8/12</f>
        <v>0.66666666666666663</v>
      </c>
      <c r="E108" s="144">
        <f>4/12</f>
        <v>0.33333333333333331</v>
      </c>
      <c r="F108" s="130"/>
      <c r="G108" s="130"/>
      <c r="H108" s="130"/>
      <c r="I108" s="130"/>
      <c r="J108" s="130"/>
      <c r="K108" s="154"/>
      <c r="L108" s="155"/>
      <c r="M108" s="157"/>
      <c r="O108" s="154"/>
      <c r="P108" s="155"/>
      <c r="Q108" s="157"/>
      <c r="R108" s="130"/>
      <c r="S108" s="130"/>
      <c r="T108" s="130"/>
      <c r="U108" s="130"/>
      <c r="V108" s="130"/>
      <c r="W108" s="130"/>
    </row>
    <row r="109" spans="1:55" x14ac:dyDescent="0.25">
      <c r="C109" s="130" t="s">
        <v>430</v>
      </c>
      <c r="D109" s="384" t="s">
        <v>570</v>
      </c>
      <c r="E109" s="384"/>
      <c r="F109" s="130"/>
      <c r="G109" s="130"/>
      <c r="H109" s="130"/>
      <c r="I109" s="130"/>
      <c r="J109" s="130"/>
      <c r="K109" s="154"/>
      <c r="L109" s="155"/>
      <c r="M109" s="157"/>
      <c r="O109" s="154"/>
      <c r="P109" s="155"/>
      <c r="Q109" s="157"/>
      <c r="R109" s="130"/>
      <c r="S109" s="130"/>
      <c r="T109" s="130"/>
      <c r="U109" s="130"/>
      <c r="V109" s="130"/>
      <c r="W109" s="130"/>
    </row>
    <row r="110" spans="1:55" x14ac:dyDescent="0.25">
      <c r="C110" s="130" t="s">
        <v>561</v>
      </c>
      <c r="D110" s="143">
        <f>IF($D109="Day",D107,D108)</f>
        <v>0.66666666666666663</v>
      </c>
      <c r="E110" s="143">
        <f>IF($D109="Day",E107,E108)</f>
        <v>0.33333333333333331</v>
      </c>
      <c r="F110" s="130"/>
      <c r="G110" s="130"/>
      <c r="H110" s="130"/>
      <c r="I110" s="130"/>
      <c r="J110" s="130"/>
      <c r="K110" s="179"/>
      <c r="L110" s="179"/>
      <c r="O110" s="179"/>
      <c r="P110" s="179"/>
      <c r="Q110" s="130"/>
      <c r="R110" s="130"/>
      <c r="S110" s="130"/>
      <c r="T110" s="130"/>
      <c r="U110" s="130"/>
      <c r="V110" s="130"/>
      <c r="W110" s="130"/>
    </row>
    <row r="111" spans="1:55" x14ac:dyDescent="0.25">
      <c r="C111" s="130" t="s">
        <v>580</v>
      </c>
      <c r="D111" s="143">
        <f>4/10</f>
        <v>0.4</v>
      </c>
      <c r="E111" s="143"/>
      <c r="F111" s="130"/>
      <c r="G111" s="130"/>
      <c r="H111" s="130"/>
      <c r="I111" s="130"/>
      <c r="J111" s="130"/>
      <c r="K111" s="187"/>
      <c r="L111" s="187"/>
      <c r="O111" s="187"/>
      <c r="P111" s="187"/>
      <c r="Q111" s="130"/>
      <c r="R111" s="130"/>
      <c r="S111" s="130"/>
      <c r="T111" s="130"/>
      <c r="U111" s="130"/>
      <c r="V111" s="130"/>
      <c r="W111" s="130"/>
    </row>
    <row r="112" spans="1:55" x14ac:dyDescent="0.25">
      <c r="C112" s="130"/>
      <c r="D112" s="130"/>
      <c r="E112" s="130"/>
      <c r="F112" s="130"/>
      <c r="G112" s="130"/>
      <c r="H112" s="130"/>
      <c r="I112" s="130"/>
      <c r="J112" s="130"/>
      <c r="K112" s="179"/>
      <c r="L112" s="156"/>
      <c r="O112" s="179"/>
      <c r="P112" s="156"/>
      <c r="Q112" s="130"/>
      <c r="R112" s="130"/>
      <c r="S112" s="130"/>
      <c r="T112" s="130"/>
      <c r="U112" s="130"/>
      <c r="V112" s="130"/>
    </row>
    <row r="113" spans="1:26" ht="16.5" thickBot="1" x14ac:dyDescent="0.3">
      <c r="B113" s="9">
        <f ca="1">MAX(B$3:B112)+0.1</f>
        <v>24.300000000000004</v>
      </c>
      <c r="C113" s="28" t="s">
        <v>438</v>
      </c>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x14ac:dyDescent="0.25">
      <c r="A114" s="1" t="s">
        <v>23</v>
      </c>
      <c r="C114" s="130"/>
      <c r="D114" s="130"/>
      <c r="E114" s="130"/>
      <c r="F114" s="130"/>
      <c r="G114" s="130"/>
      <c r="H114" s="130"/>
      <c r="I114" s="130"/>
      <c r="J114" s="130"/>
      <c r="K114" s="130"/>
      <c r="L114" s="130"/>
      <c r="M114" s="130"/>
      <c r="N114" s="130"/>
      <c r="O114" s="130"/>
      <c r="P114" s="130"/>
      <c r="Q114" s="130"/>
      <c r="R114" s="130"/>
      <c r="S114" s="130"/>
      <c r="T114" s="130"/>
      <c r="U114" s="130"/>
      <c r="V114" s="130"/>
      <c r="W114" s="130"/>
    </row>
    <row r="115" spans="1:26" x14ac:dyDescent="0.25">
      <c r="C115" s="130"/>
      <c r="D115" s="130"/>
      <c r="E115" s="130"/>
      <c r="F115" s="130"/>
      <c r="G115" s="130"/>
      <c r="H115" s="130"/>
      <c r="I115" s="130"/>
      <c r="J115" s="130"/>
      <c r="K115" s="130"/>
      <c r="L115" s="130"/>
      <c r="M115" s="130"/>
      <c r="N115" s="130"/>
      <c r="O115" s="130"/>
      <c r="P115" s="130"/>
      <c r="Q115" s="130"/>
      <c r="R115" s="130"/>
      <c r="S115" s="130"/>
      <c r="T115" s="130"/>
      <c r="U115" s="130"/>
      <c r="V115" s="130"/>
      <c r="W115" s="130"/>
    </row>
    <row r="116" spans="1:26" x14ac:dyDescent="0.25">
      <c r="C116" s="130"/>
      <c r="D116" s="130"/>
      <c r="E116" s="130"/>
      <c r="F116" s="130"/>
      <c r="G116" s="130"/>
      <c r="H116" s="130"/>
      <c r="I116" s="130"/>
      <c r="J116" s="130"/>
      <c r="K116" s="130"/>
      <c r="L116" s="130"/>
      <c r="M116" s="130"/>
      <c r="N116" s="130"/>
      <c r="O116" s="130"/>
      <c r="P116" s="130"/>
      <c r="Q116" s="130"/>
      <c r="R116" s="130"/>
      <c r="S116" s="130"/>
      <c r="T116" s="130"/>
      <c r="U116" s="130"/>
      <c r="V116" s="130"/>
      <c r="W116" s="130"/>
    </row>
    <row r="117" spans="1:26" x14ac:dyDescent="0.25">
      <c r="C117" s="130"/>
      <c r="D117" s="130"/>
      <c r="E117" s="130"/>
      <c r="F117" s="130"/>
      <c r="G117" s="130"/>
      <c r="H117" s="130"/>
      <c r="I117" s="130"/>
      <c r="J117" s="130"/>
      <c r="K117" s="130"/>
      <c r="L117" s="130"/>
      <c r="M117" s="130"/>
      <c r="N117" s="130"/>
      <c r="O117" s="130"/>
      <c r="P117" s="130"/>
      <c r="Q117" s="130"/>
      <c r="R117" s="130"/>
      <c r="S117" s="130"/>
      <c r="T117" s="130"/>
      <c r="U117" s="130"/>
      <c r="V117" s="130"/>
      <c r="W117" s="130"/>
    </row>
    <row r="118" spans="1:26" x14ac:dyDescent="0.25">
      <c r="C118" s="130"/>
      <c r="D118" s="130"/>
      <c r="E118" s="130"/>
      <c r="F118" s="130"/>
      <c r="G118" s="130"/>
      <c r="H118" s="130"/>
      <c r="I118" s="130"/>
      <c r="J118" s="130"/>
      <c r="K118" s="130"/>
      <c r="L118" s="130"/>
      <c r="M118" s="130"/>
      <c r="N118" s="130"/>
      <c r="O118" s="130"/>
      <c r="P118" s="130"/>
      <c r="Q118" s="130"/>
      <c r="R118" s="130"/>
      <c r="S118" s="130"/>
      <c r="T118" s="130"/>
      <c r="U118" s="130"/>
      <c r="V118" s="130"/>
      <c r="W118" s="130"/>
    </row>
    <row r="119" spans="1:26" x14ac:dyDescent="0.25">
      <c r="C119" s="130"/>
      <c r="D119" s="130"/>
      <c r="E119" s="130"/>
      <c r="F119" s="130"/>
      <c r="G119" s="130"/>
      <c r="H119" s="130"/>
      <c r="I119" s="130"/>
      <c r="J119" s="130"/>
      <c r="K119" s="130"/>
      <c r="L119" s="130"/>
      <c r="M119" s="130"/>
      <c r="N119" s="130"/>
      <c r="O119" s="130"/>
      <c r="P119" s="130"/>
      <c r="Q119" s="130"/>
      <c r="R119" s="130"/>
      <c r="S119" s="130"/>
      <c r="T119" s="130"/>
      <c r="U119" s="130"/>
      <c r="V119" s="130"/>
      <c r="W119" s="130"/>
    </row>
    <row r="120" spans="1:26" x14ac:dyDescent="0.25">
      <c r="C120" s="130"/>
      <c r="D120" s="130"/>
      <c r="E120" s="130"/>
      <c r="F120" s="130"/>
      <c r="G120" s="130"/>
      <c r="H120" s="130"/>
      <c r="I120" s="130"/>
      <c r="J120" s="130"/>
      <c r="K120" s="130"/>
      <c r="L120" s="130"/>
      <c r="M120" s="130"/>
      <c r="N120" s="130"/>
      <c r="O120" s="130"/>
      <c r="P120" s="130"/>
      <c r="Q120" s="130"/>
      <c r="R120" s="130"/>
      <c r="S120" s="130"/>
      <c r="T120" s="130"/>
      <c r="U120" s="130"/>
      <c r="V120" s="130"/>
      <c r="W120" s="130"/>
    </row>
    <row r="121" spans="1:26" x14ac:dyDescent="0.25">
      <c r="C121" s="130"/>
      <c r="D121" s="130"/>
      <c r="E121" s="130"/>
      <c r="F121" s="130"/>
      <c r="G121" s="130"/>
      <c r="H121" s="130"/>
      <c r="I121" s="130"/>
      <c r="J121" s="130"/>
      <c r="K121" s="130"/>
      <c r="L121" s="130"/>
      <c r="M121" s="130"/>
      <c r="N121" s="130"/>
      <c r="O121" s="130"/>
      <c r="P121" s="130"/>
      <c r="Q121" s="130"/>
      <c r="R121" s="130"/>
      <c r="S121" s="130"/>
      <c r="T121" s="130"/>
      <c r="U121" s="130"/>
      <c r="V121" s="130"/>
      <c r="W121" s="130"/>
    </row>
    <row r="122" spans="1:26" x14ac:dyDescent="0.25">
      <c r="C122" s="130"/>
      <c r="D122" s="130"/>
      <c r="E122" s="130"/>
      <c r="F122" s="130"/>
      <c r="G122" s="130"/>
      <c r="H122" s="130"/>
      <c r="I122" s="130"/>
      <c r="J122" s="130"/>
      <c r="K122" s="130"/>
      <c r="L122" s="130"/>
      <c r="M122" s="130"/>
      <c r="N122" s="130"/>
      <c r="O122" s="130"/>
      <c r="P122" s="130"/>
      <c r="Q122" s="130"/>
      <c r="R122" s="130"/>
      <c r="S122" s="130"/>
      <c r="T122" s="130"/>
      <c r="U122" s="130"/>
      <c r="V122" s="130"/>
      <c r="W122" s="130"/>
    </row>
    <row r="123" spans="1:26" x14ac:dyDescent="0.25">
      <c r="C123" s="130"/>
      <c r="D123" s="130"/>
      <c r="E123" s="130"/>
      <c r="F123" s="130"/>
      <c r="G123" s="130"/>
      <c r="H123" s="130"/>
      <c r="I123" s="130"/>
      <c r="J123" s="130"/>
      <c r="K123" s="130"/>
      <c r="L123" s="130"/>
      <c r="M123" s="130"/>
      <c r="N123" s="130"/>
      <c r="O123" s="130"/>
      <c r="P123" s="130"/>
      <c r="Q123" s="130"/>
      <c r="R123" s="130"/>
      <c r="S123" s="130"/>
      <c r="T123" s="130"/>
      <c r="U123" s="130"/>
      <c r="V123" s="130"/>
      <c r="W123" s="130"/>
    </row>
    <row r="124" spans="1:26" x14ac:dyDescent="0.25">
      <c r="C124" s="130"/>
      <c r="D124" s="130"/>
      <c r="E124" s="130"/>
      <c r="F124" s="130"/>
      <c r="G124" s="130"/>
      <c r="H124" s="130"/>
      <c r="I124" s="130"/>
      <c r="J124" s="130"/>
      <c r="K124" s="130"/>
      <c r="L124" s="130"/>
      <c r="M124" s="130"/>
      <c r="N124" s="130"/>
      <c r="O124" s="130"/>
      <c r="P124" s="130"/>
      <c r="Q124" s="130"/>
      <c r="R124" s="130"/>
      <c r="S124" s="130"/>
      <c r="T124" s="130"/>
      <c r="U124" s="130"/>
      <c r="V124" s="130"/>
      <c r="W124" s="130"/>
    </row>
    <row r="125" spans="1:26" x14ac:dyDescent="0.25">
      <c r="C125" s="130"/>
      <c r="D125" s="130"/>
      <c r="E125" s="130"/>
      <c r="F125" s="130"/>
      <c r="G125" s="130"/>
      <c r="H125" s="130"/>
      <c r="I125" s="130"/>
      <c r="J125" s="130"/>
      <c r="K125" s="130"/>
      <c r="L125" s="130"/>
      <c r="M125" s="130"/>
      <c r="N125" s="130"/>
      <c r="O125" s="130"/>
      <c r="P125" s="130"/>
      <c r="Q125" s="130"/>
      <c r="R125" s="130"/>
      <c r="S125" s="130"/>
      <c r="T125" s="130"/>
      <c r="U125" s="130"/>
      <c r="V125" s="130"/>
      <c r="W125" s="130"/>
    </row>
    <row r="126" spans="1:26" x14ac:dyDescent="0.25">
      <c r="C126" s="130"/>
      <c r="D126" s="130"/>
      <c r="E126" s="130"/>
      <c r="F126" s="130"/>
      <c r="G126" s="130"/>
      <c r="H126" s="130"/>
      <c r="I126" s="130"/>
      <c r="J126" s="130"/>
      <c r="K126" s="130"/>
      <c r="L126" s="130"/>
      <c r="M126" s="130"/>
      <c r="N126" s="130"/>
      <c r="O126" s="130"/>
      <c r="P126" s="130"/>
      <c r="Q126" s="130"/>
      <c r="R126" s="130"/>
      <c r="S126" s="130"/>
      <c r="T126" s="130"/>
      <c r="U126" s="130"/>
      <c r="V126" s="130"/>
      <c r="W126" s="130"/>
    </row>
    <row r="127" spans="1:26" x14ac:dyDescent="0.25">
      <c r="C127" s="130"/>
      <c r="D127" s="130"/>
      <c r="E127" s="130"/>
      <c r="F127" s="130"/>
      <c r="G127" s="130"/>
      <c r="H127" s="130"/>
      <c r="I127" s="130"/>
      <c r="J127" s="130"/>
      <c r="K127" s="130"/>
      <c r="L127" s="130"/>
      <c r="M127" s="130"/>
      <c r="N127" s="130"/>
      <c r="O127" s="130"/>
      <c r="P127" s="130"/>
      <c r="Q127" s="130"/>
      <c r="R127" s="130"/>
      <c r="S127" s="130"/>
      <c r="T127" s="130"/>
      <c r="U127" s="130"/>
      <c r="V127" s="130"/>
      <c r="W127" s="130"/>
    </row>
    <row r="128" spans="1:26" x14ac:dyDescent="0.25">
      <c r="C128" s="130"/>
      <c r="D128" s="130"/>
      <c r="E128" s="130"/>
      <c r="F128" s="130"/>
      <c r="G128" s="130"/>
      <c r="H128" s="130"/>
      <c r="I128" s="130"/>
      <c r="J128" s="130"/>
      <c r="K128" s="130"/>
      <c r="L128" s="130"/>
      <c r="M128" s="130"/>
      <c r="N128" s="130"/>
      <c r="O128" s="130"/>
      <c r="P128" s="130"/>
      <c r="Q128" s="130"/>
      <c r="R128" s="130"/>
      <c r="S128" s="130"/>
      <c r="T128" s="130"/>
      <c r="U128" s="130"/>
      <c r="V128" s="130"/>
      <c r="W128" s="130"/>
    </row>
    <row r="129" spans="3:23" x14ac:dyDescent="0.25">
      <c r="C129" s="130"/>
      <c r="D129" s="130"/>
      <c r="E129" s="130"/>
      <c r="F129" s="130"/>
      <c r="G129" s="130"/>
      <c r="H129" s="130"/>
      <c r="I129" s="130"/>
      <c r="J129" s="130"/>
      <c r="K129" s="130"/>
      <c r="L129" s="130"/>
      <c r="M129" s="130"/>
      <c r="N129" s="130"/>
      <c r="O129" s="130"/>
      <c r="P129" s="130"/>
      <c r="Q129" s="130"/>
      <c r="R129" s="130"/>
      <c r="S129" s="130"/>
      <c r="T129" s="130"/>
      <c r="U129" s="130"/>
      <c r="V129" s="130"/>
      <c r="W129" s="130"/>
    </row>
    <row r="130" spans="3:23" x14ac:dyDescent="0.25">
      <c r="C130" s="130"/>
      <c r="D130" s="130"/>
      <c r="E130" s="130"/>
      <c r="F130" s="130"/>
      <c r="G130" s="130"/>
      <c r="H130" s="130"/>
      <c r="I130" s="130"/>
      <c r="J130" s="130"/>
      <c r="K130" s="130"/>
      <c r="L130" s="130"/>
      <c r="M130" s="130"/>
      <c r="N130" s="130"/>
      <c r="O130" s="130"/>
      <c r="P130" s="130"/>
      <c r="Q130" s="130"/>
      <c r="R130" s="130"/>
      <c r="S130" s="130"/>
      <c r="T130" s="130"/>
      <c r="U130" s="130"/>
      <c r="V130" s="130"/>
      <c r="W130" s="130"/>
    </row>
    <row r="131" spans="3:23" x14ac:dyDescent="0.25">
      <c r="C131" s="130"/>
      <c r="D131" s="130"/>
      <c r="E131" s="130"/>
      <c r="F131" s="130"/>
      <c r="G131" s="130"/>
      <c r="H131" s="130"/>
      <c r="I131" s="130"/>
      <c r="J131" s="130"/>
      <c r="K131" s="130"/>
      <c r="L131" s="130"/>
      <c r="M131" s="130"/>
      <c r="N131" s="130"/>
      <c r="O131" s="130"/>
      <c r="P131" s="130"/>
      <c r="Q131" s="130"/>
      <c r="R131" s="130"/>
      <c r="S131" s="130"/>
      <c r="T131" s="130"/>
      <c r="U131" s="130"/>
      <c r="V131" s="130"/>
      <c r="W131" s="130"/>
    </row>
    <row r="132" spans="3:23" x14ac:dyDescent="0.25">
      <c r="C132" s="130"/>
      <c r="D132" s="130"/>
      <c r="E132" s="130"/>
      <c r="F132" s="130"/>
      <c r="G132" s="130"/>
      <c r="H132" s="130"/>
      <c r="I132" s="130"/>
      <c r="J132" s="130"/>
      <c r="K132" s="130"/>
      <c r="L132" s="130"/>
      <c r="M132" s="130"/>
      <c r="N132" s="130"/>
      <c r="O132" s="130"/>
      <c r="P132" s="130"/>
      <c r="Q132" s="130"/>
      <c r="R132" s="130"/>
      <c r="S132" s="130"/>
      <c r="T132" s="130"/>
      <c r="U132" s="130"/>
      <c r="V132" s="130"/>
      <c r="W132" s="130"/>
    </row>
    <row r="133" spans="3:23" x14ac:dyDescent="0.25">
      <c r="C133" s="130"/>
      <c r="D133" s="130"/>
      <c r="E133" s="130"/>
      <c r="F133" s="130"/>
      <c r="G133" s="130"/>
      <c r="H133" s="130"/>
      <c r="I133" s="130"/>
      <c r="J133" s="130"/>
      <c r="K133" s="130"/>
      <c r="L133" s="130"/>
      <c r="M133" s="130"/>
      <c r="N133" s="130"/>
      <c r="O133" s="130"/>
      <c r="P133" s="130"/>
      <c r="Q133" s="130"/>
      <c r="R133" s="130"/>
      <c r="S133" s="130"/>
      <c r="T133" s="130"/>
      <c r="U133" s="130"/>
      <c r="V133" s="130"/>
      <c r="W133" s="130"/>
    </row>
    <row r="134" spans="3:23" x14ac:dyDescent="0.25">
      <c r="C134" s="130"/>
      <c r="D134" s="130"/>
      <c r="E134" s="130"/>
      <c r="F134" s="130"/>
      <c r="G134" s="130"/>
      <c r="H134" s="130"/>
      <c r="I134" s="130"/>
      <c r="J134" s="130"/>
      <c r="K134" s="130"/>
      <c r="L134" s="130"/>
      <c r="M134" s="130"/>
      <c r="N134" s="130"/>
      <c r="O134" s="130"/>
      <c r="P134" s="130"/>
      <c r="Q134" s="130"/>
      <c r="R134" s="130"/>
      <c r="S134" s="130"/>
      <c r="T134" s="130"/>
      <c r="U134" s="130"/>
      <c r="V134" s="130"/>
      <c r="W134" s="130"/>
    </row>
    <row r="135" spans="3:23" x14ac:dyDescent="0.25">
      <c r="C135" s="130"/>
      <c r="D135" s="130"/>
      <c r="E135" s="130"/>
      <c r="F135" s="130"/>
      <c r="G135" s="130"/>
      <c r="H135" s="130"/>
      <c r="I135" s="130"/>
      <c r="J135" s="130"/>
      <c r="K135" s="130"/>
      <c r="L135" s="130"/>
      <c r="M135" s="130"/>
      <c r="N135" s="130"/>
      <c r="O135" s="130"/>
      <c r="P135" s="130"/>
      <c r="Q135" s="130"/>
      <c r="R135" s="130"/>
      <c r="S135" s="130"/>
      <c r="T135" s="130"/>
      <c r="U135" s="130"/>
      <c r="V135" s="130"/>
      <c r="W135" s="130"/>
    </row>
    <row r="136" spans="3:23" x14ac:dyDescent="0.25">
      <c r="C136" s="130"/>
      <c r="D136" s="130"/>
      <c r="E136" s="130"/>
      <c r="F136" s="130"/>
      <c r="G136" s="130"/>
      <c r="H136" s="130"/>
      <c r="I136" s="130"/>
      <c r="J136" s="130"/>
      <c r="K136" s="130"/>
      <c r="L136" s="130"/>
      <c r="M136" s="130"/>
      <c r="N136" s="130"/>
      <c r="O136" s="130"/>
      <c r="P136" s="130"/>
      <c r="Q136" s="130"/>
      <c r="R136" s="130"/>
      <c r="S136" s="130"/>
      <c r="T136" s="130"/>
      <c r="U136" s="130"/>
      <c r="V136" s="130"/>
      <c r="W136" s="130"/>
    </row>
    <row r="137" spans="3:23" x14ac:dyDescent="0.25">
      <c r="C137" s="130"/>
      <c r="D137" s="130"/>
      <c r="E137" s="130"/>
      <c r="F137" s="130"/>
      <c r="G137" s="130"/>
      <c r="H137" s="130"/>
      <c r="I137" s="130"/>
      <c r="J137" s="130"/>
      <c r="K137" s="130"/>
      <c r="L137" s="130"/>
      <c r="M137" s="130"/>
      <c r="N137" s="130"/>
      <c r="O137" s="130"/>
      <c r="P137" s="130"/>
      <c r="Q137" s="130"/>
      <c r="R137" s="130"/>
      <c r="S137" s="130"/>
      <c r="T137" s="130"/>
      <c r="U137" s="130"/>
      <c r="V137" s="130"/>
      <c r="W137" s="130"/>
    </row>
    <row r="138" spans="3:23" x14ac:dyDescent="0.25">
      <c r="C138" s="130"/>
      <c r="D138" s="130"/>
      <c r="E138" s="130"/>
      <c r="F138" s="130"/>
      <c r="G138" s="130"/>
      <c r="H138" s="130"/>
      <c r="I138" s="130"/>
      <c r="J138" s="130"/>
      <c r="K138" s="130"/>
      <c r="L138" s="130"/>
      <c r="M138" s="130"/>
      <c r="N138" s="130"/>
      <c r="O138" s="130"/>
      <c r="P138" s="130"/>
      <c r="Q138" s="130"/>
      <c r="R138" s="130"/>
      <c r="S138" s="130"/>
      <c r="T138" s="130"/>
      <c r="U138" s="130"/>
      <c r="V138" s="130"/>
      <c r="W138" s="130"/>
    </row>
    <row r="139" spans="3:23" x14ac:dyDescent="0.25">
      <c r="C139" s="130"/>
      <c r="D139" s="130"/>
      <c r="E139" s="130"/>
      <c r="F139" s="130"/>
      <c r="G139" s="130"/>
      <c r="H139" s="130"/>
      <c r="I139" s="130"/>
      <c r="J139" s="130"/>
      <c r="K139" s="130"/>
      <c r="L139" s="130"/>
      <c r="M139" s="130"/>
      <c r="N139" s="130"/>
      <c r="O139" s="130"/>
      <c r="P139" s="130"/>
      <c r="Q139" s="130"/>
      <c r="R139" s="130"/>
      <c r="S139" s="130"/>
      <c r="T139" s="130"/>
      <c r="U139" s="130"/>
      <c r="V139" s="130"/>
      <c r="W139" s="130"/>
    </row>
    <row r="140" spans="3:23" x14ac:dyDescent="0.25">
      <c r="C140" s="130"/>
      <c r="D140" s="130"/>
      <c r="E140" s="130"/>
      <c r="F140" s="130"/>
      <c r="G140" s="130"/>
      <c r="H140" s="130"/>
      <c r="I140" s="130"/>
      <c r="J140" s="130"/>
      <c r="K140" s="130"/>
      <c r="L140" s="130"/>
      <c r="M140" s="130"/>
      <c r="N140" s="130"/>
      <c r="O140" s="130"/>
      <c r="P140" s="130"/>
      <c r="Q140" s="130"/>
      <c r="R140" s="130"/>
      <c r="S140" s="130"/>
      <c r="T140" s="130"/>
      <c r="U140" s="130"/>
      <c r="V140" s="130"/>
      <c r="W140" s="130"/>
    </row>
    <row r="141" spans="3:23" x14ac:dyDescent="0.25">
      <c r="C141" s="130"/>
      <c r="D141" s="130"/>
      <c r="E141" s="130"/>
      <c r="F141" s="130"/>
      <c r="G141" s="130"/>
      <c r="H141" s="130"/>
      <c r="I141" s="130"/>
      <c r="J141" s="130"/>
      <c r="K141" s="130"/>
      <c r="L141" s="130"/>
      <c r="M141" s="130"/>
      <c r="N141" s="130"/>
      <c r="O141" s="130"/>
      <c r="P141" s="130"/>
      <c r="Q141" s="130"/>
      <c r="R141" s="130"/>
      <c r="S141" s="130"/>
      <c r="T141" s="130"/>
      <c r="U141" s="130"/>
      <c r="V141" s="130"/>
      <c r="W141" s="130"/>
    </row>
    <row r="142" spans="3:23" x14ac:dyDescent="0.25">
      <c r="C142" s="130"/>
      <c r="D142" s="130"/>
      <c r="E142" s="130"/>
      <c r="F142" s="130"/>
      <c r="G142" s="130"/>
      <c r="H142" s="130"/>
      <c r="I142" s="130"/>
      <c r="J142" s="130"/>
      <c r="K142" s="130"/>
      <c r="L142" s="130"/>
      <c r="M142" s="130"/>
      <c r="N142" s="130"/>
      <c r="O142" s="130"/>
      <c r="P142" s="130"/>
      <c r="Q142" s="130"/>
      <c r="R142" s="130"/>
      <c r="S142" s="130"/>
      <c r="T142" s="130"/>
      <c r="U142" s="130"/>
      <c r="V142" s="130"/>
      <c r="W142" s="130"/>
    </row>
    <row r="143" spans="3:23" x14ac:dyDescent="0.25">
      <c r="C143" s="130"/>
      <c r="D143" s="130"/>
      <c r="E143" s="130"/>
      <c r="F143" s="130"/>
      <c r="G143" s="130"/>
      <c r="H143" s="130"/>
      <c r="I143" s="130"/>
      <c r="J143" s="130"/>
      <c r="K143" s="130"/>
      <c r="L143" s="130"/>
      <c r="M143" s="130"/>
      <c r="N143" s="130"/>
      <c r="O143" s="130"/>
      <c r="P143" s="130"/>
      <c r="Q143" s="130"/>
      <c r="R143" s="130"/>
      <c r="S143" s="130"/>
      <c r="T143" s="130"/>
      <c r="U143" s="130"/>
      <c r="V143" s="130"/>
      <c r="W143" s="130"/>
    </row>
    <row r="144" spans="3:23" x14ac:dyDescent="0.25">
      <c r="C144" s="130"/>
      <c r="D144" s="130"/>
      <c r="E144" s="130"/>
      <c r="F144" s="130"/>
      <c r="G144" s="130"/>
      <c r="H144" s="130"/>
      <c r="I144" s="130"/>
      <c r="J144" s="130"/>
      <c r="K144" s="130"/>
      <c r="L144" s="130"/>
      <c r="M144" s="130"/>
      <c r="N144" s="130"/>
      <c r="O144" s="130"/>
      <c r="P144" s="130"/>
      <c r="Q144" s="130"/>
      <c r="R144" s="130"/>
      <c r="S144" s="130"/>
      <c r="T144" s="130"/>
      <c r="U144" s="130"/>
      <c r="V144" s="130"/>
      <c r="W144" s="130"/>
    </row>
    <row r="145" spans="3:27" x14ac:dyDescent="0.25">
      <c r="C145" s="130"/>
      <c r="D145" s="130"/>
      <c r="E145" s="130"/>
      <c r="F145" s="130"/>
      <c r="G145" s="130"/>
      <c r="H145" s="130"/>
      <c r="I145" s="130"/>
      <c r="J145" s="130"/>
      <c r="K145" s="130"/>
      <c r="L145" s="130"/>
      <c r="M145" s="130"/>
      <c r="N145" s="130"/>
      <c r="O145" s="130"/>
      <c r="P145" s="130"/>
      <c r="Q145" s="130"/>
      <c r="R145" s="130"/>
      <c r="S145" s="130"/>
      <c r="T145" s="130"/>
      <c r="U145" s="130"/>
      <c r="V145" s="130"/>
      <c r="W145" s="130"/>
    </row>
    <row r="146" spans="3:27" x14ac:dyDescent="0.25">
      <c r="C146" s="130"/>
      <c r="D146" s="130"/>
      <c r="E146" s="130"/>
      <c r="F146" s="130"/>
      <c r="G146" s="130"/>
      <c r="H146" s="130"/>
      <c r="I146" s="130"/>
      <c r="J146" s="130"/>
      <c r="K146" s="130"/>
      <c r="L146" s="130"/>
      <c r="M146" s="130"/>
      <c r="N146" s="130"/>
      <c r="O146" s="130"/>
      <c r="P146" s="130"/>
      <c r="Q146" s="130"/>
      <c r="R146" s="130"/>
      <c r="S146" s="130"/>
      <c r="T146" s="130"/>
      <c r="U146" s="130"/>
      <c r="V146" s="130"/>
      <c r="W146" s="130"/>
    </row>
    <row r="147" spans="3:27" x14ac:dyDescent="0.25">
      <c r="C147" s="130"/>
      <c r="D147" s="130"/>
      <c r="E147" s="130"/>
      <c r="F147" s="130"/>
      <c r="G147" s="130"/>
      <c r="H147" s="130"/>
      <c r="I147" s="130"/>
      <c r="J147" s="130"/>
      <c r="K147" s="130"/>
      <c r="L147" s="130"/>
      <c r="M147" s="130"/>
      <c r="N147" s="130"/>
      <c r="O147" s="130"/>
      <c r="P147" s="130"/>
      <c r="Q147" s="130"/>
      <c r="R147" s="130"/>
      <c r="S147" s="130"/>
      <c r="T147" s="130"/>
      <c r="U147" s="130"/>
      <c r="V147" s="130"/>
      <c r="W147" s="130"/>
    </row>
    <row r="148" spans="3:27" x14ac:dyDescent="0.25">
      <c r="C148" s="130"/>
      <c r="D148" s="130"/>
      <c r="E148" s="130"/>
      <c r="F148" s="130"/>
      <c r="G148" s="130"/>
      <c r="H148" s="130"/>
      <c r="I148" s="130"/>
      <c r="J148" s="130"/>
      <c r="K148" s="130"/>
      <c r="L148" s="130"/>
      <c r="M148" s="130"/>
      <c r="N148" s="130"/>
      <c r="O148" s="130"/>
      <c r="P148" s="130"/>
      <c r="Q148" s="130"/>
      <c r="R148" s="130"/>
      <c r="S148" s="130"/>
      <c r="T148" s="130"/>
      <c r="U148" s="130"/>
      <c r="V148" s="130"/>
      <c r="W148" s="130"/>
    </row>
    <row r="149" spans="3:27" x14ac:dyDescent="0.25">
      <c r="C149" s="130"/>
      <c r="D149" s="130"/>
      <c r="E149" s="130"/>
      <c r="F149" s="130"/>
      <c r="G149" s="130"/>
      <c r="H149" s="130"/>
      <c r="I149" s="130"/>
      <c r="J149" s="130"/>
      <c r="K149" s="130"/>
      <c r="L149" s="130"/>
      <c r="M149" s="130"/>
      <c r="N149" s="130"/>
      <c r="O149" s="130"/>
      <c r="P149" s="130"/>
      <c r="Q149" s="130"/>
      <c r="R149" s="130"/>
      <c r="S149" s="130"/>
      <c r="T149" s="130"/>
      <c r="U149" s="130"/>
      <c r="V149" s="130"/>
      <c r="W149" s="130"/>
    </row>
    <row r="150" spans="3:27" x14ac:dyDescent="0.25">
      <c r="C150" s="130"/>
      <c r="D150" s="130"/>
      <c r="E150" s="130"/>
      <c r="F150" s="130"/>
      <c r="G150" s="130"/>
      <c r="H150" s="130"/>
      <c r="I150" s="130"/>
      <c r="J150" s="130"/>
      <c r="K150" s="130"/>
      <c r="L150" s="130"/>
      <c r="M150" s="130"/>
      <c r="N150" s="130"/>
      <c r="O150" s="130"/>
      <c r="P150" s="130"/>
      <c r="Q150" s="130"/>
      <c r="R150" s="130"/>
      <c r="S150" s="130"/>
      <c r="T150" s="130"/>
      <c r="U150" s="130"/>
      <c r="V150" s="130"/>
      <c r="W150" s="130"/>
    </row>
    <row r="151" spans="3:27" x14ac:dyDescent="0.25">
      <c r="C151" s="130"/>
      <c r="D151" s="130"/>
      <c r="E151" s="130"/>
      <c r="F151" s="130"/>
      <c r="G151" s="130"/>
      <c r="H151" s="130"/>
      <c r="I151" s="130"/>
      <c r="J151" s="130"/>
      <c r="K151" s="130"/>
      <c r="L151" s="130"/>
      <c r="M151" s="130"/>
      <c r="N151" s="130"/>
      <c r="O151" s="130"/>
      <c r="P151" s="130"/>
      <c r="Q151" s="130"/>
      <c r="R151" s="130"/>
      <c r="S151" s="130"/>
      <c r="T151" s="130"/>
      <c r="U151" s="130"/>
      <c r="V151" s="130"/>
      <c r="W151" s="130"/>
    </row>
    <row r="152" spans="3:27" x14ac:dyDescent="0.25">
      <c r="C152" s="130"/>
      <c r="D152" s="130"/>
      <c r="E152" s="130"/>
      <c r="F152" s="130"/>
      <c r="G152" s="130"/>
      <c r="H152" s="130"/>
      <c r="I152" s="130"/>
      <c r="J152" s="130"/>
      <c r="K152" s="130"/>
      <c r="L152" s="130"/>
      <c r="M152" s="130"/>
      <c r="N152" s="130"/>
      <c r="O152" s="130"/>
      <c r="P152" s="130"/>
      <c r="Q152" s="130"/>
      <c r="R152" s="130"/>
      <c r="S152" s="130"/>
      <c r="T152" s="130"/>
      <c r="U152" s="130"/>
      <c r="V152" s="130"/>
      <c r="W152" s="130"/>
    </row>
    <row r="153" spans="3:27" ht="15.75" x14ac:dyDescent="0.25">
      <c r="C153" s="149" t="s">
        <v>423</v>
      </c>
      <c r="D153" s="130"/>
      <c r="E153" s="130"/>
      <c r="F153" s="130"/>
      <c r="G153" s="130"/>
      <c r="H153" s="130"/>
      <c r="I153" s="130"/>
      <c r="J153" s="130"/>
      <c r="K153" s="130"/>
      <c r="L153" s="130"/>
      <c r="M153" s="130"/>
      <c r="N153" s="130"/>
      <c r="O153" s="130"/>
      <c r="P153" s="130"/>
      <c r="Q153" s="130"/>
      <c r="R153" s="130"/>
      <c r="S153" s="130"/>
      <c r="T153" s="130"/>
      <c r="U153" s="130"/>
      <c r="V153" s="130"/>
      <c r="W153" s="130"/>
    </row>
    <row r="154" spans="3:27" x14ac:dyDescent="0.25">
      <c r="C154" s="130"/>
      <c r="D154" s="130"/>
      <c r="E154" s="384" t="s">
        <v>419</v>
      </c>
      <c r="F154" s="384"/>
      <c r="G154" s="384"/>
      <c r="H154" s="134"/>
      <c r="I154" s="187" t="s">
        <v>269</v>
      </c>
      <c r="J154" s="187"/>
      <c r="K154" s="187"/>
      <c r="L154" s="134"/>
      <c r="M154" s="384" t="s">
        <v>270</v>
      </c>
      <c r="N154" s="384"/>
      <c r="O154" s="384"/>
      <c r="P154" s="134"/>
      <c r="Q154" s="384" t="s">
        <v>271</v>
      </c>
      <c r="R154" s="384"/>
      <c r="S154" s="384"/>
      <c r="T154" s="134"/>
      <c r="U154" s="384" t="s">
        <v>420</v>
      </c>
      <c r="V154" s="384"/>
      <c r="W154" s="384"/>
      <c r="Y154" s="384" t="s">
        <v>447</v>
      </c>
      <c r="Z154" s="384"/>
      <c r="AA154" s="384"/>
    </row>
    <row r="155" spans="3:27" x14ac:dyDescent="0.25">
      <c r="C155" s="130"/>
      <c r="D155" s="130"/>
      <c r="E155" s="130" t="s">
        <v>255</v>
      </c>
      <c r="F155" s="130" t="s">
        <v>589</v>
      </c>
      <c r="G155" s="130" t="s">
        <v>590</v>
      </c>
      <c r="H155" s="130"/>
      <c r="I155" s="130" t="s">
        <v>255</v>
      </c>
      <c r="J155" s="130" t="s">
        <v>589</v>
      </c>
      <c r="K155" s="130" t="s">
        <v>590</v>
      </c>
      <c r="L155" s="130"/>
      <c r="M155" s="130" t="s">
        <v>255</v>
      </c>
      <c r="N155" s="130" t="s">
        <v>589</v>
      </c>
      <c r="O155" s="130" t="s">
        <v>590</v>
      </c>
      <c r="P155" s="130"/>
      <c r="Q155" s="130" t="s">
        <v>255</v>
      </c>
      <c r="R155" s="130" t="s">
        <v>589</v>
      </c>
      <c r="S155" s="130" t="s">
        <v>590</v>
      </c>
      <c r="T155" s="130"/>
      <c r="U155" s="130" t="s">
        <v>255</v>
      </c>
      <c r="V155" s="130" t="s">
        <v>589</v>
      </c>
      <c r="W155" s="130" t="s">
        <v>590</v>
      </c>
      <c r="Y155" s="130" t="s">
        <v>255</v>
      </c>
      <c r="Z155" s="130" t="s">
        <v>589</v>
      </c>
      <c r="AA155" s="130" t="s">
        <v>590</v>
      </c>
    </row>
    <row r="156" spans="3:27" x14ac:dyDescent="0.25">
      <c r="C156" s="130" t="s">
        <v>92</v>
      </c>
      <c r="D156" s="130" t="s">
        <v>591</v>
      </c>
      <c r="E156" s="131">
        <f>D9</f>
        <v>1646</v>
      </c>
      <c r="F156" s="131" t="e">
        <f>D11</f>
        <v>#REF!</v>
      </c>
      <c r="G156" s="131"/>
      <c r="H156" s="131"/>
      <c r="I156" s="131">
        <f>E9</f>
        <v>1420</v>
      </c>
      <c r="J156" s="131" t="e">
        <f>E11</f>
        <v>#REF!</v>
      </c>
      <c r="K156" s="131"/>
      <c r="L156" s="131"/>
      <c r="M156" s="131">
        <f>F9</f>
        <v>1496</v>
      </c>
      <c r="N156" s="131" t="e">
        <f>F11</f>
        <v>#REF!</v>
      </c>
      <c r="O156" s="131"/>
      <c r="P156" s="131"/>
      <c r="Q156" s="131">
        <f>G9</f>
        <v>1517</v>
      </c>
      <c r="R156" s="131" t="e">
        <f>G11</f>
        <v>#REF!</v>
      </c>
      <c r="S156" s="131"/>
      <c r="T156" s="131"/>
      <c r="U156" s="131">
        <f>H9</f>
        <v>1508</v>
      </c>
      <c r="V156" s="131" t="e">
        <f>H11</f>
        <v>#REF!</v>
      </c>
      <c r="W156" s="131"/>
      <c r="Y156" s="131">
        <f>I9</f>
        <v>1517.4</v>
      </c>
      <c r="Z156" s="131" t="e">
        <f>I11</f>
        <v>#REF!</v>
      </c>
      <c r="AA156" s="131"/>
    </row>
    <row r="157" spans="3:27" x14ac:dyDescent="0.25">
      <c r="C157" s="130"/>
      <c r="D157" s="130" t="s">
        <v>592</v>
      </c>
      <c r="E157" s="131"/>
      <c r="F157" s="131"/>
      <c r="G157" s="131" t="e">
        <f>D19</f>
        <v>#REF!</v>
      </c>
      <c r="H157" s="131"/>
      <c r="I157" s="131"/>
      <c r="J157" s="131"/>
      <c r="K157" s="131" t="e">
        <f>E19</f>
        <v>#REF!</v>
      </c>
      <c r="L157" s="131"/>
      <c r="M157" s="131"/>
      <c r="N157" s="131"/>
      <c r="O157" s="131" t="e">
        <f>F19</f>
        <v>#REF!</v>
      </c>
      <c r="P157" s="131"/>
      <c r="Q157" s="131"/>
      <c r="R157" s="131"/>
      <c r="S157" s="131" t="e">
        <f>G19</f>
        <v>#REF!</v>
      </c>
      <c r="T157" s="131"/>
      <c r="U157" s="131"/>
      <c r="V157" s="131"/>
      <c r="W157" s="131" t="e">
        <f>H19</f>
        <v>#REF!</v>
      </c>
      <c r="Y157" s="131"/>
      <c r="Z157" s="131"/>
      <c r="AA157" s="131" t="e">
        <f>I19</f>
        <v>#REF!</v>
      </c>
    </row>
    <row r="158" spans="3:27" x14ac:dyDescent="0.25">
      <c r="C158" s="130"/>
      <c r="D158" s="130" t="s">
        <v>593</v>
      </c>
      <c r="E158" s="131"/>
      <c r="F158" s="131"/>
      <c r="G158" s="131" t="e">
        <f>D20</f>
        <v>#REF!</v>
      </c>
      <c r="H158" s="131"/>
      <c r="I158" s="131"/>
      <c r="J158" s="131"/>
      <c r="K158" s="131" t="e">
        <f>E20</f>
        <v>#REF!</v>
      </c>
      <c r="L158" s="131"/>
      <c r="M158" s="131"/>
      <c r="N158" s="131"/>
      <c r="O158" s="131" t="e">
        <f>F20</f>
        <v>#REF!</v>
      </c>
      <c r="P158" s="131"/>
      <c r="Q158" s="131"/>
      <c r="R158" s="131"/>
      <c r="S158" s="131" t="e">
        <f>G20</f>
        <v>#REF!</v>
      </c>
      <c r="T158" s="131"/>
      <c r="U158" s="131"/>
      <c r="V158" s="131"/>
      <c r="W158" s="131" t="e">
        <f>H20</f>
        <v>#REF!</v>
      </c>
      <c r="Y158" s="131"/>
      <c r="Z158" s="131"/>
      <c r="AA158" s="131" t="e">
        <f>I20</f>
        <v>#REF!</v>
      </c>
    </row>
    <row r="159" spans="3:27" x14ac:dyDescent="0.25">
      <c r="C159" s="130"/>
      <c r="D159" s="130" t="s">
        <v>313</v>
      </c>
      <c r="E159" s="131"/>
      <c r="F159" s="131"/>
      <c r="G159" s="131" t="e">
        <f>D25</f>
        <v>#REF!</v>
      </c>
      <c r="H159" s="131"/>
      <c r="I159" s="131"/>
      <c r="J159" s="131"/>
      <c r="K159" s="131" t="e">
        <f>E25</f>
        <v>#REF!</v>
      </c>
      <c r="L159" s="131"/>
      <c r="M159" s="131"/>
      <c r="N159" s="131"/>
      <c r="O159" s="131" t="e">
        <f>F25</f>
        <v>#REF!</v>
      </c>
      <c r="P159" s="131"/>
      <c r="Q159" s="131"/>
      <c r="R159" s="131"/>
      <c r="S159" s="131" t="e">
        <f>G25</f>
        <v>#REF!</v>
      </c>
      <c r="T159" s="131"/>
      <c r="U159" s="131"/>
      <c r="V159" s="131"/>
      <c r="W159" s="131" t="e">
        <f>H25</f>
        <v>#REF!</v>
      </c>
      <c r="Y159" s="131"/>
      <c r="Z159" s="131"/>
      <c r="AA159" s="131" t="e">
        <f>I25</f>
        <v>#REF!</v>
      </c>
    </row>
    <row r="160" spans="3:27" x14ac:dyDescent="0.25">
      <c r="C160" s="130"/>
      <c r="D160" s="130" t="s">
        <v>375</v>
      </c>
      <c r="E160" s="131">
        <f>SUM(E156:E159)</f>
        <v>1646</v>
      </c>
      <c r="F160" s="131" t="e">
        <f>SUM(F156:F159)</f>
        <v>#REF!</v>
      </c>
      <c r="G160" s="131" t="e">
        <f>SUM(G156:G159)</f>
        <v>#REF!</v>
      </c>
      <c r="H160" s="131"/>
      <c r="I160" s="131">
        <f>SUM(I156:I159)</f>
        <v>1420</v>
      </c>
      <c r="J160" s="131" t="e">
        <f>SUM(J156:J159)</f>
        <v>#REF!</v>
      </c>
      <c r="K160" s="131" t="e">
        <f>SUM(K156:K159)</f>
        <v>#REF!</v>
      </c>
      <c r="L160" s="131"/>
      <c r="M160" s="131">
        <f>SUM(M156:M159)</f>
        <v>1496</v>
      </c>
      <c r="N160" s="131" t="e">
        <f>SUM(N156:N159)</f>
        <v>#REF!</v>
      </c>
      <c r="O160" s="131" t="e">
        <f>SUM(O156:O159)</f>
        <v>#REF!</v>
      </c>
      <c r="P160" s="131"/>
      <c r="Q160" s="131">
        <f>SUM(Q156:Q159)</f>
        <v>1517</v>
      </c>
      <c r="R160" s="131" t="e">
        <f>SUM(R156:R159)</f>
        <v>#REF!</v>
      </c>
      <c r="S160" s="131" t="e">
        <f>SUM(S156:S159)</f>
        <v>#REF!</v>
      </c>
      <c r="T160" s="131"/>
      <c r="U160" s="131">
        <f>SUM(U156:U159)</f>
        <v>1508</v>
      </c>
      <c r="V160" s="131" t="e">
        <f>SUM(V156:V159)</f>
        <v>#REF!</v>
      </c>
      <c r="W160" s="131" t="e">
        <f>SUM(W156:W159)</f>
        <v>#REF!</v>
      </c>
      <c r="Y160" s="131">
        <f>SUM(Y156:Y159)</f>
        <v>1517.4</v>
      </c>
      <c r="Z160" s="131" t="e">
        <f>SUM(Z156:Z159)</f>
        <v>#REF!</v>
      </c>
      <c r="AA160" s="131" t="e">
        <f>SUM(AA156:AA159)</f>
        <v>#REF!</v>
      </c>
    </row>
    <row r="161" spans="3:27" x14ac:dyDescent="0.25">
      <c r="C161" s="130" t="s">
        <v>93</v>
      </c>
      <c r="D161" s="130" t="s">
        <v>591</v>
      </c>
      <c r="E161" s="131">
        <f>D55</f>
        <v>7231</v>
      </c>
      <c r="F161" s="131" t="e">
        <f>D57</f>
        <v>#REF!</v>
      </c>
      <c r="G161" s="131"/>
      <c r="H161" s="131"/>
      <c r="I161" s="131">
        <v>5821.8302682619278</v>
      </c>
      <c r="J161" s="131" t="e">
        <f>E57</f>
        <v>#REF!</v>
      </c>
      <c r="K161" s="131"/>
      <c r="L161" s="131"/>
      <c r="M161" s="131">
        <v>6238.51778293806</v>
      </c>
      <c r="N161" s="131" t="e">
        <f>F57</f>
        <v>#REF!</v>
      </c>
      <c r="O161" s="131"/>
      <c r="P161" s="131"/>
      <c r="Q161" s="131">
        <v>5745.4466959649289</v>
      </c>
      <c r="R161" s="131" t="e">
        <f>G57</f>
        <v>#REF!</v>
      </c>
      <c r="S161" s="131"/>
      <c r="T161" s="131"/>
      <c r="U161" s="131">
        <v>6368.5295238992685</v>
      </c>
      <c r="V161" s="131" t="e">
        <f>H57</f>
        <v>#REF!</v>
      </c>
      <c r="W161" s="131"/>
      <c r="Y161" s="131">
        <v>6368.5295238992685</v>
      </c>
      <c r="Z161" s="131" t="e">
        <f>I57</f>
        <v>#REF!</v>
      </c>
      <c r="AA161" s="131"/>
    </row>
    <row r="162" spans="3:27" x14ac:dyDescent="0.25">
      <c r="C162" s="130"/>
      <c r="D162" s="130" t="s">
        <v>592</v>
      </c>
      <c r="E162" s="131"/>
      <c r="F162" s="131"/>
      <c r="G162" s="131" t="e">
        <f>D65</f>
        <v>#REF!</v>
      </c>
      <c r="H162" s="131"/>
      <c r="I162" s="131"/>
      <c r="J162" s="131"/>
      <c r="K162" s="131" t="e">
        <f>E65</f>
        <v>#REF!</v>
      </c>
      <c r="L162" s="131"/>
      <c r="M162" s="131"/>
      <c r="N162" s="131"/>
      <c r="O162" s="131" t="e">
        <f>F65</f>
        <v>#REF!</v>
      </c>
      <c r="P162" s="131"/>
      <c r="Q162" s="131"/>
      <c r="R162" s="131"/>
      <c r="S162" s="131" t="e">
        <f>G65</f>
        <v>#REF!</v>
      </c>
      <c r="T162" s="131"/>
      <c r="U162" s="131"/>
      <c r="V162" s="131"/>
      <c r="W162" s="131" t="e">
        <f>H65</f>
        <v>#REF!</v>
      </c>
      <c r="Y162" s="131"/>
      <c r="Z162" s="131"/>
      <c r="AA162" s="131" t="e">
        <f>I65</f>
        <v>#REF!</v>
      </c>
    </row>
    <row r="163" spans="3:27" x14ac:dyDescent="0.25">
      <c r="C163" s="130"/>
      <c r="D163" s="130" t="s">
        <v>593</v>
      </c>
      <c r="E163" s="131"/>
      <c r="F163" s="131"/>
      <c r="G163" s="131" t="e">
        <f>D66</f>
        <v>#REF!</v>
      </c>
      <c r="H163" s="131"/>
      <c r="I163" s="131"/>
      <c r="J163" s="131"/>
      <c r="K163" s="131" t="e">
        <f>E66</f>
        <v>#REF!</v>
      </c>
      <c r="L163" s="131"/>
      <c r="M163" s="131"/>
      <c r="N163" s="131"/>
      <c r="O163" s="131" t="e">
        <f>F66</f>
        <v>#REF!</v>
      </c>
      <c r="P163" s="131"/>
      <c r="Q163" s="131"/>
      <c r="R163" s="131"/>
      <c r="S163" s="131" t="e">
        <f>G66</f>
        <v>#REF!</v>
      </c>
      <c r="T163" s="131"/>
      <c r="U163" s="131"/>
      <c r="V163" s="131"/>
      <c r="W163" s="131" t="e">
        <f>H66</f>
        <v>#REF!</v>
      </c>
      <c r="Y163" s="131"/>
      <c r="Z163" s="131"/>
      <c r="AA163" s="131" t="e">
        <f>I66</f>
        <v>#REF!</v>
      </c>
    </row>
    <row r="164" spans="3:27" x14ac:dyDescent="0.25">
      <c r="C164" s="130"/>
      <c r="D164" s="130" t="s">
        <v>313</v>
      </c>
      <c r="E164" s="131"/>
      <c r="F164" s="131"/>
      <c r="G164" s="131" t="e">
        <f>D71</f>
        <v>#REF!</v>
      </c>
      <c r="H164" s="131"/>
      <c r="I164" s="131"/>
      <c r="J164" s="131"/>
      <c r="K164" s="131" t="e">
        <f>E71</f>
        <v>#REF!</v>
      </c>
      <c r="L164" s="131"/>
      <c r="M164" s="131"/>
      <c r="N164" s="131"/>
      <c r="O164" s="131" t="e">
        <f>F71</f>
        <v>#REF!</v>
      </c>
      <c r="P164" s="131"/>
      <c r="Q164" s="131"/>
      <c r="R164" s="131"/>
      <c r="S164" s="131" t="e">
        <f>G71</f>
        <v>#REF!</v>
      </c>
      <c r="T164" s="131"/>
      <c r="U164" s="131"/>
      <c r="V164" s="131"/>
      <c r="W164" s="131" t="e">
        <f>H71</f>
        <v>#REF!</v>
      </c>
      <c r="Y164" s="131"/>
      <c r="Z164" s="131"/>
      <c r="AA164" s="131" t="e">
        <f>I71</f>
        <v>#REF!</v>
      </c>
    </row>
    <row r="165" spans="3:27" x14ac:dyDescent="0.25">
      <c r="D165" s="130" t="s">
        <v>375</v>
      </c>
      <c r="E165" s="131">
        <f>SUM(E161:E164)</f>
        <v>7231</v>
      </c>
      <c r="F165" s="131" t="e">
        <f>SUM(F161:F164)</f>
        <v>#REF!</v>
      </c>
      <c r="G165" s="131" t="e">
        <f>SUM(G161:G164)</f>
        <v>#REF!</v>
      </c>
      <c r="I165" s="131">
        <f>SUM(I161:I164)</f>
        <v>5821.8302682619278</v>
      </c>
      <c r="J165" s="131" t="e">
        <f>SUM(J161:J164)</f>
        <v>#REF!</v>
      </c>
      <c r="K165" s="131" t="e">
        <f>SUM(K161:K164)</f>
        <v>#REF!</v>
      </c>
      <c r="M165" s="131">
        <f>SUM(M161:M164)</f>
        <v>6238.51778293806</v>
      </c>
      <c r="N165" s="131" t="e">
        <f>SUM(N161:N164)</f>
        <v>#REF!</v>
      </c>
      <c r="O165" s="131" t="e">
        <f>SUM(O161:O164)</f>
        <v>#REF!</v>
      </c>
      <c r="Q165" s="131">
        <f>SUM(Q161:Q164)</f>
        <v>5745.4466959649289</v>
      </c>
      <c r="R165" s="131" t="e">
        <f>SUM(R161:R164)</f>
        <v>#REF!</v>
      </c>
      <c r="S165" s="131" t="e">
        <f>SUM(S161:S164)</f>
        <v>#REF!</v>
      </c>
      <c r="U165" s="131">
        <f>SUM(U161:U164)</f>
        <v>6368.5295238992685</v>
      </c>
      <c r="V165" s="131" t="e">
        <f>SUM(V161:V164)</f>
        <v>#REF!</v>
      </c>
      <c r="W165" s="131" t="e">
        <f>SUM(W161:W164)</f>
        <v>#REF!</v>
      </c>
      <c r="Y165" s="131">
        <f>SUM(Y161:Y164)</f>
        <v>6368.5295238992685</v>
      </c>
      <c r="Z165" s="131" t="e">
        <f>SUM(Z161:Z164)</f>
        <v>#REF!</v>
      </c>
      <c r="AA165" s="131" t="e">
        <f>SUM(AA161:AA164)</f>
        <v>#REF!</v>
      </c>
    </row>
  </sheetData>
  <mergeCells count="7">
    <mergeCell ref="Y154:AA154"/>
    <mergeCell ref="U154:W154"/>
    <mergeCell ref="A2:A3"/>
    <mergeCell ref="E154:G154"/>
    <mergeCell ref="M154:O154"/>
    <mergeCell ref="Q154:S154"/>
    <mergeCell ref="D109:E109"/>
  </mergeCells>
  <dataValidations disablePrompts="1" count="1">
    <dataValidation type="list" allowBlank="1" showInputMessage="1" showErrorMessage="1" sqref="D109:E109" xr:uid="{97418DEB-8E64-4449-87DF-0A73D7B4093B}">
      <formula1>"Day,Month"</formula1>
    </dataValidation>
  </dataValidations>
  <pageMargins left="0.7" right="0.7" top="0.75" bottom="0.75" header="0.3" footer="0.3"/>
  <pageSetup paperSize="9" orientation="portrait" r:id="rId1"/>
  <ignoredErrors>
    <ignoredError sqref="D11:I14 D33:I97 E32:I32 D22:I31 E21:I21 E20:I20 E19:I19 D16:I18 E15:I15" calculatedColumn="1"/>
  </ignoredErrors>
  <drawing r:id="rId2"/>
  <tableParts count="4">
    <tablePart r:id="rId3"/>
    <tablePart r:id="rId4"/>
    <tablePart r:id="rId5"/>
    <tablePart r:id="rId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76D48-752C-481E-840C-2FD0498EF33C}">
  <sheetPr>
    <tabColor rgb="FFFFB13F"/>
  </sheetPr>
  <dimension ref="A1:X102"/>
  <sheetViews>
    <sheetView showGridLines="0" topLeftCell="B1" zoomScale="70" zoomScaleNormal="70" workbookViewId="0">
      <pane ySplit="3" topLeftCell="A16" activePane="bottomLeft" state="frozen"/>
      <selection pane="bottomLeft" activeCell="C5" sqref="C5"/>
    </sheetView>
  </sheetViews>
  <sheetFormatPr defaultColWidth="9.42578125" defaultRowHeight="15" outlineLevelRow="1" outlineLevelCol="1" x14ac:dyDescent="0.25"/>
  <cols>
    <col min="1" max="1" width="100.5703125" hidden="1" customWidth="1" outlineLevel="1"/>
    <col min="2" max="2" width="10.5703125" style="6" customWidth="1" collapsed="1"/>
    <col min="3" max="17" width="25.5703125" customWidth="1"/>
    <col min="18" max="18" width="5.5703125" customWidth="1"/>
    <col min="19" max="19" width="11.42578125" bestFit="1" customWidth="1"/>
    <col min="22" max="22" width="13.42578125" bestFit="1" customWidth="1"/>
  </cols>
  <sheetData>
    <row r="1" spans="1:18" ht="15" customHeight="1" x14ac:dyDescent="0.25">
      <c r="A1" s="1" t="s">
        <v>20</v>
      </c>
      <c r="B1" s="21"/>
      <c r="C1" s="22"/>
      <c r="D1" s="22"/>
      <c r="E1" s="22"/>
      <c r="F1" s="123" t="s">
        <v>411</v>
      </c>
      <c r="G1" s="96"/>
      <c r="H1" s="22"/>
      <c r="I1" s="22"/>
      <c r="J1" s="22"/>
      <c r="K1" s="22"/>
      <c r="L1" s="22"/>
      <c r="M1" s="22"/>
      <c r="N1" s="22"/>
      <c r="O1" s="22"/>
      <c r="P1" s="22"/>
      <c r="Q1" s="22"/>
      <c r="R1" s="22"/>
    </row>
    <row r="2" spans="1:18" s="4" customFormat="1" ht="50.1" customHeight="1" x14ac:dyDescent="0.25">
      <c r="A2" s="382" t="s">
        <v>21</v>
      </c>
      <c r="B2" s="25"/>
      <c r="C2" s="25" t="str">
        <f>Disclaimer!$B$1</f>
        <v>VDO calculation model</v>
      </c>
      <c r="D2" s="25"/>
      <c r="E2" s="25"/>
      <c r="F2" s="240" t="str">
        <f>Calc_Rates!$D$5</f>
        <v>VDO 2022-23 - Draft</v>
      </c>
      <c r="G2" s="240" t="str">
        <f>Calc_Rates!$D$254</f>
        <v>VDO 2022 - Final</v>
      </c>
      <c r="H2" s="25"/>
      <c r="I2" s="25"/>
      <c r="J2" s="25"/>
      <c r="K2" s="25"/>
      <c r="L2" s="25"/>
      <c r="M2" s="25"/>
      <c r="N2" s="25"/>
      <c r="O2" s="25"/>
      <c r="P2" s="25"/>
      <c r="Q2" s="25"/>
      <c r="R2" s="25"/>
    </row>
    <row r="3" spans="1:18" s="4" customFormat="1" ht="30" customHeight="1" x14ac:dyDescent="0.25">
      <c r="A3" s="383"/>
      <c r="B3" s="27">
        <f ca="1">_xlfn.SHEET()</f>
        <v>25</v>
      </c>
      <c r="C3" s="26" t="s">
        <v>333</v>
      </c>
      <c r="D3" s="26"/>
      <c r="E3" s="26"/>
      <c r="F3" s="95">
        <f>SUM(D69:H69,M34)</f>
        <v>0</v>
      </c>
      <c r="G3" s="95">
        <f>SUM(L69:P69,M35)</f>
        <v>0</v>
      </c>
      <c r="H3" s="26"/>
      <c r="I3" s="26"/>
      <c r="J3" s="26"/>
      <c r="K3" s="26"/>
      <c r="L3" s="26"/>
      <c r="M3" s="26"/>
      <c r="N3" s="26"/>
      <c r="O3" s="26"/>
      <c r="P3" s="26"/>
      <c r="Q3" s="26"/>
      <c r="R3" s="26"/>
    </row>
    <row r="4" spans="1:18" x14ac:dyDescent="0.25">
      <c r="B4"/>
    </row>
    <row r="5" spans="1:18" ht="16.5" thickBot="1" x14ac:dyDescent="0.3">
      <c r="A5" s="1" t="s">
        <v>23</v>
      </c>
      <c r="B5" s="9">
        <f ca="1">MAX(B$3:B4)+0.1</f>
        <v>25.1</v>
      </c>
      <c r="C5" s="28" t="str">
        <f>"VDO cost stack chart - Flat VDO - "&amp;IF(ISNUMBER(SEARCH("Residential",$C$47)),"Residential","Small business")</f>
        <v>VDO cost stack chart - Flat VDO - Small business</v>
      </c>
      <c r="D5" s="28"/>
      <c r="E5" s="28"/>
      <c r="F5" s="28"/>
      <c r="G5" s="28"/>
      <c r="H5" s="28"/>
      <c r="I5" s="28"/>
      <c r="J5" s="28"/>
      <c r="K5" s="28"/>
      <c r="L5" s="28"/>
      <c r="M5" s="28"/>
      <c r="N5" s="28"/>
      <c r="O5" s="28"/>
      <c r="P5" s="28"/>
      <c r="Q5" s="28"/>
      <c r="R5" s="28"/>
    </row>
    <row r="6" spans="1:18" outlineLevel="1" x14ac:dyDescent="0.25">
      <c r="B6"/>
    </row>
    <row r="7" spans="1:18" outlineLevel="1" x14ac:dyDescent="0.25">
      <c r="B7"/>
    </row>
    <row r="8" spans="1:18" outlineLevel="1" x14ac:dyDescent="0.25">
      <c r="B8"/>
    </row>
    <row r="9" spans="1:18" outlineLevel="1" x14ac:dyDescent="0.25">
      <c r="B9"/>
    </row>
    <row r="10" spans="1:18" outlineLevel="1" x14ac:dyDescent="0.25">
      <c r="B10"/>
    </row>
    <row r="11" spans="1:18" outlineLevel="1" x14ac:dyDescent="0.25">
      <c r="B11"/>
    </row>
    <row r="12" spans="1:18" outlineLevel="1" x14ac:dyDescent="0.25">
      <c r="B12"/>
    </row>
    <row r="13" spans="1:18" outlineLevel="1" x14ac:dyDescent="0.25">
      <c r="B13"/>
    </row>
    <row r="14" spans="1:18" outlineLevel="1" x14ac:dyDescent="0.25">
      <c r="B14"/>
    </row>
    <row r="15" spans="1:18" outlineLevel="1" x14ac:dyDescent="0.25">
      <c r="B15"/>
    </row>
    <row r="16" spans="1:18" outlineLevel="1" x14ac:dyDescent="0.25">
      <c r="B16"/>
    </row>
    <row r="17" spans="2:4" outlineLevel="1" x14ac:dyDescent="0.25">
      <c r="B17"/>
    </row>
    <row r="18" spans="2:4" outlineLevel="1" x14ac:dyDescent="0.25">
      <c r="B18"/>
    </row>
    <row r="19" spans="2:4" outlineLevel="1" x14ac:dyDescent="0.25">
      <c r="B19"/>
    </row>
    <row r="20" spans="2:4" outlineLevel="1" x14ac:dyDescent="0.25">
      <c r="B20"/>
    </row>
    <row r="21" spans="2:4" outlineLevel="1" x14ac:dyDescent="0.25">
      <c r="B21"/>
    </row>
    <row r="22" spans="2:4" outlineLevel="1" x14ac:dyDescent="0.25">
      <c r="B22"/>
    </row>
    <row r="23" spans="2:4" outlineLevel="1" x14ac:dyDescent="0.25">
      <c r="B23"/>
    </row>
    <row r="24" spans="2:4" outlineLevel="1" x14ac:dyDescent="0.25">
      <c r="B24"/>
    </row>
    <row r="25" spans="2:4" outlineLevel="1" x14ac:dyDescent="0.25">
      <c r="B25"/>
    </row>
    <row r="26" spans="2:4" outlineLevel="1" x14ac:dyDescent="0.25">
      <c r="B26"/>
    </row>
    <row r="27" spans="2:4" outlineLevel="1" x14ac:dyDescent="0.25">
      <c r="B27"/>
    </row>
    <row r="28" spans="2:4" outlineLevel="1" x14ac:dyDescent="0.25">
      <c r="B28"/>
    </row>
    <row r="29" spans="2:4" outlineLevel="1" x14ac:dyDescent="0.25">
      <c r="B29"/>
    </row>
    <row r="30" spans="2:4" outlineLevel="1" x14ac:dyDescent="0.25">
      <c r="B30"/>
    </row>
    <row r="31" spans="2:4" ht="15.75" outlineLevel="1" x14ac:dyDescent="0.25">
      <c r="B31"/>
      <c r="C31" s="42" t="s">
        <v>378</v>
      </c>
      <c r="D31" s="104" t="s">
        <v>374</v>
      </c>
    </row>
    <row r="32" spans="2:4" outlineLevel="1" x14ac:dyDescent="0.25">
      <c r="B32"/>
    </row>
    <row r="33" spans="1:18" ht="15.75" outlineLevel="1" x14ac:dyDescent="0.25">
      <c r="B33"/>
      <c r="C33" s="42" t="s">
        <v>377</v>
      </c>
      <c r="D33" s="42" t="s">
        <v>128</v>
      </c>
      <c r="E33" s="42" t="s">
        <v>121</v>
      </c>
      <c r="F33" s="42" t="s">
        <v>106</v>
      </c>
      <c r="G33" s="42" t="s">
        <v>151</v>
      </c>
      <c r="H33" s="42" t="s">
        <v>273</v>
      </c>
      <c r="I33" s="42" t="s">
        <v>202</v>
      </c>
      <c r="J33" s="42" t="s">
        <v>277</v>
      </c>
      <c r="K33" s="42" t="s">
        <v>375</v>
      </c>
    </row>
    <row r="34" spans="1:18" ht="15.75" outlineLevel="1" x14ac:dyDescent="0.25">
      <c r="B34"/>
      <c r="C34" s="82" t="str">
        <f>$L$44</f>
        <v>VDO 2022 - Final</v>
      </c>
      <c r="D34" s="105">
        <f>INDEX(CostStackCalcs_SME_2[[Ausnet]:[Average]],MATCH(D$33,CostStackCalcs_SME_2[[Labels]:[Labels]],0),MATCH($D$31,CostStackCalcs_SME_2[[#Headers],[Ausnet]:[Average]],0))</f>
        <v>1345.0359158236326</v>
      </c>
      <c r="E34" s="105">
        <f>INDEX(CostStackCalcs_SME_2[[Ausnet]:[Average]],MATCH(E$33,CostStackCalcs_SME_2[[Labels]:[Labels]],0),MATCH($D$31,CostStackCalcs_SME_2[[#Headers],[Ausnet]:[Average]],0))+
IF(INDEX(CostStackCalcs_SME_2[[Ausnet]:[Average]],MATCH("Network true up",CostStackCalcs_SME_2[[Labels]:[Labels]],0),MATCH($D$31,CostStackCalcs_SME_2[[#Headers],[Ausnet]:[Average]],0))="-",0,
INDEX(CostStackCalcs_SME_2[[Ausnet]:[Average]],MATCH("Network true up",CostStackCalcs_SME_2[[Labels]:[Labels]],0),MATCH($D$31,CostStackCalcs_SME_2[[#Headers],[Ausnet]:[Average]],0)))</f>
        <v>2410.1787460082737</v>
      </c>
      <c r="F34" s="105">
        <f>INDEX(CostStackCalcs_SME_2[[Ausnet]:[Average]],MATCH(F$33,CostStackCalcs_SME_2[[Labels]:[Labels]],0),MATCH($D$31,CostStackCalcs_SME_2[[#Headers],[Ausnet]:[Average]],0))</f>
        <v>181.37562065040649</v>
      </c>
      <c r="G34" s="105">
        <f>INDEX(CostStackCalcs_SME_2[[Ausnet]:[Average]],MATCH("Environmental schemes",CostStackCalcs_SME_2[[Labels]:[Labels]],0),MATCH($D$31,CostStackCalcs_SME_2[[#Headers],[Ausnet]:[Average]],0))+
INDEX(CostStackCalcs_SME_2[[Ausnet]:[Average]],MATCH("FiT",CostStackCalcs_SME_2[[Labels]:[Labels]],0),MATCH($D$31,CostStackCalcs_SME_2[[#Headers],[Ausnet]:[Average]],0))+
IF(INDEX(CostStackCalcs_SME_2[[Ausnet]:[Average]],MATCH("Environmental true up",CostStackCalcs_SME_2[[Labels]:[Labels]],0),MATCH($D$31,CostStackCalcs_SME_2[[#Headers],[Ausnet]:[Average]],0))="-",0,
INDEX(CostStackCalcs_SME_2[[Ausnet]:[Average]],MATCH("Environmental true up",CostStackCalcs_SME_2[[Labels]:[Labels]],0),MATCH($D$31,CostStackCalcs_SME_2[[#Headers],[Ausnet]:[Average]],0)))</f>
        <v>638.31286558187821</v>
      </c>
      <c r="H34" s="105">
        <f>INDEX(CostStackCalcs_SME_2[[Ausnet]:[Average]],MATCH(H$33,CostStackCalcs_SME_2[[Labels]:[Labels]],0),MATCH($D$31,CostStackCalcs_SME_2[[#Headers],[Ausnet]:[Average]],0))</f>
        <v>22.641445418527887</v>
      </c>
      <c r="I34" s="105">
        <f>INDEX(CostStackCalcs_SME_2[[Ausnet]:[Average]],MATCH(I$33,CostStackCalcs_SME_2[[Labels]:[Labels]],0),MATCH($D$31,CostStackCalcs_SME_2[[#Headers],[Ausnet]:[Average]],0))</f>
        <v>272.8661987244945</v>
      </c>
      <c r="J34" s="105">
        <f>INDEX(CostStackCalcs_SME_2[[Ausnet]:[Average]],MATCH(J$33,CostStackCalcs_SME_2[[Labels]:[Labels]],0),MATCH($D$31,CostStackCalcs_SME_2[[#Headers],[Ausnet]:[Average]],0))</f>
        <v>479.05184954876495</v>
      </c>
      <c r="K34" s="105">
        <f>INDEX(CostStackCalcs_SME_2[[Ausnet]:[Average]],MATCH(K$33,CostStackCalcs_SME_2[[Labels]:[Labels]],0),MATCH($D$31,CostStackCalcs_SME_2[[#Headers],[Ausnet]:[Average]],0))</f>
        <v>5350</v>
      </c>
      <c r="M34" s="24">
        <f>IF(OR(ROUNDUP(SUM(D34:J34),0)-K34&lt;1,ROUNDUP(SUM(D34:J34),0)-K34&gt;-1),0,1)</f>
        <v>0</v>
      </c>
    </row>
    <row r="35" spans="1:18" ht="15.75" outlineLevel="1" x14ac:dyDescent="0.25">
      <c r="B35"/>
      <c r="C35" s="82" t="str">
        <f>$D$44</f>
        <v>VDO 2022-23 - Draft</v>
      </c>
      <c r="D35" s="105">
        <f>INDEX(CostStackCalcs_SME_1[[Ausnet]:[Average]],MATCH(D$33,CostStackCalcs_SME_1[[Labels]:[Labels]],0),MATCH($D$31,CostStackCalcs_SME_1[[#Headers],[Ausnet]:[Average]],0))</f>
        <v>1392.9369126351705</v>
      </c>
      <c r="E35" s="105">
        <f>INDEX(CostStackCalcs_SME_1[[Ausnet]:[Average]],MATCH(E$33,CostStackCalcs_SME_1[[Labels]:[Labels]],0),MATCH($D$31,CostStackCalcs_SME_1[[#Headers],[Ausnet]:[Average]],0))+
IF(INDEX(CostStackCalcs_SME_1[[Ausnet]:[Average]],MATCH("Network true up",CostStackCalcs_SME_1[[Labels]:[Labels]],0),MATCH($D$31,CostStackCalcs_SME_1[[#Headers],[Ausnet]:[Average]],0))="-",0,
INDEX(CostStackCalcs_SME_1[[Ausnet]:[Average]],MATCH("Network true up",CostStackCalcs_SME_1[[Labels]:[Labels]],0),MATCH($D$31,CostStackCalcs_SME_1[[#Headers],[Ausnet]:[Average]],0)))</f>
        <v>2398.9312101652704</v>
      </c>
      <c r="F35" s="105">
        <f>INDEX(CostStackCalcs_SME_1[[Ausnet]:[Average]],MATCH(F$33,CostStackCalcs_SME_1[[Labels]:[Labels]],0),MATCH($D$31,CostStackCalcs_SME_1[[#Headers],[Ausnet]:[Average]],0))</f>
        <v>183.65511994063746</v>
      </c>
      <c r="G35" s="105">
        <f>INDEX(CostStackCalcs_SME_1[[Ausnet]:[Average]],MATCH("Environmental schemes",CostStackCalcs_SME_1[[Labels]:[Labels]],0),MATCH($D$31,CostStackCalcs_SME_1[[#Headers],[Ausnet]:[Average]],0))+
INDEX(CostStackCalcs_SME_1[[Ausnet]:[Average]],MATCH("FiT",CostStackCalcs_SME_1[[Labels]:[Labels]],0),MATCH($D$31,CostStackCalcs_SME_1[[#Headers],[Ausnet]:[Average]],0))+
IF(INDEX(CostStackCalcs_SME_1[[Ausnet]:[Average]],MATCH("Environmental true up",CostStackCalcs_SME_1[[Labels]:[Labels]],0),MATCH($D$31,CostStackCalcs_SME_1[[#Headers],[Ausnet]:[Average]],0))="-",0,
INDEX(CostStackCalcs_SME_1[[Ausnet]:[Average]],MATCH("Environmental true up",CostStackCalcs_SME_1[[Labels]:[Labels]],0),MATCH($D$31,CostStackCalcs_SME_1[[#Headers],[Ausnet]:[Average]],0)))</f>
        <v>651.99888290486274</v>
      </c>
      <c r="H35" s="105">
        <f>INDEX(CostStackCalcs_SME_1[[Ausnet]:[Average]],MATCH(H$33,CostStackCalcs_SME_1[[Labels]:[Labels]],0),MATCH($D$31,CostStackCalcs_SME_1[[#Headers],[Ausnet]:[Average]],0))</f>
        <v>23.398813692036452</v>
      </c>
      <c r="I35" s="105">
        <f>INDEX(CostStackCalcs_SME_1[[Ausnet]:[Average]],MATCH(I$33,CostStackCalcs_SME_1[[Labels]:[Labels]],0),MATCH($D$31,CostStackCalcs_SME_1[[#Headers],[Ausnet]:[Average]],0))</f>
        <v>279.87460083800545</v>
      </c>
      <c r="J35" s="105">
        <f>INDEX(CostStackCalcs_SME_1[[Ausnet]:[Average]],MATCH(J$33,CostStackCalcs_SME_1[[Labels]:[Labels]],0),MATCH($D$31,CostStackCalcs_SME_1[[#Headers],[Ausnet]:[Average]],0))</f>
        <v>491.35600451758438</v>
      </c>
      <c r="K35" s="105">
        <f>INDEX(CostStackCalcs_SME_1[[Ausnet]:[Average]],MATCH(K$33,CostStackCalcs_SME_1[[Labels]:[Labels]],0),MATCH($D$31,CostStackCalcs_SME_1[[#Headers],[Ausnet]:[Average]],0))</f>
        <v>5423</v>
      </c>
      <c r="M35" s="24">
        <f>IF(OR(ROUNDUP(SUM(D35:J35),0)-K35&lt;1,ROUNDUP(SUM(D35:J35),0)-K35&gt;-1),0,1)</f>
        <v>0</v>
      </c>
      <c r="O35" s="87"/>
    </row>
    <row r="36" spans="1:18" outlineLevel="1" x14ac:dyDescent="0.25">
      <c r="B36"/>
    </row>
    <row r="37" spans="1:18" outlineLevel="1" x14ac:dyDescent="0.25">
      <c r="B37"/>
      <c r="C37" s="82" t="str">
        <f>$L$44</f>
        <v>VDO 2022 - Final</v>
      </c>
      <c r="D37" s="118">
        <f>D34/$K34</f>
        <v>0.25140858239694069</v>
      </c>
      <c r="E37" s="118">
        <f t="shared" ref="E37:K38" si="0">E34/$K34</f>
        <v>0.45050070018846239</v>
      </c>
      <c r="F37" s="118">
        <f t="shared" si="0"/>
        <v>3.3901985168300279E-2</v>
      </c>
      <c r="G37" s="118">
        <f t="shared" si="0"/>
        <v>0.11931081599661275</v>
      </c>
      <c r="H37" s="118">
        <f t="shared" si="0"/>
        <v>4.2320458726220348E-3</v>
      </c>
      <c r="I37" s="118">
        <f t="shared" si="0"/>
        <v>5.100302779897093E-2</v>
      </c>
      <c r="J37" s="118">
        <f t="shared" si="0"/>
        <v>8.9542401784815873E-2</v>
      </c>
      <c r="K37" s="118">
        <f t="shared" si="0"/>
        <v>1</v>
      </c>
    </row>
    <row r="38" spans="1:18" outlineLevel="1" x14ac:dyDescent="0.25">
      <c r="B38"/>
      <c r="C38" s="82" t="str">
        <f>$D$44</f>
        <v>VDO 2022-23 - Draft</v>
      </c>
      <c r="D38" s="118">
        <f>D35/$K35</f>
        <v>0.25685725846121527</v>
      </c>
      <c r="E38" s="118">
        <f t="shared" si="0"/>
        <v>0.44236238431961467</v>
      </c>
      <c r="F38" s="118">
        <f t="shared" si="0"/>
        <v>3.3865963477897373E-2</v>
      </c>
      <c r="G38" s="118">
        <f t="shared" si="0"/>
        <v>0.12022844973351701</v>
      </c>
      <c r="H38" s="118">
        <f t="shared" si="0"/>
        <v>4.3147360671282409E-3</v>
      </c>
      <c r="I38" s="118">
        <f t="shared" si="0"/>
        <v>5.1608814463950846E-2</v>
      </c>
      <c r="J38" s="118">
        <f t="shared" si="0"/>
        <v>9.0605938505916347E-2</v>
      </c>
      <c r="K38" s="118">
        <f t="shared" si="0"/>
        <v>1</v>
      </c>
    </row>
    <row r="39" spans="1:18" ht="15.75" x14ac:dyDescent="0.25">
      <c r="B39"/>
      <c r="C39" s="29" t="s">
        <v>743</v>
      </c>
      <c r="D39" s="118">
        <f>(D35-D34)/D34</f>
        <v>3.5613173037246156E-2</v>
      </c>
      <c r="E39" s="118">
        <f t="shared" ref="E39:J39" si="1">(E35-E34)/E34</f>
        <v>-4.6666812001522496E-3</v>
      </c>
      <c r="F39" s="118">
        <f t="shared" si="1"/>
        <v>1.2567837298401902E-2</v>
      </c>
      <c r="G39" s="118">
        <f t="shared" si="1"/>
        <v>2.1440923504664942E-2</v>
      </c>
      <c r="H39" s="118">
        <f t="shared" si="1"/>
        <v>3.3450526656253012E-2</v>
      </c>
      <c r="I39" s="118">
        <f t="shared" si="1"/>
        <v>2.5684390907600631E-2</v>
      </c>
      <c r="J39" s="118">
        <f t="shared" si="1"/>
        <v>2.5684390907600357E-2</v>
      </c>
      <c r="K39" s="118">
        <f>(K35-K34)/K34</f>
        <v>1.3644859813084113E-2</v>
      </c>
      <c r="L39" s="122"/>
    </row>
    <row r="40" spans="1:18" x14ac:dyDescent="0.25">
      <c r="B40"/>
      <c r="K40" s="121"/>
      <c r="L40" s="122"/>
    </row>
    <row r="41" spans="1:18" x14ac:dyDescent="0.25">
      <c r="B41"/>
      <c r="K41" s="121"/>
      <c r="L41" s="122"/>
    </row>
    <row r="42" spans="1:18" ht="16.5" thickBot="1" x14ac:dyDescent="0.3">
      <c r="A42" s="1" t="s">
        <v>23</v>
      </c>
      <c r="B42" s="9">
        <f ca="1">MAX(B$3:B36)+0.1</f>
        <v>25.200000000000003</v>
      </c>
      <c r="C42" s="28" t="str">
        <f>"VDO cost stack calcs - Flat VDO - "&amp;IF(ISNUMBER(SEARCH("Residential",$C$47)),"Residential","Small business")</f>
        <v>VDO cost stack calcs - Flat VDO - Small business</v>
      </c>
      <c r="D42" s="28"/>
      <c r="E42" s="28"/>
      <c r="F42" s="28"/>
      <c r="G42" s="28"/>
      <c r="H42" s="28"/>
      <c r="I42" s="28"/>
      <c r="J42" s="28"/>
      <c r="K42" s="28"/>
      <c r="L42" s="28"/>
      <c r="M42" s="28"/>
      <c r="N42" s="28"/>
      <c r="O42" s="28"/>
      <c r="P42" s="28"/>
      <c r="Q42" s="28"/>
      <c r="R42" s="28"/>
    </row>
    <row r="44" spans="1:18" ht="15.75" x14ac:dyDescent="0.25">
      <c r="C44" s="54" t="s">
        <v>101</v>
      </c>
      <c r="D44" s="41" t="str">
        <f>Calc_Rates!$D$5</f>
        <v>VDO 2022-23 - Draft</v>
      </c>
      <c r="F44" s="54" t="s">
        <v>554</v>
      </c>
      <c r="G44" s="82" t="str">
        <f>INDEX(Inputs!$H$10:$U$10,1,MATCH($D$44,Inputs!$H$8:$U$8,0))</f>
        <v>D-NextVDO_Input</v>
      </c>
      <c r="H44" s="227" t="str">
        <f>INDEX(Input_TUNet_Dates[[F-PreviousVDO_Input]:[F-NextVDO_Input]],MATCH(F44,Input_TUNet_Dates[Item],0),MATCH(G44,Input_TUNet_Dates[[#Headers],[F-PreviousVDO_Input]:[F-NextVDO_Input]],0))</f>
        <v>-</v>
      </c>
      <c r="K44" s="54" t="s">
        <v>101</v>
      </c>
      <c r="L44" s="41" t="str">
        <f>Calc_Rates!$D$254</f>
        <v>VDO 2022 - Final</v>
      </c>
      <c r="N44" s="54" t="s">
        <v>554</v>
      </c>
      <c r="O44" s="82" t="str">
        <f>INDEX(Inputs!$H$10:$U$10,1,MATCH($L$44,Inputs!$H$8:$U$8,0))</f>
        <v>F-CurrentVDO_Input</v>
      </c>
      <c r="P44" s="227">
        <f>INDEX(Input_TUNet_Dates[[F-PreviousVDO_Input]:[F-NextVDO_Input]],MATCH(N44,Input_TUNet_Dates[Item],0),MATCH(O44,Input_TUNet_Dates[[#Headers],[F-PreviousVDO_Input]:[F-NextVDO_Input]],0))</f>
        <v>44562</v>
      </c>
    </row>
    <row r="45" spans="1:18" ht="15.75" x14ac:dyDescent="0.25">
      <c r="C45" s="29"/>
      <c r="F45" s="54" t="s">
        <v>555</v>
      </c>
      <c r="G45" s="82" t="str">
        <f>INDEX(Inputs!$H$10:$U$10,1,MATCH($D$44,Inputs!$H$8:$U$8,0))</f>
        <v>D-NextVDO_Input</v>
      </c>
      <c r="H45" s="227" t="str">
        <f>INDEX(Input_TUNet_Dates[[F-PreviousVDO_Input]:[F-NextVDO_Input]],MATCH(F45,Input_TUNet_Dates[Item],0),MATCH(G45,Input_TUNet_Dates[[#Headers],[F-PreviousVDO_Input]:[F-NextVDO_Input]],0))</f>
        <v>-</v>
      </c>
      <c r="K45" s="29"/>
      <c r="N45" s="54" t="s">
        <v>555</v>
      </c>
      <c r="O45" s="82" t="str">
        <f>INDEX(Inputs!$H$10:$U$10,1,MATCH($L$44,Inputs!$H$8:$U$8,0))</f>
        <v>F-CurrentVDO_Input</v>
      </c>
      <c r="P45" s="227">
        <f>INDEX(Input_TUNet_Dates[[F-PreviousVDO_Input]:[F-NextVDO_Input]],MATCH(N45,Input_TUNet_Dates[Item],0),MATCH(O45,Input_TUNet_Dates[[#Headers],[F-PreviousVDO_Input]:[F-NextVDO_Input]],0))</f>
        <v>44742</v>
      </c>
    </row>
    <row r="46" spans="1:18" ht="15.75" x14ac:dyDescent="0.25">
      <c r="C46" s="42" t="s">
        <v>90</v>
      </c>
      <c r="D46" s="50" t="s">
        <v>334</v>
      </c>
      <c r="F46" s="29"/>
      <c r="K46" s="42" t="s">
        <v>90</v>
      </c>
      <c r="L46" s="50" t="s">
        <v>334</v>
      </c>
      <c r="N46" s="29"/>
    </row>
    <row r="47" spans="1:18" ht="15.75" x14ac:dyDescent="0.25">
      <c r="C47" s="23" t="s">
        <v>226</v>
      </c>
      <c r="D47" s="76">
        <f>INDEX(Input_Usage[[F-PreviousVDO_Input]:[F-NextVDO_Input]],MATCH(CH_CostStack_SME!C47&amp;" - Annual",Input_Usage[Ref],0),MATCH(CH_CostStack_SME!$D$44,Inputs!$I$134:$O$134,0))</f>
        <v>20000</v>
      </c>
      <c r="F47" s="54" t="s">
        <v>643</v>
      </c>
      <c r="H47" s="284" t="str">
        <f>IFERROR(_xlfn.DAYS(H45,H44)+1,"-")</f>
        <v>-</v>
      </c>
      <c r="K47" s="82" t="str">
        <f>$C$47</f>
        <v>Small business - medium</v>
      </c>
      <c r="L47" s="76">
        <f>INDEX(Input_Usage[[F-PreviousVDO_Input]:[F-NextVDO_Input]],MATCH(CH_CostStack_SME!K47&amp;" - Annual",Input_Usage[Ref],0),MATCH(CH_CostStack_SME!$L$44,Inputs!$I$134:$O$134,0))</f>
        <v>20000</v>
      </c>
      <c r="N47" s="54" t="s">
        <v>643</v>
      </c>
      <c r="P47" s="284">
        <f>IFERROR(_xlfn.DAYS(P45,P44)+1,"-")</f>
        <v>181</v>
      </c>
    </row>
    <row r="48" spans="1:18" ht="15.75" x14ac:dyDescent="0.25">
      <c r="C48" s="29"/>
      <c r="K48" s="29"/>
    </row>
    <row r="49" spans="3:20" ht="15.75" x14ac:dyDescent="0.25">
      <c r="C49" s="42" t="s">
        <v>221</v>
      </c>
      <c r="D49" s="76">
        <f>INDEX(Input_Usage[[F-PreviousVDO_Input]:[F-NextVDO_Input]],MATCH(CH_CostStack_SME!$C$47&amp;" - "&amp;CH_CostStack_SME!$C49,Input_Usage[Ref],0),MATCH(CH_CostStack_SME!$D$44,Inputs!$I$134:$O$134,0))</f>
        <v>4080</v>
      </c>
      <c r="F49" s="54" t="s">
        <v>756</v>
      </c>
      <c r="G49" t="s">
        <v>587</v>
      </c>
      <c r="H49" s="82" t="str">
        <f>INDEX(Input_DecisionActual[Decision],MATCH(H50,Input_DecisionActual[Actual],0),1)</f>
        <v>VDO 2022 - Final</v>
      </c>
      <c r="I49" s="76">
        <f>INDEX(Input_TU_Periods[[F-PreviousVDO_Input]:[F-NextVDO_Input]],1,MATCH(H49,Inputs!$F$238:$J$238,0))</f>
        <v>181</v>
      </c>
      <c r="K49" s="42" t="s">
        <v>221</v>
      </c>
      <c r="L49" s="76">
        <f>INDEX(Input_Usage[[F-PreviousVDO_Input]:[F-NextVDO_Input]],MATCH(CH_CostStack_SME!$K$47&amp;" - "&amp;CH_CostStack_SME!$K49,Input_Usage[Ref],0),MATCH(CH_CostStack_SME!$L$44,Inputs!$I$134:$O$134,0))</f>
        <v>4080</v>
      </c>
      <c r="N49" s="54" t="s">
        <v>756</v>
      </c>
      <c r="O49" t="s">
        <v>587</v>
      </c>
      <c r="P49" s="82" t="str">
        <f>INDEX(Input_DecisionActual[Decision],MATCH(P50,Input_DecisionActual[Actual],0),1)</f>
        <v>VDO 2021 - Final</v>
      </c>
      <c r="Q49" s="76">
        <f>INDEX(Input_TU_Periods[[F-PreviousVDO_Input]:[F-NextVDO_Input]],1,MATCH(P49,Inputs!$F$238:$L$238,0))</f>
        <v>365</v>
      </c>
    </row>
    <row r="50" spans="3:20" ht="15.75" x14ac:dyDescent="0.25">
      <c r="C50" s="42" t="s">
        <v>228</v>
      </c>
      <c r="D50" s="76">
        <f>INDEX(Input_Usage[[F-PreviousVDO_Input]:[F-NextVDO_Input]],MATCH(CH_CostStack_SME!$C$47&amp;" - "&amp;CH_CostStack_SME!$C50,Input_Usage[Ref],0),MATCH(CH_CostStack_SME!$D$44,Inputs!$I$134:$O$134,0))</f>
        <v>15920</v>
      </c>
      <c r="F50" s="54" t="s">
        <v>756</v>
      </c>
      <c r="G50" t="s">
        <v>586</v>
      </c>
      <c r="H50" s="82" t="str">
        <f>D44</f>
        <v>VDO 2022-23 - Draft</v>
      </c>
      <c r="I50" s="76">
        <f>INDEX(Input_TU_Periods[[F-PreviousVDO_Input]:[F-NextVDO_Input]],1,MATCH(H50,Inputs!$F$238:$L$238,0))</f>
        <v>365</v>
      </c>
      <c r="K50" s="42" t="s">
        <v>228</v>
      </c>
      <c r="L50" s="76">
        <f>INDEX(Input_Usage[[F-PreviousVDO_Input]:[F-NextVDO_Input]],MATCH(CH_CostStack_SME!$K$47&amp;" - "&amp;CH_CostStack_SME!$K50,Input_Usage[Ref],0),MATCH(CH_CostStack_SME!$L$44,Inputs!$I$134:$O$134,0))</f>
        <v>15920</v>
      </c>
      <c r="N50" s="54" t="s">
        <v>756</v>
      </c>
      <c r="O50" t="s">
        <v>586</v>
      </c>
      <c r="P50" s="82" t="str">
        <f>L44</f>
        <v>VDO 2022 - Final</v>
      </c>
      <c r="Q50" s="76">
        <f>INDEX(Input_TU_Periods[[F-PreviousVDO_Input]:[F-NextVDO_Input]],1,MATCH(P50,Inputs!$F$238:$L$238,0))</f>
        <v>181</v>
      </c>
    </row>
    <row r="51" spans="3:20" ht="15.75" x14ac:dyDescent="0.25">
      <c r="C51" s="29"/>
      <c r="F51" s="54" t="s">
        <v>755</v>
      </c>
      <c r="I51" s="299">
        <f>I49/I50</f>
        <v>0.49589041095890413</v>
      </c>
      <c r="K51" s="29"/>
      <c r="N51" s="54" t="s">
        <v>755</v>
      </c>
      <c r="Q51" s="299">
        <f>Q49/Q50</f>
        <v>2.0165745856353592</v>
      </c>
    </row>
    <row r="52" spans="3:20" ht="15.75" x14ac:dyDescent="0.25">
      <c r="C52" s="29"/>
      <c r="K52" s="29"/>
    </row>
    <row r="53" spans="3:20" ht="15.75" x14ac:dyDescent="0.25">
      <c r="C53" s="43" t="s">
        <v>335</v>
      </c>
      <c r="D53" s="60" t="s">
        <v>268</v>
      </c>
      <c r="E53" s="60" t="s">
        <v>269</v>
      </c>
      <c r="F53" s="60" t="s">
        <v>270</v>
      </c>
      <c r="G53" s="60" t="s">
        <v>271</v>
      </c>
      <c r="H53" s="60" t="s">
        <v>272</v>
      </c>
      <c r="I53" s="60" t="s">
        <v>374</v>
      </c>
      <c r="K53" s="43" t="s">
        <v>335</v>
      </c>
      <c r="L53" s="60" t="s">
        <v>268</v>
      </c>
      <c r="M53" s="60" t="s">
        <v>269</v>
      </c>
      <c r="N53" s="60" t="s">
        <v>270</v>
      </c>
      <c r="O53" s="60" t="s">
        <v>271</v>
      </c>
      <c r="P53" s="60" t="s">
        <v>272</v>
      </c>
      <c r="Q53" s="60" t="s">
        <v>374</v>
      </c>
    </row>
    <row r="54" spans="3:20" x14ac:dyDescent="0.25">
      <c r="C54" s="23" t="s">
        <v>128</v>
      </c>
      <c r="D54" s="102">
        <f>D$87*($D$47*(1+D$73))</f>
        <v>1407.3906570427023</v>
      </c>
      <c r="E54" s="102">
        <f>E$87*($D$47*(1+E$73))</f>
        <v>1403.5949246666667</v>
      </c>
      <c r="F54" s="102">
        <f>F$87*($D$47*(1+F$73))</f>
        <v>1378.1237381450001</v>
      </c>
      <c r="G54" s="102">
        <f>G$87*($D$47*(1+G$73))</f>
        <v>1371.341033776029</v>
      </c>
      <c r="H54" s="102">
        <f>H$87*($D$47*(1+H$73))</f>
        <v>1404.2342095454544</v>
      </c>
      <c r="I54" s="103">
        <f>AVERAGE(D54:H54)</f>
        <v>1392.9369126351705</v>
      </c>
      <c r="K54" s="23" t="s">
        <v>128</v>
      </c>
      <c r="L54" s="102">
        <f>L$87*($L$47*(1+L$73))</f>
        <v>1359.894730589351</v>
      </c>
      <c r="M54" s="102">
        <f>M$87*($L$47*(1+M$73))</f>
        <v>1343.4528310000001</v>
      </c>
      <c r="N54" s="102">
        <f>N$87*($L$47*(1+N$73))</f>
        <v>1337.89111351</v>
      </c>
      <c r="O54" s="102">
        <f>O$87*($L$47*(1+O$73))</f>
        <v>1312.1927097688117</v>
      </c>
      <c r="P54" s="102">
        <f>P$87*($L$47*(1+P$73))</f>
        <v>1371.7481942499996</v>
      </c>
      <c r="Q54" s="103">
        <f>AVERAGE(L54:P54)</f>
        <v>1345.0359158236326</v>
      </c>
    </row>
    <row r="55" spans="3:20" x14ac:dyDescent="0.25">
      <c r="C55" s="23" t="s">
        <v>121</v>
      </c>
      <c r="D55" s="102">
        <f>D$78+(D$92*$D$49)+(D$93*$D$50)+(D$94*$D$47)</f>
        <v>3726.045356379042</v>
      </c>
      <c r="E55" s="102">
        <f>E$78+(E$92*$D$49)+(E$93*$D$50)+(E$94*$D$47)</f>
        <v>1864.5296880883907</v>
      </c>
      <c r="F55" s="102">
        <f>F$78+(F$92*$D$49)+(F$93*$D$50)+(F$94*$D$47)</f>
        <v>2384.8886536892501</v>
      </c>
      <c r="G55" s="102">
        <f>G$78+(G$92*$D$49)+(G$93*$D$50)+(G$94*$D$47)</f>
        <v>2097.3722946314542</v>
      </c>
      <c r="H55" s="102">
        <f>H$78+(H$92*$D$49)+(H$93*$D$50)+(H$94*$D$47)</f>
        <v>1921.8200580382165</v>
      </c>
      <c r="I55" s="103">
        <f t="shared" ref="I55:I61" si="2">AVERAGE(D55:H55)</f>
        <v>2398.9312101652704</v>
      </c>
      <c r="K55" s="23" t="s">
        <v>121</v>
      </c>
      <c r="L55" s="102">
        <f>L$78+(L$92*$L$49)+(L$93*$L$50)+(L$94*$L$47)</f>
        <v>3716.8435199999994</v>
      </c>
      <c r="M55" s="102">
        <f>M$78+(M$92*$L$49)+(M$93*$L$50)+(M$94*$L$47)</f>
        <v>1861.4160000000002</v>
      </c>
      <c r="N55" s="102">
        <f>N$78+(N$92*$L$49)+(N$93*$L$50)+(N$94*$L$47)</f>
        <v>2383.2560000000003</v>
      </c>
      <c r="O55" s="102">
        <f>O$78+(O$92*$L$49)+(O$93*$L$50)+(O$94*$L$47)</f>
        <v>2095.9814999999999</v>
      </c>
      <c r="P55" s="102">
        <f>P$78+(P$92*$L$49)+(P$93*$L$50)+(P$94*$L$47)</f>
        <v>1920.9319999999998</v>
      </c>
      <c r="Q55" s="103">
        <f t="shared" ref="Q55:Q61" si="3">AVERAGE(L55:P55)</f>
        <v>2395.6858039999997</v>
      </c>
      <c r="T55" s="118"/>
    </row>
    <row r="56" spans="3:20" x14ac:dyDescent="0.25">
      <c r="C56" s="23" t="s">
        <v>106</v>
      </c>
      <c r="D56" s="102">
        <f>D$76</f>
        <v>183.65511994063746</v>
      </c>
      <c r="E56" s="102">
        <f>E$76</f>
        <v>183.65511994063746</v>
      </c>
      <c r="F56" s="102">
        <f>F$76</f>
        <v>183.65511994063746</v>
      </c>
      <c r="G56" s="102">
        <f>G$76</f>
        <v>183.65511994063746</v>
      </c>
      <c r="H56" s="102">
        <f>H$76</f>
        <v>183.65511994063746</v>
      </c>
      <c r="I56" s="103">
        <f t="shared" si="2"/>
        <v>183.65511994063746</v>
      </c>
      <c r="K56" s="23" t="s">
        <v>106</v>
      </c>
      <c r="L56" s="102">
        <f>L$76</f>
        <v>181.37562065040649</v>
      </c>
      <c r="M56" s="102">
        <f>M$76</f>
        <v>181.37562065040649</v>
      </c>
      <c r="N56" s="102">
        <f>N$76</f>
        <v>181.37562065040649</v>
      </c>
      <c r="O56" s="102">
        <f>O$76</f>
        <v>181.37562065040649</v>
      </c>
      <c r="P56" s="102">
        <f>P$76</f>
        <v>181.37562065040649</v>
      </c>
      <c r="Q56" s="103">
        <f t="shared" si="3"/>
        <v>181.37562065040649</v>
      </c>
    </row>
    <row r="57" spans="3:20" x14ac:dyDescent="0.25">
      <c r="C57" s="23" t="s">
        <v>679</v>
      </c>
      <c r="D57" s="102">
        <f>(D$85*($D$47*(1+D$73)))</f>
        <v>634.1478823223573</v>
      </c>
      <c r="E57" s="102">
        <f>(E$85*($D$47*(1+E$73)))</f>
        <v>615.53607351930884</v>
      </c>
      <c r="F57" s="102">
        <f>(F$85*($D$47*(1+F$73)))</f>
        <v>612.31926029985505</v>
      </c>
      <c r="G57" s="102">
        <f>(G$85*($D$47*(1+G$73)))</f>
        <v>629.49201432678922</v>
      </c>
      <c r="H57" s="102">
        <f>(H$85*($D$47*(1+H$73)))</f>
        <v>615.63260133019514</v>
      </c>
      <c r="I57" s="103">
        <f t="shared" si="2"/>
        <v>621.42556635970107</v>
      </c>
      <c r="K57" s="23" t="s">
        <v>679</v>
      </c>
      <c r="L57" s="102">
        <f>(L$85*($L$47*(1+L$73)))</f>
        <v>571.03176566037928</v>
      </c>
      <c r="M57" s="102">
        <f>(M$85*($L$47*(1+M$73)))</f>
        <v>554.27237193029714</v>
      </c>
      <c r="N57" s="102">
        <f>(N$85*($L$47*(1+N$73)))</f>
        <v>551.37572497505175</v>
      </c>
      <c r="O57" s="102">
        <f>(O$85*($L$47*(1+O$73)))</f>
        <v>566.83929163924961</v>
      </c>
      <c r="P57" s="102">
        <f>(P$85*($L$47*(1+P$73)))</f>
        <v>554.35929242285465</v>
      </c>
      <c r="Q57" s="103">
        <f t="shared" si="3"/>
        <v>559.57568932556649</v>
      </c>
    </row>
    <row r="58" spans="3:20" x14ac:dyDescent="0.25">
      <c r="C58" s="125" t="s">
        <v>675</v>
      </c>
      <c r="D58" s="248">
        <f>D82</f>
        <v>13.337821545021233</v>
      </c>
      <c r="E58" s="248">
        <f>E82</f>
        <v>13.337821545021233</v>
      </c>
      <c r="F58" s="248">
        <f>F82</f>
        <v>13.337821545021233</v>
      </c>
      <c r="G58" s="248">
        <f>G82</f>
        <v>13.337821545021233</v>
      </c>
      <c r="H58" s="248">
        <f>H82</f>
        <v>13.337821545021233</v>
      </c>
      <c r="I58" s="249">
        <f>AVERAGE(D58:H58)</f>
        <v>13.337821545021233</v>
      </c>
      <c r="K58" s="125" t="s">
        <v>675</v>
      </c>
      <c r="L58" s="248">
        <f>L82</f>
        <v>13.337821545021233</v>
      </c>
      <c r="M58" s="248">
        <f t="shared" ref="M58:P58" si="4">M82</f>
        <v>13.337821545021233</v>
      </c>
      <c r="N58" s="248">
        <f t="shared" si="4"/>
        <v>13.337821545021233</v>
      </c>
      <c r="O58" s="248">
        <f t="shared" si="4"/>
        <v>13.337821545021233</v>
      </c>
      <c r="P58" s="248">
        <f t="shared" si="4"/>
        <v>13.337821545021233</v>
      </c>
      <c r="Q58" s="249">
        <f>AVERAGE(L58:P58)</f>
        <v>13.337821545021233</v>
      </c>
    </row>
    <row r="59" spans="3:20" x14ac:dyDescent="0.25">
      <c r="C59" s="23" t="s">
        <v>273</v>
      </c>
      <c r="D59" s="102">
        <f>D$80+(D$89*($D$47*(1+D$73)))</f>
        <v>23.79207173672491</v>
      </c>
      <c r="E59" s="102">
        <f>E$80+(E$89*($D$47*(1+E$73)))</f>
        <v>23.216764256586355</v>
      </c>
      <c r="F59" s="102">
        <f>F$80+(F$89*($D$47*(1+F$73)))</f>
        <v>23.11732971333781</v>
      </c>
      <c r="G59" s="102">
        <f>G$80+(G$89*($D$47*(1+G$73)))</f>
        <v>23.648154736892565</v>
      </c>
      <c r="H59" s="102">
        <f>H$80+(H$89*($D$47*(1+H$73)))</f>
        <v>23.219748016640626</v>
      </c>
      <c r="I59" s="103">
        <f t="shared" si="2"/>
        <v>23.398813692036452</v>
      </c>
      <c r="K59" s="23" t="s">
        <v>273</v>
      </c>
      <c r="L59" s="102">
        <f>L$80+(L$89*($L$47*(1+L$73)))</f>
        <v>23.020634125783381</v>
      </c>
      <c r="M59" s="102">
        <f>M$80+(M$89*($L$47*(1+M$73)))</f>
        <v>22.465909047391211</v>
      </c>
      <c r="N59" s="102">
        <f>N$80+(N$89*($L$47*(1+N$73)))</f>
        <v>22.370031909160446</v>
      </c>
      <c r="O59" s="102">
        <f>O$80+(O$89*($L$47*(1+O$73)))</f>
        <v>22.881865950902817</v>
      </c>
      <c r="P59" s="102">
        <f>P$80+(P$89*($L$47*(1+P$73)))</f>
        <v>22.468786059401573</v>
      </c>
      <c r="Q59" s="103">
        <f t="shared" si="3"/>
        <v>22.641445418527887</v>
      </c>
    </row>
    <row r="60" spans="3:20" x14ac:dyDescent="0.25">
      <c r="C60" s="23" t="s">
        <v>202</v>
      </c>
      <c r="D60" s="102">
        <f>SUM(D54:D59)*D$71</f>
        <v>361.6974821015757</v>
      </c>
      <c r="E60" s="102">
        <f>SUM(E54:E59)*E$71</f>
        <v>247.87377167780335</v>
      </c>
      <c r="F60" s="102">
        <f>SUM(F54:F59)*F$71</f>
        <v>277.56469216931936</v>
      </c>
      <c r="G60" s="102">
        <f>SUM(G54:G59)*G$71</f>
        <v>260.85832491299215</v>
      </c>
      <c r="H60" s="102">
        <f>SUM(H54:H59)*H$71</f>
        <v>251.37873332833641</v>
      </c>
      <c r="I60" s="103">
        <f t="shared" si="2"/>
        <v>279.87460083800545</v>
      </c>
      <c r="K60" s="23" t="s">
        <v>202</v>
      </c>
      <c r="L60" s="102">
        <f>SUM(L54:L59)*L$71</f>
        <v>354.27644719128483</v>
      </c>
      <c r="M60" s="102">
        <f>SUM(M54:M59)*M$71</f>
        <v>240.16976147205619</v>
      </c>
      <c r="N60" s="102">
        <f>SUM(N54:N59)*N$71</f>
        <v>271.17222128041425</v>
      </c>
      <c r="O60" s="102">
        <f>SUM(O54:O59)*O$71</f>
        <v>253.23357209708522</v>
      </c>
      <c r="P60" s="102">
        <f>SUM(P54:P59)*P$71</f>
        <v>245.4789915816321</v>
      </c>
      <c r="Q60" s="103">
        <f t="shared" si="3"/>
        <v>272.8661987244945</v>
      </c>
    </row>
    <row r="61" spans="3:20" x14ac:dyDescent="0.25">
      <c r="C61" s="23" t="s">
        <v>277</v>
      </c>
      <c r="D61" s="102">
        <f>SUM(D54:D60)*GST</f>
        <v>635.00663910680612</v>
      </c>
      <c r="E61" s="102">
        <f>SUM(E54:E60)*GST</f>
        <v>435.17441636944153</v>
      </c>
      <c r="F61" s="102">
        <f>SUM(F54:F60)*GST</f>
        <v>487.30066155024218</v>
      </c>
      <c r="G61" s="102">
        <f>SUM(G54:G60)*GST</f>
        <v>457.9704763869816</v>
      </c>
      <c r="H61" s="102">
        <f>SUM(H54:H60)*GST</f>
        <v>441.32782917445024</v>
      </c>
      <c r="I61" s="103">
        <f t="shared" si="2"/>
        <v>491.35600451758438</v>
      </c>
      <c r="K61" s="23" t="s">
        <v>277</v>
      </c>
      <c r="L61" s="102">
        <f>SUM(L54:L60)*GST</f>
        <v>621.97805397622267</v>
      </c>
      <c r="M61" s="102">
        <f>SUM(M54:M60)*GST</f>
        <v>421.6490315645172</v>
      </c>
      <c r="N61" s="102">
        <f>SUM(N54:N60)*GST</f>
        <v>476.07785338700546</v>
      </c>
      <c r="O61" s="102">
        <f>SUM(O54:O60)*GST</f>
        <v>444.58423816514761</v>
      </c>
      <c r="P61" s="102">
        <f>SUM(P54:P60)*GST</f>
        <v>430.97007065093158</v>
      </c>
      <c r="Q61" s="103">
        <f t="shared" si="3"/>
        <v>479.05184954876495</v>
      </c>
    </row>
    <row r="62" spans="3:20" x14ac:dyDescent="0.25">
      <c r="C62" s="23" t="s">
        <v>621</v>
      </c>
      <c r="D62" s="137" t="str">
        <f>IFERROR((D$97*$H$47),"-")</f>
        <v>-</v>
      </c>
      <c r="E62" s="137" t="str">
        <f t="shared" ref="E62:H62" si="5">IFERROR((E$97*$H$47),"-")</f>
        <v>-</v>
      </c>
      <c r="F62" s="137" t="str">
        <f t="shared" si="5"/>
        <v>-</v>
      </c>
      <c r="G62" s="137" t="str">
        <f t="shared" si="5"/>
        <v>-</v>
      </c>
      <c r="H62" s="137" t="str">
        <f t="shared" si="5"/>
        <v>-</v>
      </c>
      <c r="I62" s="103" t="str">
        <f>IFERROR(AVERAGE(D62:H62),"-")</f>
        <v>-</v>
      </c>
      <c r="K62" s="23" t="s">
        <v>621</v>
      </c>
      <c r="L62" s="137">
        <f>IFERROR((L$97*$P$47),"-")</f>
        <v>25.621321611765929</v>
      </c>
      <c r="M62" s="137">
        <f t="shared" ref="M62:P62" si="6">IFERROR((M$97*$P$47),"-")</f>
        <v>9.2305963444484362</v>
      </c>
      <c r="N62" s="137">
        <f t="shared" si="6"/>
        <v>26.520328950645411</v>
      </c>
      <c r="O62" s="137">
        <f t="shared" si="6"/>
        <v>11.825496125052261</v>
      </c>
      <c r="P62" s="137">
        <f t="shared" si="6"/>
        <v>-0.7330329905416626</v>
      </c>
      <c r="Q62" s="103">
        <f>IFERROR(AVERAGE(L62:P62),"-")</f>
        <v>14.492942008274076</v>
      </c>
    </row>
    <row r="63" spans="3:20" x14ac:dyDescent="0.25">
      <c r="C63" s="23" t="s">
        <v>622</v>
      </c>
      <c r="D63" s="137">
        <f>(D$100*($D$49/$I$51))+(D$101*($D$50/$I$51))+(D$102*($D$47/$I$51))</f>
        <v>17.588353693175961</v>
      </c>
      <c r="E63" s="137">
        <f t="shared" ref="E63:H63" si="7">(E$100*($D$49/$I$51))+(E$101*($D$50/$I$51))+(E$102*($D$47/$I$51))</f>
        <v>17.072147481307891</v>
      </c>
      <c r="F63" s="137">
        <f t="shared" si="7"/>
        <v>16.982927836733133</v>
      </c>
      <c r="G63" s="137">
        <f t="shared" si="7"/>
        <v>17.459221269434522</v>
      </c>
      <c r="H63" s="137">
        <f t="shared" si="7"/>
        <v>17.074824720050501</v>
      </c>
      <c r="I63" s="103">
        <f t="shared" ref="I63" si="8">AVERAGE(D63:H63)</f>
        <v>17.235495000140403</v>
      </c>
      <c r="K63" s="23" t="s">
        <v>622</v>
      </c>
      <c r="L63" s="137">
        <f>(L$100*($L$49/$Q$51))+(L$101*($L$50/$Q$51))+(L$102*($L$47/$Q$51))</f>
        <v>66.123406982407786</v>
      </c>
      <c r="M63" s="137">
        <f>(M$100*($L$49/$Q$51))+(M$101*($L$50/$Q$51))+(M$102*($L$47/$Q$51))</f>
        <v>64.980470812261331</v>
      </c>
      <c r="N63" s="137">
        <f>(N$100*($L$49/$Q$51))+(N$101*($L$50/$Q$51))+(N$102*($L$47/$Q$51))</f>
        <v>64.301666231105273</v>
      </c>
      <c r="O63" s="137">
        <f>(O$100*($L$49/$Q$51))+(O$101*($L$50/$Q$51))+(O$102*($L$47/$Q$51))</f>
        <v>66.373737068173043</v>
      </c>
      <c r="P63" s="137">
        <f>(P$100*($L$49/$Q$51))+(P$101*($L$50/$Q$51))+(P$102*($L$47/$Q$51))</f>
        <v>65.217492462504651</v>
      </c>
      <c r="Q63" s="103">
        <f t="shared" ref="Q63" si="9">AVERAGE(L63:P63)</f>
        <v>65.399354711290428</v>
      </c>
      <c r="T63" s="122"/>
    </row>
    <row r="64" spans="3:20" x14ac:dyDescent="0.25">
      <c r="C64" s="125"/>
      <c r="D64" s="248"/>
      <c r="E64" s="248"/>
      <c r="F64" s="248"/>
      <c r="G64" s="248"/>
      <c r="H64" s="248"/>
      <c r="I64" s="249"/>
      <c r="K64" s="125"/>
      <c r="L64" s="248"/>
      <c r="M64" s="248"/>
      <c r="N64" s="248"/>
      <c r="O64" s="248"/>
      <c r="P64" s="248"/>
      <c r="Q64" s="249"/>
      <c r="S64" s="108"/>
    </row>
    <row r="65" spans="3:24" x14ac:dyDescent="0.25">
      <c r="C65" s="44" t="s">
        <v>740</v>
      </c>
      <c r="D65" s="285">
        <f>ROUNDUP(SUM(D54:D63),0)</f>
        <v>7003</v>
      </c>
      <c r="E65" s="285">
        <f t="shared" ref="E65:H65" si="10">ROUNDUP(SUM(E54:E63),0)</f>
        <v>4804</v>
      </c>
      <c r="F65" s="285">
        <f t="shared" si="10"/>
        <v>5378</v>
      </c>
      <c r="G65" s="285">
        <f t="shared" si="10"/>
        <v>5056</v>
      </c>
      <c r="H65" s="285">
        <f t="shared" si="10"/>
        <v>4872</v>
      </c>
      <c r="I65" s="103">
        <f>AVERAGE(D65:H65)</f>
        <v>5422.6</v>
      </c>
      <c r="K65" s="44" t="s">
        <v>740</v>
      </c>
      <c r="L65" s="285">
        <f>ROUNDUP(SUM(L54:L63),0)</f>
        <v>6934</v>
      </c>
      <c r="M65" s="285">
        <f t="shared" ref="M65" si="11">ROUNDUP(SUM(M54:M63),0)</f>
        <v>4713</v>
      </c>
      <c r="N65" s="285">
        <f t="shared" ref="N65" si="12">ROUNDUP(SUM(N54:N63),0)</f>
        <v>5328</v>
      </c>
      <c r="O65" s="285">
        <f t="shared" ref="O65" si="13">ROUNDUP(SUM(O54:O63),0)</f>
        <v>4969</v>
      </c>
      <c r="P65" s="285">
        <f t="shared" ref="P65" si="14">ROUNDUP(SUM(P54:P63),0)</f>
        <v>4806</v>
      </c>
      <c r="Q65" s="103">
        <f>AVERAGE(L65:P65)</f>
        <v>5350</v>
      </c>
    </row>
    <row r="66" spans="3:24" x14ac:dyDescent="0.25">
      <c r="C66" s="125"/>
      <c r="D66" s="248"/>
      <c r="E66" s="248"/>
      <c r="F66" s="248"/>
      <c r="G66" s="248"/>
      <c r="H66" s="248"/>
      <c r="I66" s="249"/>
      <c r="K66" s="125"/>
      <c r="L66" s="248"/>
      <c r="M66" s="248"/>
      <c r="N66" s="248"/>
      <c r="O66" s="248"/>
      <c r="P66" s="248"/>
      <c r="Q66" s="249"/>
    </row>
    <row r="67" spans="3:24" x14ac:dyDescent="0.25">
      <c r="C67" s="125" t="s">
        <v>375</v>
      </c>
      <c r="D67" s="248">
        <f>ROUNDUP(
(INDEX(OP_Rates_SME_1[[Ausnet]:[United Energy]],MATCH("Anytime - supply",OP_Rates_SME_1[[Rate name]:[Rate name]],0),MATCH(CostStackCalcs_SME_1[[#Headers],[Ausnet]],OP_Rates_SME_1[[#Headers],[Ausnet]:[United Energy]],0))*DiY)+
IFERROR((INDEX(OP_RatesTU_SME_1[[Ausnet]:[United Energy]],MATCH("Anytime",OP_RatesTU_SME_1[[Rate name]:[Rate name]],0),MATCH(CostStackCalcs_SME_1[[#Headers],[Ausnet]],OP_RatesTU_SME_1[[#Headers],[Ausnet]:[United Energy]],0))*$H$47),0)
+
(IFERROR((INDEX(OP_Rates_SME_1[[Ausnet]:[United Energy]],MATCH("Block 1",OP_Rates_SME_1[[Rate name]:[Rate name]],0),MATCH(CostStackCalcs_SME_1[[#Headers],[Ausnet]],OP_Rates_SME_1[[#Headers],[Ausnet]:[United Energy]],0))*$D$49),0)+
IFERROR((INDEX(OP_Rates_SME_1[[Ausnet]:[United Energy]],MATCH("Balance",OP_Rates_SME_1[[Rate name]:[Rate name]],0),MATCH(CostStackCalcs_SME_1[[#Headers],[Ausnet]],OP_Rates_SME_1[[#Headers],[Ausnet]:[United Energy]],0))*$D$50),0)+
IFERROR((INDEX(OP_Rates_SME_1[[Ausnet]:[United Energy]],MATCH("Single rate",OP_Rates_SME_1[[Rate name]:[Rate name]],0),MATCH(CostStackCalcs_SME_1[[#Headers],[Ausnet]],OP_Rates_SME_1[[#Headers],[Ausnet]:[United Energy]],0))*$D$47),0))
+
(IFERROR((INDEX(OP_RatesTU_SME_1[[Ausnet]:[United Energy]],MATCH("Block 1",OP_RatesTU_SME_1[[Rate name]:[Rate name]],0),MATCH(CostStackCalcs_SME_1[[#Headers],[Ausnet]],OP_RatesTU_SME_1[[#Headers],[Ausnet]:[United Energy]],0))*($D$49/$I$51)),0)+
IFERROR((INDEX(OP_RatesTU_SME_1[[Ausnet]:[United Energy]],MATCH("Balance",OP_RatesTU_SME_1[[Rate name]:[Rate name]],0),MATCH(CostStackCalcs_SME_1[[#Headers],[Ausnet]],OP_RatesTU_SME_1[[#Headers],[Ausnet]:[United Energy]],0))*($D$50/$I$51)),0)+
IFERROR((INDEX(OP_RatesTU_SME_1[[Ausnet]:[United Energy]],MATCH("Single rate",OP_RatesTU_SME_1[[Rate name]:[Rate name]],0),MATCH(CostStackCalcs_SME_1[[#Headers],[Ausnet]],OP_RatesTU_SME_1[[#Headers],[Ausnet]:[United Energy]],0))*($D$47/$I$51)),0)),0)</f>
        <v>7003</v>
      </c>
      <c r="E67" s="248">
        <f>ROUNDUP(
(INDEX(OP_Rates_SME_1[[Ausnet]:[United Energy]],MATCH("Anytime - supply",OP_Rates_SME_1[[Rate name]:[Rate name]],0),MATCH(CostStackCalcs_SME_1[[#Headers],[Citipower]],OP_Rates_SME_1[[#Headers],[Ausnet]:[United Energy]],0))*DiY)+
IFERROR((INDEX(OP_RatesTU_SME_1[[Ausnet]:[United Energy]],MATCH("Anytime",OP_RatesTU_SME_1[[Rate name]:[Rate name]],0),MATCH(CostStackCalcs_SME_1[[#Headers],[Citipower]],OP_RatesTU_SME_1[[#Headers],[Ausnet]:[United Energy]],0))*$H$47),0)
+
(IFERROR((INDEX(OP_Rates_SME_1[[Ausnet]:[United Energy]],MATCH("Block 1",OP_Rates_SME_1[[Rate name]:[Rate name]],0),MATCH(CostStackCalcs_SME_1[[#Headers],[Citipower]],OP_Rates_SME_1[[#Headers],[Ausnet]:[United Energy]],0))*$D$49),0)+
IFERROR((INDEX(OP_Rates_SME_1[[Ausnet]:[United Energy]],MATCH("Balance",OP_Rates_SME_1[[Rate name]:[Rate name]],0),MATCH(CostStackCalcs_SME_1[[#Headers],[Citipower]],OP_Rates_SME_1[[#Headers],[Ausnet]:[United Energy]],0))*$D$50),0)+
IFERROR((INDEX(OP_Rates_SME_1[[Ausnet]:[United Energy]],MATCH("Single rate",OP_Rates_SME_1[[Rate name]:[Rate name]],0),MATCH(CostStackCalcs_SME_1[[#Headers],[Citipower]],OP_Rates_SME_1[[#Headers],[Ausnet]:[United Energy]],0))*$D$47),0))
+
(IFERROR((INDEX(OP_RatesTU_SME_1[[Ausnet]:[United Energy]],MATCH("Block 1",OP_RatesTU_SME_1[[Rate name]:[Rate name]],0),MATCH(CostStackCalcs_SME_1[[#Headers],[Citipower]],OP_RatesTU_SME_1[[#Headers],[Ausnet]:[United Energy]],0))*($D$49/$I$51)),0)+
IFERROR((INDEX(OP_RatesTU_SME_1[[Ausnet]:[United Energy]],MATCH("Balance",OP_RatesTU_SME_1[[Rate name]:[Rate name]],0),MATCH(CostStackCalcs_SME_1[[#Headers],[Citipower]],OP_RatesTU_SME_1[[#Headers],[Ausnet]:[United Energy]],0))*($D$50/$I$51)),0)+
IFERROR((INDEX(OP_RatesTU_SME_1[[Ausnet]:[United Energy]],MATCH("Single rate",OP_RatesTU_SME_1[[Rate name]:[Rate name]],0),MATCH(CostStackCalcs_SME_1[[#Headers],[Citipower]],OP_RatesTU_SME_1[[#Headers],[Ausnet]:[United Energy]],0))*($D$47/$I$51)),0)),0)</f>
        <v>4804</v>
      </c>
      <c r="F67" s="248">
        <f>ROUNDUP(
(INDEX(OP_Rates_SME_1[[Ausnet]:[United Energy]],MATCH("Anytime - supply",OP_Rates_SME_1[[Rate name]:[Rate name]],0),MATCH(CostStackCalcs_SME_1[[#Headers],[Jemena]],OP_Rates_SME_1[[#Headers],[Ausnet]:[United Energy]],0))*DiY)+
IFERROR((INDEX(OP_RatesTU_SME_1[[Ausnet]:[United Energy]],MATCH("Anytime",OP_RatesTU_SME_1[[Rate name]:[Rate name]],0),MATCH(CostStackCalcs_SME_1[[#Headers],[Jemena]],OP_RatesTU_SME_1[[#Headers],[Ausnet]:[United Energy]],0))*$H$47),0)
+
(IFERROR((INDEX(OP_Rates_SME_1[[Ausnet]:[United Energy]],MATCH("Block 1",OP_Rates_SME_1[[Rate name]:[Rate name]],0),MATCH(CostStackCalcs_SME_1[[#Headers],[Jemena]],OP_Rates_SME_1[[#Headers],[Ausnet]:[United Energy]],0))*$D$49),0)+
IFERROR((INDEX(OP_Rates_SME_1[[Ausnet]:[United Energy]],MATCH("Balance",OP_Rates_SME_1[[Rate name]:[Rate name]],0),MATCH(CostStackCalcs_SME_1[[#Headers],[Jemena]],OP_Rates_SME_1[[#Headers],[Ausnet]:[United Energy]],0))*$D$50),0)+
IFERROR((INDEX(OP_Rates_SME_1[[Ausnet]:[United Energy]],MATCH("Single rate",OP_Rates_SME_1[[Rate name]:[Rate name]],0),MATCH(CostStackCalcs_SME_1[[#Headers],[Jemena]],OP_Rates_SME_1[[#Headers],[Ausnet]:[United Energy]],0))*$D$47),0))
+
(IFERROR((INDEX(OP_RatesTU_SME_1[[Ausnet]:[United Energy]],MATCH("Block 1",OP_RatesTU_SME_1[[Rate name]:[Rate name]],0),MATCH(CostStackCalcs_SME_1[[#Headers],[Jemena]],OP_RatesTU_SME_1[[#Headers],[Ausnet]:[United Energy]],0))*($D$49/$I$51)),0)+
IFERROR((INDEX(OP_RatesTU_SME_1[[Ausnet]:[United Energy]],MATCH("Balance",OP_RatesTU_SME_1[[Rate name]:[Rate name]],0),MATCH(CostStackCalcs_SME_1[[#Headers],[Jemena]],OP_RatesTU_SME_1[[#Headers],[Ausnet]:[United Energy]],0))*($D$50/$I$51)),0)+
IFERROR((INDEX(OP_RatesTU_SME_1[[Ausnet]:[United Energy]],MATCH("Single rate",OP_RatesTU_SME_1[[Rate name]:[Rate name]],0),MATCH(CostStackCalcs_SME_1[[#Headers],[Jemena]],OP_RatesTU_SME_1[[#Headers],[Ausnet]:[United Energy]],0))*($D$47/$I$51)),0)),0)</f>
        <v>5378</v>
      </c>
      <c r="G67" s="248">
        <f>ROUNDUP(
(INDEX(OP_Rates_SME_1[[Ausnet]:[United Energy]],MATCH("Anytime - supply",OP_Rates_SME_1[[Rate name]:[Rate name]],0),MATCH(CostStackCalcs_SME_1[[#Headers],[Powercor]],OP_Rates_SME_1[[#Headers],[Ausnet]:[United Energy]],0))*DiY)+
IFERROR((INDEX(OP_RatesTU_SME_1[[Ausnet]:[United Energy]],MATCH("Anytime",OP_RatesTU_SME_1[[Rate name]:[Rate name]],0),MATCH(CostStackCalcs_SME_1[[#Headers],[Powercor]],OP_RatesTU_SME_1[[#Headers],[Ausnet]:[United Energy]],0))*$H$47),0)
+
(IFERROR((INDEX(OP_Rates_SME_1[[Ausnet]:[United Energy]],MATCH("Block 1",OP_Rates_SME_1[[Rate name]:[Rate name]],0),MATCH(CostStackCalcs_SME_1[[#Headers],[Powercor]],OP_Rates_SME_1[[#Headers],[Ausnet]:[United Energy]],0))*$D$49),0)+
IFERROR((INDEX(OP_Rates_SME_1[[Ausnet]:[United Energy]],MATCH("Balance",OP_Rates_SME_1[[Rate name]:[Rate name]],0),MATCH(CostStackCalcs_SME_1[[#Headers],[Powercor]],OP_Rates_SME_1[[#Headers],[Ausnet]:[United Energy]],0))*$D$50),0)+
IFERROR((INDEX(OP_Rates_SME_1[[Ausnet]:[United Energy]],MATCH("Single rate",OP_Rates_SME_1[[Rate name]:[Rate name]],0),MATCH(CostStackCalcs_SME_1[[#Headers],[Powercor]],OP_Rates_SME_1[[#Headers],[Ausnet]:[United Energy]],0))*$D$47),0))
+
(IFERROR((INDEX(OP_RatesTU_SME_1[[Ausnet]:[United Energy]],MATCH("Block 1",OP_RatesTU_SME_1[[Rate name]:[Rate name]],0),MATCH(CostStackCalcs_SME_1[[#Headers],[Powercor]],OP_RatesTU_SME_1[[#Headers],[Ausnet]:[United Energy]],0))*($D$49/$I$51)),0)+
IFERROR((INDEX(OP_RatesTU_SME_1[[Ausnet]:[United Energy]],MATCH("Balance",OP_RatesTU_SME_1[[Rate name]:[Rate name]],0),MATCH(CostStackCalcs_SME_1[[#Headers],[Powercor]],OP_RatesTU_SME_1[[#Headers],[Ausnet]:[United Energy]],0))*($D$50/$I$51)),0)+
IFERROR((INDEX(OP_RatesTU_SME_1[[Ausnet]:[United Energy]],MATCH("Single rate",OP_RatesTU_SME_1[[Rate name]:[Rate name]],0),MATCH(CostStackCalcs_SME_1[[#Headers],[Powercor]],OP_RatesTU_SME_1[[#Headers],[Ausnet]:[United Energy]],0))*($D$47/$I$51)),0)),0)</f>
        <v>5056</v>
      </c>
      <c r="H67" s="248">
        <f>ROUNDUP(
(INDEX(OP_Rates_SME_1[[Ausnet]:[United Energy]],MATCH("Anytime - supply",OP_Rates_SME_1[[Rate name]:[Rate name]],0),MATCH(CostStackCalcs_SME_1[[#Headers],[United Energy]],OP_Rates_SME_1[[#Headers],[Ausnet]:[United Energy]],0))*DiY)+
IFERROR((INDEX(OP_RatesTU_SME_1[[Ausnet]:[United Energy]],MATCH("Anytime",OP_RatesTU_SME_1[[Rate name]:[Rate name]],0),MATCH(CostStackCalcs_SME_1[[#Headers],[United Energy]],OP_RatesTU_SME_1[[#Headers],[Ausnet]:[United Energy]],0))*$H$47),0)
+
(IFERROR((INDEX(OP_Rates_SME_1[[Ausnet]:[United Energy]],MATCH("Block 1",OP_Rates_SME_1[[Rate name]:[Rate name]],0),MATCH(CostStackCalcs_SME_1[[#Headers],[United Energy]],OP_Rates_SME_1[[#Headers],[Ausnet]:[United Energy]],0))*$D$49),0)+
IFERROR((INDEX(OP_Rates_SME_1[[Ausnet]:[United Energy]],MATCH("Balance",OP_Rates_SME_1[[Rate name]:[Rate name]],0),MATCH(CostStackCalcs_SME_1[[#Headers],[United Energy]],OP_Rates_SME_1[[#Headers],[Ausnet]:[United Energy]],0))*$D$50),0)+
IFERROR((INDEX(OP_Rates_SME_1[[Ausnet]:[United Energy]],MATCH("Single rate",OP_Rates_SME_1[[Rate name]:[Rate name]],0),MATCH(CostStackCalcs_SME_1[[#Headers],[United Energy]],OP_Rates_SME_1[[#Headers],[Ausnet]:[United Energy]],0))*$D$47),0))
+
(IFERROR((INDEX(OP_RatesTU_SME_1[[Ausnet]:[United Energy]],MATCH("Block 1",OP_RatesTU_SME_1[[Rate name]:[Rate name]],0),MATCH(CostStackCalcs_SME_1[[#Headers],[United Energy]],OP_RatesTU_SME_1[[#Headers],[Ausnet]:[United Energy]],0))*($D$49/$I$51)),0)+
IFERROR((INDEX(OP_RatesTU_SME_1[[Ausnet]:[United Energy]],MATCH("Balance",OP_RatesTU_SME_1[[Rate name]:[Rate name]],0),MATCH(CostStackCalcs_SME_1[[#Headers],[United Energy]],OP_RatesTU_SME_1[[#Headers],[Ausnet]:[United Energy]],0))*($D$50/$I$51)),0)+
IFERROR((INDEX(OP_RatesTU_SME_1[[Ausnet]:[United Energy]],MATCH("Single rate",OP_RatesTU_SME_1[[Rate name]:[Rate name]],0),MATCH(CostStackCalcs_SME_1[[#Headers],[United Energy]],OP_RatesTU_SME_1[[#Headers],[Ausnet]:[United Energy]],0))*($D$47/$I$51)),0)),0)</f>
        <v>4872</v>
      </c>
      <c r="I67" s="103">
        <f>ROUND(AVERAGE(D67:H67),0)</f>
        <v>5423</v>
      </c>
      <c r="K67" s="125" t="s">
        <v>375</v>
      </c>
      <c r="L67" s="248">
        <f>ROUNDUP(
(INDEX(OP_Rates_SME_2[[Ausnet]:[United Energy]],MATCH("Anytime - supply",OP_Rates_SME_2[[Rate name]:[Rate name]],0),MATCH(CostStackCalcs_SME_2[[#Headers],[Ausnet]],OP_Rates_SME_2[[#Headers],[Ausnet]:[United Energy]],0))*DiY)+
IFERROR((INDEX(OP_RatesTU_SME_2[[Ausnet]:[United Energy]],MATCH("Anytime",OP_RatesTU_SME_2[[Rate name]:[Rate name]],0),MATCH(CostStackCalcs_SME_2[[#Headers],[Ausnet]],OP_RatesTU_SME_2[[#Headers],[Ausnet]:[United Energy]],0))*$P$47),0)
+
(IFERROR((INDEX(OP_Rates_SME_2[[Ausnet]:[United Energy]],MATCH("Block 1",OP_Rates_SME_2[[Rate name]:[Rate name]],0),MATCH(CostStackCalcs_SME_2[[#Headers],[Ausnet]],OP_Rates_SME_2[[#Headers],[Ausnet]:[United Energy]],0))*$L$49),0)+
IFERROR((INDEX(OP_Rates_SME_2[[Ausnet]:[United Energy]],MATCH("Balance",OP_Rates_SME_2[[Rate name]:[Rate name]],0),MATCH(CostStackCalcs_SME_2[[#Headers],[Ausnet]],OP_Rates_SME_2[[#Headers],[Ausnet]:[United Energy]],0))*$L$50),0)+
IFERROR((INDEX(OP_Rates_SME_2[[Ausnet]:[United Energy]],MATCH("Single rate",OP_Rates_SME_2[[Rate name]:[Rate name]],0),MATCH(CostStackCalcs_SME_2[[#Headers],[Ausnet]],OP_Rates_SME_2[[#Headers],[Ausnet]:[United Energy]],0))*$L$47),0))
+
(IFERROR((INDEX(OP_RatesTU_SME_2[[Ausnet]:[United Energy]],MATCH("Block 1",OP_RatesTU_SME_2[[Rate name]:[Rate name]],0),MATCH(CostStackCalcs_SME_2[[#Headers],[Ausnet]],OP_RatesTU_SME_2[[#Headers],[Ausnet]:[United Energy]],0))*($L$49/$Q$51)),0)+
IFERROR((INDEX(OP_RatesTU_SME_2[[Ausnet]:[United Energy]],MATCH("Balance",OP_RatesTU_SME_2[[Rate name]:[Rate name]],0),MATCH(CostStackCalcs_SME_2[[#Headers],[Ausnet]],OP_RatesTU_SME_2[[#Headers],[Ausnet]:[United Energy]],0))*($L$50/$Q$51)),0)+
IFERROR((INDEX(OP_RatesTU_SME_2[[Ausnet]:[United Energy]],MATCH("Single rate",OP_RatesTU_SME_2[[Rate name]:[Rate name]],0),MATCH(CostStackCalcs_SME_2[[#Headers],[Ausnet]],OP_RatesTU_SME_2[[#Headers],[Ausnet]:[United Energy]],0))*($L$47/$Q$51)),0)),0)</f>
        <v>6934</v>
      </c>
      <c r="M67" s="248">
        <f>ROUNDUP(
(INDEX(OP_Rates_SME_2[[Ausnet]:[United Energy]],MATCH("Anytime - supply",OP_Rates_SME_2[[Rate name]:[Rate name]],0),MATCH(CostStackCalcs_SME_2[[#Headers],[Citipower]],OP_Rates_SME_2[[#Headers],[Ausnet]:[United Energy]],0))*DiY)+
IFERROR((INDEX(OP_RatesTU_SME_2[[Ausnet]:[United Energy]],MATCH("Anytime",OP_RatesTU_SME_2[[Rate name]:[Rate name]],0),MATCH(CostStackCalcs_SME_2[[#Headers],[Citipower]],OP_RatesTU_SME_2[[#Headers],[Ausnet]:[United Energy]],0))*$P$47),0)
+
(IFERROR((INDEX(OP_Rates_SME_2[[Ausnet]:[United Energy]],MATCH("Block 1",OP_Rates_SME_2[[Rate name]:[Rate name]],0),MATCH(CostStackCalcs_SME_2[[#Headers],[Citipower]],OP_Rates_SME_2[[#Headers],[Ausnet]:[United Energy]],0))*$L$49),0)+
IFERROR((INDEX(OP_Rates_SME_2[[Ausnet]:[United Energy]],MATCH("Balance",OP_Rates_SME_2[[Rate name]:[Rate name]],0),MATCH(CostStackCalcs_SME_2[[#Headers],[Citipower]],OP_Rates_SME_2[[#Headers],[Ausnet]:[United Energy]],0))*$L$50),0)+
IFERROR((INDEX(OP_Rates_SME_2[[Ausnet]:[United Energy]],MATCH("Single rate",OP_Rates_SME_2[[Rate name]:[Rate name]],0),MATCH(CostStackCalcs_SME_2[[#Headers],[Citipower]],OP_Rates_SME_2[[#Headers],[Ausnet]:[United Energy]],0))*$L$47),0))
+
(IFERROR((INDEX(OP_RatesTU_SME_2[[Ausnet]:[United Energy]],MATCH("Block 1",OP_RatesTU_SME_2[[Rate name]:[Rate name]],0),MATCH(CostStackCalcs_SME_2[[#Headers],[Citipower]],OP_RatesTU_SME_2[[#Headers],[Ausnet]:[United Energy]],0))*($L$49/$Q$51)),0)+
IFERROR((INDEX(OP_RatesTU_SME_2[[Ausnet]:[United Energy]],MATCH("Balance",OP_RatesTU_SME_2[[Rate name]:[Rate name]],0),MATCH(CostStackCalcs_SME_2[[#Headers],[Citipower]],OP_RatesTU_SME_2[[#Headers],[Ausnet]:[United Energy]],0))*($L$50/$Q$51)),0)+
IFERROR((INDEX(OP_RatesTU_SME_2[[Ausnet]:[United Energy]],MATCH("Single rate",OP_RatesTU_SME_2[[Rate name]:[Rate name]],0),MATCH(CostStackCalcs_SME_2[[#Headers],[Citipower]],OP_RatesTU_SME_2[[#Headers],[Ausnet]:[United Energy]],0))*($L$47/$Q$51)),0)),0)</f>
        <v>4713</v>
      </c>
      <c r="N67" s="248">
        <f>ROUNDUP(
(INDEX(OP_Rates_SME_2[[Ausnet]:[United Energy]],MATCH("Anytime - supply",OP_Rates_SME_2[[Rate name]:[Rate name]],0),MATCH(CostStackCalcs_SME_2[[#Headers],[Jemena]],OP_Rates_SME_2[[#Headers],[Ausnet]:[United Energy]],0))*DiY)+
IFERROR((INDEX(OP_RatesTU_SME_2[[Ausnet]:[United Energy]],MATCH("Anytime",OP_RatesTU_SME_2[[Rate name]:[Rate name]],0),MATCH(CostStackCalcs_SME_2[[#Headers],[Jemena]],OP_RatesTU_SME_2[[#Headers],[Ausnet]:[United Energy]],0))*$P$47),0)
+
(IFERROR((INDEX(OP_Rates_SME_2[[Ausnet]:[United Energy]],MATCH("Block 1",OP_Rates_SME_2[[Rate name]:[Rate name]],0),MATCH(CostStackCalcs_SME_2[[#Headers],[Jemena]],OP_Rates_SME_2[[#Headers],[Ausnet]:[United Energy]],0))*$L$49),0)+
IFERROR((INDEX(OP_Rates_SME_2[[Ausnet]:[United Energy]],MATCH("Balance",OP_Rates_SME_2[[Rate name]:[Rate name]],0),MATCH(CostStackCalcs_SME_2[[#Headers],[Jemena]],OP_Rates_SME_2[[#Headers],[Ausnet]:[United Energy]],0))*$L$50),0)+
IFERROR((INDEX(OP_Rates_SME_2[[Ausnet]:[United Energy]],MATCH("Single rate",OP_Rates_SME_2[[Rate name]:[Rate name]],0),MATCH(CostStackCalcs_SME_2[[#Headers],[Jemena]],OP_Rates_SME_2[[#Headers],[Ausnet]:[United Energy]],0))*$L$47),0))
+
(IFERROR((INDEX(OP_RatesTU_SME_2[[Ausnet]:[United Energy]],MATCH("Block 1",OP_RatesTU_SME_2[[Rate name]:[Rate name]],0),MATCH(CostStackCalcs_SME_2[[#Headers],[Jemena]],OP_RatesTU_SME_2[[#Headers],[Ausnet]:[United Energy]],0))*($L$49/$Q$51)),0)+
IFERROR((INDEX(OP_RatesTU_SME_2[[Ausnet]:[United Energy]],MATCH("Balance",OP_RatesTU_SME_2[[Rate name]:[Rate name]],0),MATCH(CostStackCalcs_SME_2[[#Headers],[Jemena]],OP_RatesTU_SME_2[[#Headers],[Ausnet]:[United Energy]],0))*($L$50/$Q$51)),0)+
IFERROR((INDEX(OP_RatesTU_SME_2[[Ausnet]:[United Energy]],MATCH("Single rate",OP_RatesTU_SME_2[[Rate name]:[Rate name]],0),MATCH(CostStackCalcs_SME_2[[#Headers],[Jemena]],OP_RatesTU_SME_2[[#Headers],[Ausnet]:[United Energy]],0))*($L$47/$Q$51)),0)),0)</f>
        <v>5328</v>
      </c>
      <c r="O67" s="248">
        <f>ROUNDUP(
(INDEX(OP_Rates_SME_2[[Ausnet]:[United Energy]],MATCH("Anytime - supply",OP_Rates_SME_2[[Rate name]:[Rate name]],0),MATCH(CostStackCalcs_SME_2[[#Headers],[Powercor]],OP_Rates_SME_2[[#Headers],[Ausnet]:[United Energy]],0))*DiY)+
IFERROR((INDEX(OP_RatesTU_SME_2[[Ausnet]:[United Energy]],MATCH("Anytime",OP_RatesTU_SME_2[[Rate name]:[Rate name]],0),MATCH(CostStackCalcs_SME_2[[#Headers],[Powercor]],OP_RatesTU_SME_2[[#Headers],[Ausnet]:[United Energy]],0))*$P$47),0)
+
(IFERROR((INDEX(OP_Rates_SME_2[[Ausnet]:[United Energy]],MATCH("Block 1",OP_Rates_SME_2[[Rate name]:[Rate name]],0),MATCH(CostStackCalcs_SME_2[[#Headers],[Powercor]],OP_Rates_SME_2[[#Headers],[Ausnet]:[United Energy]],0))*$L$49),0)+
IFERROR((INDEX(OP_Rates_SME_2[[Ausnet]:[United Energy]],MATCH("Balance",OP_Rates_SME_2[[Rate name]:[Rate name]],0),MATCH(CostStackCalcs_SME_2[[#Headers],[Powercor]],OP_Rates_SME_2[[#Headers],[Ausnet]:[United Energy]],0))*$L$50),0)+
IFERROR((INDEX(OP_Rates_SME_2[[Ausnet]:[United Energy]],MATCH("Single rate",OP_Rates_SME_2[[Rate name]:[Rate name]],0),MATCH(CostStackCalcs_SME_2[[#Headers],[Powercor]],OP_Rates_SME_2[[#Headers],[Ausnet]:[United Energy]],0))*$L$47),0))
+
(IFERROR((INDEX(OP_RatesTU_SME_2[[Ausnet]:[United Energy]],MATCH("Block 1",OP_RatesTU_SME_2[[Rate name]:[Rate name]],0),MATCH(CostStackCalcs_SME_2[[#Headers],[Powercor]],OP_RatesTU_SME_2[[#Headers],[Ausnet]:[United Energy]],0))*($L$49/$Q$51)),0)+
IFERROR((INDEX(OP_RatesTU_SME_2[[Ausnet]:[United Energy]],MATCH("Balance",OP_RatesTU_SME_2[[Rate name]:[Rate name]],0),MATCH(CostStackCalcs_SME_2[[#Headers],[Powercor]],OP_RatesTU_SME_2[[#Headers],[Ausnet]:[United Energy]],0))*($L$50/$Q$51)),0)+
IFERROR((INDEX(OP_RatesTU_SME_2[[Ausnet]:[United Energy]],MATCH("Single rate",OP_RatesTU_SME_2[[Rate name]:[Rate name]],0),MATCH(CostStackCalcs_SME_2[[#Headers],[Powercor]],OP_RatesTU_SME_2[[#Headers],[Ausnet]:[United Energy]],0))*($L$47/$Q$51)),0)),0)</f>
        <v>4969</v>
      </c>
      <c r="P67" s="248">
        <f>ROUNDUP(
(INDEX(OP_Rates_SME_2[[Ausnet]:[United Energy]],MATCH("Anytime - supply",OP_Rates_SME_2[[Rate name]:[Rate name]],0),MATCH(CostStackCalcs_SME_2[[#Headers],[United Energy]],OP_Rates_SME_2[[#Headers],[Ausnet]:[United Energy]],0))*DiY)+
IFERROR((INDEX(OP_RatesTU_SME_2[[Ausnet]:[United Energy]],MATCH("Anytime",OP_RatesTU_SME_2[[Rate name]:[Rate name]],0),MATCH(CostStackCalcs_SME_2[[#Headers],[United Energy]],OP_RatesTU_SME_2[[#Headers],[Ausnet]:[United Energy]],0))*$P$47),0)
+
(IFERROR((INDEX(OP_Rates_SME_2[[Ausnet]:[United Energy]],MATCH("Block 1",OP_Rates_SME_2[[Rate name]:[Rate name]],0),MATCH(CostStackCalcs_SME_2[[#Headers],[United Energy]],OP_Rates_SME_2[[#Headers],[Ausnet]:[United Energy]],0))*$L$49),0)+
IFERROR((INDEX(OP_Rates_SME_2[[Ausnet]:[United Energy]],MATCH("Balance",OP_Rates_SME_2[[Rate name]:[Rate name]],0),MATCH(CostStackCalcs_SME_2[[#Headers],[United Energy]],OP_Rates_SME_2[[#Headers],[Ausnet]:[United Energy]],0))*$L$50),0)+
IFERROR((INDEX(OP_Rates_SME_2[[Ausnet]:[United Energy]],MATCH("Single rate",OP_Rates_SME_2[[Rate name]:[Rate name]],0),MATCH(CostStackCalcs_SME_2[[#Headers],[United Energy]],OP_Rates_SME_2[[#Headers],[Ausnet]:[United Energy]],0))*$L$47),0))
+
(IFERROR((INDEX(OP_RatesTU_SME_2[[Ausnet]:[United Energy]],MATCH("Block 1",OP_RatesTU_SME_2[[Rate name]:[Rate name]],0),MATCH(CostStackCalcs_SME_2[[#Headers],[United Energy]],OP_RatesTU_SME_2[[#Headers],[Ausnet]:[United Energy]],0))*($L$49/$Q$51)),0)+
IFERROR((INDEX(OP_RatesTU_SME_2[[Ausnet]:[United Energy]],MATCH("Balance",OP_RatesTU_SME_2[[Rate name]:[Rate name]],0),MATCH(CostStackCalcs_SME_2[[#Headers],[United Energy]],OP_RatesTU_SME_2[[#Headers],[Ausnet]:[United Energy]],0))*($L$50/$Q$51)),0)+
IFERROR((INDEX(OP_RatesTU_SME_2[[Ausnet]:[United Energy]],MATCH("Single rate",OP_RatesTU_SME_2[[Rate name]:[Rate name]],0),MATCH(CostStackCalcs_SME_2[[#Headers],[United Energy]],OP_RatesTU_SME_2[[#Headers],[Ausnet]:[United Energy]],0))*($L$47/$Q$51)),0)),0)</f>
        <v>4806</v>
      </c>
      <c r="Q67" s="103">
        <f>ROUND(AVERAGE(L67:P67),0)</f>
        <v>5350</v>
      </c>
    </row>
    <row r="69" spans="3:24" ht="15.75" x14ac:dyDescent="0.25">
      <c r="C69" s="107" t="s">
        <v>17</v>
      </c>
      <c r="D69" s="93">
        <f>IF(AND(D67-D65&lt;=1,D67-D65&gt;=-1),0,1)</f>
        <v>0</v>
      </c>
      <c r="E69" s="93">
        <f t="shared" ref="E69:H69" si="15">IF(AND(E67-E65&lt;=1,E67-E65&gt;=-1),0,1)</f>
        <v>0</v>
      </c>
      <c r="F69" s="93">
        <f t="shared" si="15"/>
        <v>0</v>
      </c>
      <c r="G69" s="93">
        <f t="shared" si="15"/>
        <v>0</v>
      </c>
      <c r="H69" s="93">
        <f t="shared" si="15"/>
        <v>0</v>
      </c>
      <c r="K69" s="107" t="s">
        <v>17</v>
      </c>
      <c r="L69" s="93">
        <f>IF(AND(L67-L65&lt;=1,L67-L65&gt;=-1),0,1)</f>
        <v>0</v>
      </c>
      <c r="M69" s="93">
        <f t="shared" ref="M69:P69" si="16">IF(AND(M67-M65&lt;=1,M67-M65&gt;=-1),0,1)</f>
        <v>0</v>
      </c>
      <c r="N69" s="93">
        <f t="shared" si="16"/>
        <v>0</v>
      </c>
      <c r="O69" s="93">
        <f t="shared" si="16"/>
        <v>0</v>
      </c>
      <c r="P69" s="93">
        <f t="shared" si="16"/>
        <v>0</v>
      </c>
    </row>
    <row r="71" spans="3:24" ht="15.75" x14ac:dyDescent="0.25">
      <c r="C71" s="42" t="s">
        <v>202</v>
      </c>
      <c r="D71" s="100">
        <f>INDEX(Input_ForRateCalc[[F-PreviousVDO_InputDate]:[F-NextVDO_Input]],MATCH("Retail operating margin",Input_ForRateCalc[[Cost item]:[Cost item]],0),MATCH(CH_CostStack_SME!$D$44,Inputs!$H$8:$U$8,0))</f>
        <v>6.0400000000000002E-2</v>
      </c>
      <c r="E71" s="100">
        <f>INDEX(Input_ForRateCalc[[F-PreviousVDO_InputDate]:[F-NextVDO_Input]],MATCH("Retail operating margin",Input_ForRateCalc[[Cost item]:[Cost item]],0),MATCH(CH_CostStack_SME!$D$44,Inputs!$H$8:$U$8,0))</f>
        <v>6.0400000000000002E-2</v>
      </c>
      <c r="F71" s="100">
        <f>INDEX(Input_ForRateCalc[[F-PreviousVDO_InputDate]:[F-NextVDO_Input]],MATCH("Retail operating margin",Input_ForRateCalc[[Cost item]:[Cost item]],0),MATCH(CH_CostStack_SME!$D$44,Inputs!$H$8:$U$8,0))</f>
        <v>6.0400000000000002E-2</v>
      </c>
      <c r="G71" s="100">
        <f>INDEX(Input_ForRateCalc[[F-PreviousVDO_InputDate]:[F-NextVDO_Input]],MATCH("Retail operating margin",Input_ForRateCalc[[Cost item]:[Cost item]],0),MATCH(CH_CostStack_SME!$D$44,Inputs!$H$8:$U$8,0))</f>
        <v>6.0400000000000002E-2</v>
      </c>
      <c r="H71" s="100">
        <f>INDEX(Input_ForRateCalc[[F-PreviousVDO_InputDate]:[F-NextVDO_Input]],MATCH("Retail operating margin",Input_ForRateCalc[[Cost item]:[Cost item]],0),MATCH(CH_CostStack_SME!$D$44,Inputs!$H$8:$U$8,0))</f>
        <v>6.0400000000000002E-2</v>
      </c>
      <c r="K71" s="42" t="s">
        <v>202</v>
      </c>
      <c r="L71" s="100">
        <f>INDEX(Input_ForRateCalc[[F-PreviousVDO_InputDate]:[F-NextVDO_Input]],MATCH("Retail operating margin",Input_ForRateCalc[[Cost item]:[Cost item]],0),MATCH(CH_CostStack_SME!$L$44,Inputs!$H$8:$U$8,0))</f>
        <v>6.0400000000000002E-2</v>
      </c>
      <c r="M71" s="100">
        <f>INDEX(Input_ForRateCalc[[F-PreviousVDO_InputDate]:[F-NextVDO_Input]],MATCH("Retail operating margin",Input_ForRateCalc[[Cost item]:[Cost item]],0),MATCH(CH_CostStack_SME!$L$44,Inputs!$H$8:$U$8,0))</f>
        <v>6.0400000000000002E-2</v>
      </c>
      <c r="N71" s="100">
        <f>INDEX(Input_ForRateCalc[[F-PreviousVDO_InputDate]:[F-NextVDO_Input]],MATCH("Retail operating margin",Input_ForRateCalc[[Cost item]:[Cost item]],0),MATCH(CH_CostStack_SME!$L$44,Inputs!$H$8:$U$8,0))</f>
        <v>6.0400000000000002E-2</v>
      </c>
      <c r="O71" s="100">
        <f>INDEX(Input_ForRateCalc[[F-PreviousVDO_InputDate]:[F-NextVDO_Input]],MATCH("Retail operating margin",Input_ForRateCalc[[Cost item]:[Cost item]],0),MATCH(CH_CostStack_SME!$L$44,Inputs!$H$8:$U$8,0))</f>
        <v>6.0400000000000002E-2</v>
      </c>
      <c r="P71" s="100">
        <f>INDEX(Input_ForRateCalc[[F-PreviousVDO_InputDate]:[F-NextVDO_Input]],MATCH("Retail operating margin",Input_ForRateCalc[[Cost item]:[Cost item]],0),MATCH(CH_CostStack_SME!$L$44,Inputs!$H$8:$U$8,0))</f>
        <v>6.0400000000000002E-2</v>
      </c>
    </row>
    <row r="73" spans="3:24" ht="15.75" x14ac:dyDescent="0.25">
      <c r="C73" s="42" t="s">
        <v>284</v>
      </c>
      <c r="D73" s="100">
        <f>INDEX(Calc_Losses_1[[Ausnet]:[United Energy]],MATCH("Total loss factor",Calc_Losses_1[Cost item],0),MATCH(CH_CostStack_SME!D$53,Calc_Losses_1[[#Headers],[Ausnet]:[United Energy]],0))</f>
        <v>7.9452873939792834E-2</v>
      </c>
      <c r="E73" s="100">
        <f>INDEX(Calc_Losses_1[[Ausnet]:[United Energy]],MATCH("Total loss factor",Calc_Losses_1[Cost item],0),MATCH(CH_CostStack_SME!E$53,Calc_Losses_1[[#Headers],[Ausnet]:[United Energy]],0))</f>
        <v>4.7771666666666768E-2</v>
      </c>
      <c r="F73" s="100">
        <f>INDEX(Calc_Losses_1[[Ausnet]:[United Energy]],MATCH("Total loss factor",Calc_Losses_1[Cost item],0),MATCH(CH_CostStack_SME!F$53,Calc_Losses_1[[#Headers],[Ausnet]:[United Energy]],0))</f>
        <v>4.2295975000000041E-2</v>
      </c>
      <c r="G73" s="100">
        <f>INDEX(Calc_Losses_1[[Ausnet]:[United Energy]],MATCH("Total loss factor",Calc_Losses_1[Cost item],0),MATCH(CH_CostStack_SME!G$53,Calc_Losses_1[[#Headers],[Ausnet]:[United Energy]],0))</f>
        <v>7.1527608826401856E-2</v>
      </c>
      <c r="H73" s="100">
        <f>INDEX(Calc_Losses_1[[Ausnet]:[United Energy]],MATCH("Total loss factor",Calc_Losses_1[Cost item],0),MATCH(CH_CostStack_SME!H$53,Calc_Losses_1[[#Headers],[Ausnet]:[United Energy]],0))</f>
        <v>4.7935977272727248E-2</v>
      </c>
      <c r="K73" s="42" t="s">
        <v>284</v>
      </c>
      <c r="L73" s="100">
        <f>INDEX(Calc_Losses_2[[Ausnet]:[United Energy]],MATCH("Total loss factor",Calc_Losses_2[Cost item],0),MATCH(CH_CostStack_SME!L$53,Calc_Losses_2[[#Headers],[Ausnet]:[United Energy]],0))</f>
        <v>7.9452873939792834E-2</v>
      </c>
      <c r="M73" s="100">
        <f>INDEX(Calc_Losses_2[[Ausnet]:[United Energy]],MATCH("Total loss factor",Calc_Losses_2[Cost item],0),MATCH(CH_CostStack_SME!M$53,Calc_Losses_2[[#Headers],[Ausnet]:[United Energy]],0))</f>
        <v>4.7771666666666768E-2</v>
      </c>
      <c r="N73" s="100">
        <f>INDEX(Calc_Losses_2[[Ausnet]:[United Energy]],MATCH("Total loss factor",Calc_Losses_2[Cost item],0),MATCH(CH_CostStack_SME!N$53,Calc_Losses_2[[#Headers],[Ausnet]:[United Energy]],0))</f>
        <v>4.2295975000000041E-2</v>
      </c>
      <c r="O73" s="100">
        <f>INDEX(Calc_Losses_2[[Ausnet]:[United Energy]],MATCH("Total loss factor",Calc_Losses_2[Cost item],0),MATCH(CH_CostStack_SME!O$53,Calc_Losses_2[[#Headers],[Ausnet]:[United Energy]],0))</f>
        <v>7.1527608826401856E-2</v>
      </c>
      <c r="P73" s="100">
        <f>INDEX(Calc_Losses_2[[Ausnet]:[United Energy]],MATCH("Total loss factor",Calc_Losses_2[Cost item],0),MATCH(CH_CostStack_SME!P$53,Calc_Losses_2[[#Headers],[Ausnet]:[United Energy]],0))</f>
        <v>4.7935977272727248E-2</v>
      </c>
    </row>
    <row r="75" spans="3:24" ht="15.75" x14ac:dyDescent="0.25">
      <c r="C75" s="29" t="s">
        <v>372</v>
      </c>
      <c r="K75" s="29" t="s">
        <v>372</v>
      </c>
      <c r="V75" s="109"/>
    </row>
    <row r="76" spans="3:24" ht="15.75" x14ac:dyDescent="0.25">
      <c r="C76" s="42" t="s">
        <v>369</v>
      </c>
      <c r="D76" s="86">
        <f>SUM(Calc_Retail_1[Ausnet])</f>
        <v>183.65511994063746</v>
      </c>
      <c r="E76" s="86">
        <f>SUM(Calc_Retail_1[Citipower])</f>
        <v>183.65511994063746</v>
      </c>
      <c r="F76" s="86">
        <f>SUM(Calc_Retail_1[Jemena])</f>
        <v>183.65511994063746</v>
      </c>
      <c r="G76" s="86">
        <f>SUM(Calc_Retail_1[Powercor])</f>
        <v>183.65511994063746</v>
      </c>
      <c r="H76" s="86">
        <f>SUM(Calc_Retail_1[United Energy])</f>
        <v>183.65511994063746</v>
      </c>
      <c r="K76" s="42" t="s">
        <v>369</v>
      </c>
      <c r="L76" s="86">
        <f>SUM(Calc_Retail_2[Ausnet])</f>
        <v>181.37562065040649</v>
      </c>
      <c r="M76" s="86">
        <f>SUM(Calc_Retail_2[Citipower])</f>
        <v>181.37562065040649</v>
      </c>
      <c r="N76" s="86">
        <f>SUM(Calc_Retail_2[Jemena])</f>
        <v>181.37562065040649</v>
      </c>
      <c r="O76" s="86">
        <f>SUM(Calc_Retail_2[Powercor])</f>
        <v>181.37562065040649</v>
      </c>
      <c r="P76" s="86">
        <f>SUM(Calc_Retail_2[United Energy])</f>
        <v>181.37562065040649</v>
      </c>
      <c r="V76" s="109"/>
    </row>
    <row r="77" spans="3:24" x14ac:dyDescent="0.25">
      <c r="V77" s="109"/>
    </row>
    <row r="78" spans="3:24" ht="15.75" x14ac:dyDescent="0.25">
      <c r="C78" s="42" t="s">
        <v>371</v>
      </c>
      <c r="D78" s="86">
        <f>INDEX(Calc_NetworkF_1[[Ausnet]:[United Energy]],MATCH("Metering",Calc_NetworkF_1[Cost item],0),MATCH(CH_CostStack_SME!D$53,Calc_NetworkF_1[[#Headers],[Ausnet]:[United Energy]],0))+
SUMIFS(Calc_NetworkF_1[Ausnet],Calc_NetworkF_1[Cost item],"Anytime - supply",Calc_NetworkF_1[Customer type],IF(ISNUMBER(SEARCH("Residential",$C$47)),"Residential","Small business"))</f>
        <v>184.01183637904217</v>
      </c>
      <c r="E78" s="86">
        <f>INDEX(Calc_NetworkF_1[[Ausnet]:[United Energy]],MATCH("Metering",Calc_NetworkF_1[Cost item],0),MATCH(CH_CostStack_SME!E$53,Calc_NetworkF_1[[#Headers],[Ausnet]:[United Energy]],0))+
SUMIFS(Calc_NetworkF_1[Citipower],Calc_NetworkF_1[Cost item],"Anytime - supply",Calc_NetworkF_1[Customer type],IF(ISNUMBER(SEARCH("Residential",$C$47)),"Residential","Small business"))</f>
        <v>222.52968808839034</v>
      </c>
      <c r="F78" s="86">
        <f>INDEX(Calc_NetworkF_1[[Ausnet]:[United Energy]],MATCH("Metering",Calc_NetworkF_1[Cost item],0),MATCH(CH_CostStack_SME!F$53,Calc_NetworkF_1[[#Headers],[Ausnet]:[United Energy]],0))+
SUMIFS(Calc_NetworkF_1[Jemena],Calc_NetworkF_1[Cost item],"Anytime - supply",Calc_NetworkF_1[Customer type],IF(ISNUMBER(SEARCH("Residential",$C$47)),"Residential","Small business"))</f>
        <v>190.28865368924977</v>
      </c>
      <c r="G78" s="86">
        <f>INDEX(Calc_NetworkF_1[[Ausnet]:[United Energy]],MATCH("Metering",Calc_NetworkF_1[Cost item],0),MATCH(CH_CostStack_SME!G$53,Calc_NetworkF_1[[#Headers],[Ausnet]:[United Energy]],0))+
SUMIFS(Calc_NetworkF_1[Powercor],Calc_NetworkF_1[Cost item],"Anytime - supply",Calc_NetworkF_1[Customer type],IF(ISNUMBER(SEARCH("Residential",$C$47)),"Residential","Small business"))</f>
        <v>239.37229463145434</v>
      </c>
      <c r="H78" s="86">
        <f>INDEX(Calc_NetworkF_1[[Ausnet]:[United Energy]],MATCH("Metering",Calc_NetworkF_1[Cost item],0),MATCH(CH_CostStack_SME!H$53,Calc_NetworkF_1[[#Headers],[Ausnet]:[United Energy]],0))+
SUMIFS(Calc_NetworkF_1[United Energy],Calc_NetworkF_1[Cost item],"Anytime - supply",Calc_NetworkF_1[Customer type],IF(ISNUMBER(SEARCH("Residential",$C$47)),"Residential","Small business"))</f>
        <v>163.82005803821684</v>
      </c>
      <c r="K78" s="42" t="s">
        <v>371</v>
      </c>
      <c r="L78" s="86">
        <f>INDEX(Calc_NetworkF_2[[Ausnet]:[United Energy]],MATCH("Metering",Calc_NetworkF_2[Cost item],0),MATCH(CH_CostStack_SME!L$53,Calc_NetworkF_2[[#Headers],[Ausnet]:[United Energy]],0))+
SUMIFS(Calc_NetworkF_2[Ausnet],Calc_NetworkF_2[Cost item],"Anytime - supply",Calc_NetworkF_2[Customer type],IF(ISNUMBER(SEARCH("Residential",$K$47)),"Residential","Small business"))</f>
        <v>174.81</v>
      </c>
      <c r="M78" s="86">
        <f>INDEX(Calc_NetworkF_2[[Ausnet]:[United Energy]],MATCH("Metering",Calc_NetworkF_2[Cost item],0),MATCH(CH_CostStack_SME!M$53,Calc_NetworkF_2[[#Headers],[Ausnet]:[United Energy]],0))+
SUMIFS(Calc_NetworkF_2[Citipower],Calc_NetworkF_2[Cost item],"Anytime - supply",Calc_NetworkF_2[Customer type],IF(ISNUMBER(SEARCH("Residential",$K$47)),"Residential","Small business"))</f>
        <v>219.416</v>
      </c>
      <c r="N78" s="86">
        <f>INDEX(Calc_NetworkF_2[[Ausnet]:[United Energy]],MATCH("Metering",Calc_NetworkF_2[Cost item],0),MATCH(CH_CostStack_SME!N$53,Calc_NetworkF_2[[#Headers],[Ausnet]:[United Energy]],0))+
SUMIFS(Calc_NetworkF_2[Jemena],Calc_NetworkF_2[Cost item],"Anytime - supply",Calc_NetworkF_2[Customer type],IF(ISNUMBER(SEARCH("Residential",$K$47)),"Residential","Small business"))</f>
        <v>188.65600000000001</v>
      </c>
      <c r="O78" s="86">
        <f>INDEX(Calc_NetworkF_2[[Ausnet]:[United Energy]],MATCH("Metering",Calc_NetworkF_2[Cost item],0),MATCH(CH_CostStack_SME!O$53,Calc_NetworkF_2[[#Headers],[Ausnet]:[United Energy]],0))+
SUMIFS(Calc_NetworkF_2[Powercor],Calc_NetworkF_2[Cost item],"Anytime - supply",Calc_NetworkF_2[Customer type],IF(ISNUMBER(SEARCH("Residential",$K$47)),"Residential","Small business"))</f>
        <v>237.98150000000001</v>
      </c>
      <c r="P78" s="86">
        <f>INDEX(Calc_NetworkF_2[[Ausnet]:[United Energy]],MATCH("Metering",Calc_NetworkF_2[Cost item],0),MATCH(CH_CostStack_SME!P$53,Calc_NetworkF_2[[#Headers],[Ausnet]:[United Energy]],0))+
SUMIFS(Calc_NetworkF_2[United Energy],Calc_NetworkF_2[Cost item],"Anytime - supply",Calc_NetworkF_2[Customer type],IF(ISNUMBER(SEARCH("Residential",$K$47)),"Residential","Small business"))</f>
        <v>162.93199999999999</v>
      </c>
      <c r="V78" s="109"/>
    </row>
    <row r="79" spans="3:24" x14ac:dyDescent="0.25">
      <c r="V79" s="109"/>
      <c r="X79" s="108"/>
    </row>
    <row r="80" spans="3:24" ht="15.75" x14ac:dyDescent="0.25">
      <c r="C80" s="42" t="s">
        <v>273</v>
      </c>
      <c r="D80" s="86">
        <f>SUMIFS(Calc_OtherCosts_1[Ausnet],Calc_OtherCosts_1[[Fixed/Variable]:[Fixed/Variable]],"Fixed")</f>
        <v>4.1899995214590042</v>
      </c>
      <c r="E80" s="86">
        <f>SUMIFS(Calc_OtherCosts_1[Citipower],Calc_OtherCosts_1[[Fixed/Variable]:[Fixed/Variable]],"Fixed")</f>
        <v>4.1899995214590042</v>
      </c>
      <c r="F80" s="86">
        <f>SUMIFS(Calc_OtherCosts_1[Jemena],Calc_OtherCosts_1[[Fixed/Variable]:[Fixed/Variable]],"Fixed")</f>
        <v>4.1899995214590042</v>
      </c>
      <c r="G80" s="86">
        <f>SUMIFS(Calc_OtherCosts_1[Powercor],Calc_OtherCosts_1[[Fixed/Variable]:[Fixed/Variable]],"Fixed")</f>
        <v>4.1899995214590042</v>
      </c>
      <c r="H80" s="86">
        <f>SUMIFS(Calc_OtherCosts_1[United Energy],Calc_OtherCosts_1[[Fixed/Variable]:[Fixed/Variable]],"Fixed")</f>
        <v>4.1899995214590042</v>
      </c>
      <c r="K80" s="42" t="s">
        <v>273</v>
      </c>
      <c r="L80" s="86">
        <f>SUMIFS(Calc_OtherCosts_2[Ausnet],Calc_OtherCosts_2[[Fixed/Variable]:[Fixed/Variable]],"Fixed")</f>
        <v>4.1198525061118714</v>
      </c>
      <c r="M80" s="86">
        <f>SUMIFS(Calc_OtherCosts_2[Citipower],Calc_OtherCosts_2[[Fixed/Variable]:[Fixed/Variable]],"Fixed")</f>
        <v>4.1198525061118714</v>
      </c>
      <c r="N80" s="86">
        <f>SUMIFS(Calc_OtherCosts_2[Jemena],Calc_OtherCosts_2[[Fixed/Variable]:[Fixed/Variable]],"Fixed")</f>
        <v>4.1198525061118714</v>
      </c>
      <c r="O80" s="86">
        <f>SUMIFS(Calc_OtherCosts_2[Powercor],Calc_OtherCosts_2[[Fixed/Variable]:[Fixed/Variable]],"Fixed")</f>
        <v>4.1198525061118714</v>
      </c>
      <c r="P80" s="86">
        <f>SUMIFS(Calc_OtherCosts_2[United Energy],Calc_OtherCosts_2[[Fixed/Variable]:[Fixed/Variable]],"Fixed")</f>
        <v>4.1198525061118714</v>
      </c>
    </row>
    <row r="82" spans="3:16" ht="15.75" x14ac:dyDescent="0.25">
      <c r="C82" s="42" t="s">
        <v>376</v>
      </c>
      <c r="D82" s="101">
        <f>INDEX(Calc_FiT_1[[Ausnet]:[United Energy]],1,MATCH(CH_CostStack_SME!D$53,Calc_FiT_1[[#Headers],[Ausnet]:[United Energy]],0))</f>
        <v>13.337821545021233</v>
      </c>
      <c r="E82" s="101">
        <f>INDEX(Calc_FiT_1[[Ausnet]:[United Energy]],1,MATCH(CH_CostStack_SME!E$53,Calc_FiT_1[[#Headers],[Ausnet]:[United Energy]],0))</f>
        <v>13.337821545021233</v>
      </c>
      <c r="F82" s="101">
        <f>INDEX(Calc_FiT_1[[Ausnet]:[United Energy]],1,MATCH(CH_CostStack_SME!F$53,Calc_FiT_1[[#Headers],[Ausnet]:[United Energy]],0))</f>
        <v>13.337821545021233</v>
      </c>
      <c r="G82" s="101">
        <f>INDEX(Calc_FiT_1[[Ausnet]:[United Energy]],1,MATCH(CH_CostStack_SME!G$53,Calc_FiT_1[[#Headers],[Ausnet]:[United Energy]],0))</f>
        <v>13.337821545021233</v>
      </c>
      <c r="H82" s="101">
        <f>INDEX(Calc_FiT_1[[Ausnet]:[United Energy]],1,MATCH(CH_CostStack_SME!H$53,Calc_FiT_1[[#Headers],[Ausnet]:[United Energy]],0))</f>
        <v>13.337821545021233</v>
      </c>
      <c r="K82" s="42" t="s">
        <v>376</v>
      </c>
      <c r="L82" s="101">
        <f>INDEX(Calc_FiT_2[[Ausnet]:[United Energy]],1,MATCH(CH_CostStack_SME!L$53,Calc_FiT_2[[#Headers],[Ausnet]:[United Energy]],0))</f>
        <v>13.337821545021233</v>
      </c>
      <c r="M82" s="101">
        <f>INDEX(Calc_FiT_2[[Ausnet]:[United Energy]],1,MATCH(CH_CostStack_SME!M$53,Calc_FiT_2[[#Headers],[Ausnet]:[United Energy]],0))</f>
        <v>13.337821545021233</v>
      </c>
      <c r="N82" s="101">
        <f>INDEX(Calc_FiT_2[[Ausnet]:[United Energy]],1,MATCH(CH_CostStack_SME!N$53,Calc_FiT_2[[#Headers],[Ausnet]:[United Energy]],0))</f>
        <v>13.337821545021233</v>
      </c>
      <c r="O82" s="101">
        <f>INDEX(Calc_FiT_2[[Ausnet]:[United Energy]],1,MATCH(CH_CostStack_SME!O$53,Calc_FiT_2[[#Headers],[Ausnet]:[United Energy]],0))</f>
        <v>13.337821545021233</v>
      </c>
      <c r="P82" s="101">
        <f>INDEX(Calc_FiT_2[[Ausnet]:[United Energy]],1,MATCH(CH_CostStack_SME!P$53,Calc_FiT_2[[#Headers],[Ausnet]:[United Energy]],0))</f>
        <v>13.337821545021233</v>
      </c>
    </row>
    <row r="84" spans="3:16" ht="15.75" x14ac:dyDescent="0.25">
      <c r="C84" s="29" t="s">
        <v>373</v>
      </c>
      <c r="K84" s="29" t="s">
        <v>373</v>
      </c>
    </row>
    <row r="85" spans="3:16" ht="15.75" x14ac:dyDescent="0.25">
      <c r="C85" s="42" t="s">
        <v>151</v>
      </c>
      <c r="D85" s="86">
        <f>INDEX(Calc_EnviroVEU_1[[Ausnet]:[United Energy]],MATCH("VEU cost",Calc_EnviroVEU_1[[Cost item]:[Cost item]],0),MATCH(CH_CostStack_SME!D$53,Calc_EnviroVEU_1[[#Headers],[Ausnet]:[United Energy]],0))+
INDEX(Calc_EnviroLRET_1[[Ausnet]:[United Energy]],MATCH("LRET cost",Calc_EnviroLRET_1[[Cost item]:[Cost item]],0),MATCH(CH_CostStack_SME!D$53,Calc_EnviroLRET_1[[#Headers],[Ausnet]:[United Energy]],0))+
INDEX(Calc_EnviroSRES_1[[Ausnet]:[United Energy]],MATCH("SRES cost",Calc_EnviroSRES_1[[Cost item]:[Cost item]],0),MATCH(CH_CostStack_SME!D$53,Calc_EnviroSRES_1[[#Headers],[Ausnet]:[United Energy]],0))</f>
        <v>2.9373578857956113E-2</v>
      </c>
      <c r="E85" s="86">
        <f>INDEX(Calc_EnviroVEU_1[[Ausnet]:[United Energy]],MATCH("VEU cost",Calc_EnviroVEU_1[[Cost item]:[Cost item]],0),MATCH(CH_CostStack_SME!E$53,Calc_EnviroVEU_1[[#Headers],[Ausnet]:[United Energy]],0))+
INDEX(Calc_EnviroLRET_1[[Ausnet]:[United Energy]],MATCH("LRET cost",Calc_EnviroLRET_1[[Cost item]:[Cost item]],0),MATCH(CH_CostStack_SME!E$53,Calc_EnviroLRET_1[[#Headers],[Ausnet]:[United Energy]],0))+
INDEX(Calc_EnviroSRES_1[[Ausnet]:[United Energy]],MATCH("SRES cost",Calc_EnviroSRES_1[[Cost item]:[Cost item]],0),MATCH(CH_CostStack_SME!E$53,Calc_EnviroSRES_1[[#Headers],[Ausnet]:[United Energy]],0))</f>
        <v>2.9373578857956113E-2</v>
      </c>
      <c r="F85" s="86">
        <f>INDEX(Calc_EnviroVEU_1[[Ausnet]:[United Energy]],MATCH("VEU cost",Calc_EnviroVEU_1[[Cost item]:[Cost item]],0),MATCH(CH_CostStack_SME!F$53,Calc_EnviroVEU_1[[#Headers],[Ausnet]:[United Energy]],0))+
INDEX(Calc_EnviroLRET_1[[Ausnet]:[United Energy]],MATCH("LRET cost",Calc_EnviroLRET_1[[Cost item]:[Cost item]],0),MATCH(CH_CostStack_SME!F$53,Calc_EnviroLRET_1[[#Headers],[Ausnet]:[United Energy]],0))+
INDEX(Calc_EnviroSRES_1[[Ausnet]:[United Energy]],MATCH("SRES cost",Calc_EnviroSRES_1[[Cost item]:[Cost item]],0),MATCH(CH_CostStack_SME!F$53,Calc_EnviroSRES_1[[#Headers],[Ausnet]:[United Energy]],0))</f>
        <v>2.9373578857956113E-2</v>
      </c>
      <c r="G85" s="86">
        <f>INDEX(Calc_EnviroVEU_1[[Ausnet]:[United Energy]],MATCH("VEU cost",Calc_EnviroVEU_1[[Cost item]:[Cost item]],0),MATCH(CH_CostStack_SME!G$53,Calc_EnviroVEU_1[[#Headers],[Ausnet]:[United Energy]],0))+
INDEX(Calc_EnviroLRET_1[[Ausnet]:[United Energy]],MATCH("LRET cost",Calc_EnviroLRET_1[[Cost item]:[Cost item]],0),MATCH(CH_CostStack_SME!G$53,Calc_EnviroLRET_1[[#Headers],[Ausnet]:[United Energy]],0))+
INDEX(Calc_EnviroSRES_1[[Ausnet]:[United Energy]],MATCH("SRES cost",Calc_EnviroSRES_1[[Cost item]:[Cost item]],0),MATCH(CH_CostStack_SME!G$53,Calc_EnviroSRES_1[[#Headers],[Ausnet]:[United Energy]],0))</f>
        <v>2.9373578857956113E-2</v>
      </c>
      <c r="H85" s="86">
        <f>INDEX(Calc_EnviroVEU_1[[Ausnet]:[United Energy]],MATCH("VEU cost",Calc_EnviroVEU_1[[Cost item]:[Cost item]],0),MATCH(CH_CostStack_SME!H$53,Calc_EnviroVEU_1[[#Headers],[Ausnet]:[United Energy]],0))+
INDEX(Calc_EnviroLRET_1[[Ausnet]:[United Energy]],MATCH("LRET cost",Calc_EnviroLRET_1[[Cost item]:[Cost item]],0),MATCH(CH_CostStack_SME!H$53,Calc_EnviroLRET_1[[#Headers],[Ausnet]:[United Energy]],0))+
INDEX(Calc_EnviroSRES_1[[Ausnet]:[United Energy]],MATCH("SRES cost",Calc_EnviroSRES_1[[Cost item]:[Cost item]],0),MATCH(CH_CostStack_SME!H$53,Calc_EnviroSRES_1[[#Headers],[Ausnet]:[United Energy]],0))</f>
        <v>2.9373578857956113E-2</v>
      </c>
      <c r="K85" s="42" t="s">
        <v>151</v>
      </c>
      <c r="L85" s="86">
        <f>INDEX(Calc_EnviroVEU_2[[Ausnet]:[United Energy]],MATCH("VEU cost",Calc_EnviroVEU_2[[Cost item]:[Cost item]],0),MATCH(CH_CostStack_SME!L$53,Calc_EnviroVEU_2[[#Headers],[Ausnet]:[United Energy]],0))+
INDEX(Calc_EnviroLRET_2[[Ausnet]:[United Energy]],MATCH("LRET cost",Calc_EnviroLRET_2[[Cost item]:[Cost item]],0),MATCH(CH_CostStack_SME!L$53,Calc_EnviroLRET_2[[#Headers],[Ausnet]:[United Energy]],0))+
INDEX(Calc_EnviroSRES_2[[Ausnet]:[United Energy]],MATCH("SRES cost",Calc_EnviroSRES_2[[Cost item]:[Cost item]],0),MATCH(CH_CostStack_SME!L$53,Calc_EnviroSRES_2[[#Headers],[Ausnet]:[United Energy]],0))</f>
        <v>2.6450055368152592E-2</v>
      </c>
      <c r="M85" s="86">
        <f>INDEX(Calc_EnviroVEU_2[[Ausnet]:[United Energy]],MATCH("VEU cost",Calc_EnviroVEU_2[[Cost item]:[Cost item]],0),MATCH(CH_CostStack_SME!M$53,Calc_EnviroVEU_2[[#Headers],[Ausnet]:[United Energy]],0))+
INDEX(Calc_EnviroLRET_2[[Ausnet]:[United Energy]],MATCH("LRET cost",Calc_EnviroLRET_2[[Cost item]:[Cost item]],0),MATCH(CH_CostStack_SME!M$53,Calc_EnviroLRET_2[[#Headers],[Ausnet]:[United Energy]],0))+
INDEX(Calc_EnviroSRES_2[[Ausnet]:[United Energy]],MATCH("SRES cost",Calc_EnviroSRES_2[[Cost item]:[Cost item]],0),MATCH(CH_CostStack_SME!M$53,Calc_EnviroSRES_2[[#Headers],[Ausnet]:[United Energy]],0))</f>
        <v>2.6450055368152592E-2</v>
      </c>
      <c r="N85" s="86">
        <f>INDEX(Calc_EnviroVEU_2[[Ausnet]:[United Energy]],MATCH("VEU cost",Calc_EnviroVEU_2[[Cost item]:[Cost item]],0),MATCH(CH_CostStack_SME!N$53,Calc_EnviroVEU_2[[#Headers],[Ausnet]:[United Energy]],0))+
INDEX(Calc_EnviroLRET_2[[Ausnet]:[United Energy]],MATCH("LRET cost",Calc_EnviroLRET_2[[Cost item]:[Cost item]],0),MATCH(CH_CostStack_SME!N$53,Calc_EnviroLRET_2[[#Headers],[Ausnet]:[United Energy]],0))+
INDEX(Calc_EnviroSRES_2[[Ausnet]:[United Energy]],MATCH("SRES cost",Calc_EnviroSRES_2[[Cost item]:[Cost item]],0),MATCH(CH_CostStack_SME!N$53,Calc_EnviroSRES_2[[#Headers],[Ausnet]:[United Energy]],0))</f>
        <v>2.6450055368152592E-2</v>
      </c>
      <c r="O85" s="86">
        <f>INDEX(Calc_EnviroVEU_2[[Ausnet]:[United Energy]],MATCH("VEU cost",Calc_EnviroVEU_2[[Cost item]:[Cost item]],0),MATCH(CH_CostStack_SME!O$53,Calc_EnviroVEU_2[[#Headers],[Ausnet]:[United Energy]],0))+
INDEX(Calc_EnviroLRET_2[[Ausnet]:[United Energy]],MATCH("LRET cost",Calc_EnviroLRET_2[[Cost item]:[Cost item]],0),MATCH(CH_CostStack_SME!O$53,Calc_EnviroLRET_2[[#Headers],[Ausnet]:[United Energy]],0))+
INDEX(Calc_EnviroSRES_2[[Ausnet]:[United Energy]],MATCH("SRES cost",Calc_EnviroSRES_2[[Cost item]:[Cost item]],0),MATCH(CH_CostStack_SME!O$53,Calc_EnviroSRES_2[[#Headers],[Ausnet]:[United Energy]],0))</f>
        <v>2.6450055368152592E-2</v>
      </c>
      <c r="P85" s="86">
        <f>INDEX(Calc_EnviroVEU_2[[Ausnet]:[United Energy]],MATCH("VEU cost",Calc_EnviroVEU_2[[Cost item]:[Cost item]],0),MATCH(CH_CostStack_SME!P$53,Calc_EnviroVEU_2[[#Headers],[Ausnet]:[United Energy]],0))+
INDEX(Calc_EnviroLRET_2[[Ausnet]:[United Energy]],MATCH("LRET cost",Calc_EnviroLRET_2[[Cost item]:[Cost item]],0),MATCH(CH_CostStack_SME!P$53,Calc_EnviroLRET_2[[#Headers],[Ausnet]:[United Energy]],0))+
INDEX(Calc_EnviroSRES_2[[Ausnet]:[United Energy]],MATCH("SRES cost",Calc_EnviroSRES_2[[Cost item]:[Cost item]],0),MATCH(CH_CostStack_SME!P$53,Calc_EnviroSRES_2[[#Headers],[Ausnet]:[United Energy]],0))</f>
        <v>2.6450055368152592E-2</v>
      </c>
    </row>
    <row r="87" spans="3:16" ht="15.75" x14ac:dyDescent="0.25">
      <c r="C87" s="42" t="s">
        <v>128</v>
      </c>
      <c r="D87" s="101">
        <f>IF(ISNUMBER(SEARCH("Residential",$C$47)),
INDEX(Calc_WholesaleRES_1[[Ausnet]:[United Energy]],MATCH("Wholesale cost",Calc_WholesaleRES_1[[Cost item]:[Cost item]],0),MATCH(CH_CostStack_SME!D$53,Calc_WholesaleRES_1[[#Headers],[Ausnet]:[United Energy]],0)),
INDEX(Calc_WholesaleSME_1[[Ausnet]:[United Energy]],MATCH("Wholesale cost",Calc_WholesaleSME_1[[Cost item]:[Cost item]],0),MATCH(CH_CostStack_SME!D$53,Calc_WholesaleSME_1[[#Headers],[Ausnet]:[United Energy]],0)))</f>
        <v>6.5190000000000012E-2</v>
      </c>
      <c r="E87" s="101">
        <f>IF(ISNUMBER(SEARCH("Residential",$C$47)),
INDEX(Calc_WholesaleRES_1[[Ausnet]:[United Energy]],MATCH("Wholesale cost",Calc_WholesaleRES_1[[Cost item]:[Cost item]],0),MATCH(CH_CostStack_SME!E$53,Calc_WholesaleRES_1[[#Headers],[Ausnet]:[United Energy]],0)),
INDEX(Calc_WholesaleSME_1[[Ausnet]:[United Energy]],MATCH("Wholesale cost",Calc_WholesaleSME_1[[Cost item]:[Cost item]],0),MATCH(CH_CostStack_SME!E$53,Calc_WholesaleSME_1[[#Headers],[Ausnet]:[United Energy]],0)))</f>
        <v>6.6979999999999998E-2</v>
      </c>
      <c r="F87" s="101">
        <f>IF(ISNUMBER(SEARCH("Residential",$C$47)),
INDEX(Calc_WholesaleRES_1[[Ausnet]:[United Energy]],MATCH("Wholesale cost",Calc_WholesaleRES_1[[Cost item]:[Cost item]],0),MATCH(CH_CostStack_SME!F$53,Calc_WholesaleRES_1[[#Headers],[Ausnet]:[United Energy]],0)),
INDEX(Calc_WholesaleSME_1[[Ausnet]:[United Energy]],MATCH("Wholesale cost",Calc_WholesaleSME_1[[Cost item]:[Cost item]],0),MATCH(CH_CostStack_SME!F$53,Calc_WholesaleSME_1[[#Headers],[Ausnet]:[United Energy]],0)))</f>
        <v>6.6110000000000002E-2</v>
      </c>
      <c r="G87" s="101">
        <f>IF(ISNUMBER(SEARCH("Residential",$C$47)),
INDEX(Calc_WholesaleRES_1[[Ausnet]:[United Energy]],MATCH("Wholesale cost",Calc_WholesaleRES_1[[Cost item]:[Cost item]],0),MATCH(CH_CostStack_SME!G$53,Calc_WholesaleRES_1[[#Headers],[Ausnet]:[United Energy]],0)),
INDEX(Calc_WholesaleSME_1[[Ausnet]:[United Energy]],MATCH("Wholesale cost",Calc_WholesaleSME_1[[Cost item]:[Cost item]],0),MATCH(CH_CostStack_SME!G$53,Calc_WholesaleSME_1[[#Headers],[Ausnet]:[United Energy]],0)))</f>
        <v>6.3990000000000005E-2</v>
      </c>
      <c r="H87" s="101">
        <f>IF(ISNUMBER(SEARCH("Residential",$C$47)),
INDEX(Calc_WholesaleRES_1[[Ausnet]:[United Energy]],MATCH("Wholesale cost",Calc_WholesaleRES_1[[Cost item]:[Cost item]],0),MATCH(CH_CostStack_SME!H$53,Calc_WholesaleRES_1[[#Headers],[Ausnet]:[United Energy]],0)),
INDEX(Calc_WholesaleSME_1[[Ausnet]:[United Energy]],MATCH("Wholesale cost",Calc_WholesaleSME_1[[Cost item]:[Cost item]],0),MATCH(CH_CostStack_SME!H$53,Calc_WholesaleSME_1[[#Headers],[Ausnet]:[United Energy]],0)))</f>
        <v>6.7000000000000004E-2</v>
      </c>
      <c r="K87" s="42" t="s">
        <v>128</v>
      </c>
      <c r="L87" s="101">
        <f>IF(ISNUMBER(SEARCH("Residential",$K$47)),
INDEX(Calc_WholesaleRES_2[[Ausnet]:[United Energy]],MATCH("Wholesale cost",Calc_WholesaleRES_2[[Cost item]:[Cost item]],0),MATCH(CH_CostStack_SME!L$53,Calc_WholesaleRES_2[[#Headers],[Ausnet]:[United Energy]],0)),
INDEX(Calc_WholesaleSME_2[[Ausnet]:[United Energy]],MATCH("Wholesale cost",Calc_WholesaleSME_2[[Cost item]:[Cost item]],0),MATCH(CH_CostStack_SME!L$53,Calc_WholesaleSME_2[[#Headers],[Ausnet]:[United Energy]],0)))</f>
        <v>6.298999999999999E-2</v>
      </c>
      <c r="M87" s="101">
        <f>IF(ISNUMBER(SEARCH("Residential",$K$47)),
INDEX(Calc_WholesaleRES_2[[Ausnet]:[United Energy]],MATCH("Wholesale cost",Calc_WholesaleRES_2[[Cost item]:[Cost item]],0),MATCH(CH_CostStack_SME!M$53,Calc_WholesaleRES_2[[#Headers],[Ausnet]:[United Energy]],0)),
INDEX(Calc_WholesaleSME_2[[Ausnet]:[United Energy]],MATCH("Wholesale cost",Calc_WholesaleSME_2[[Cost item]:[Cost item]],0),MATCH(CH_CostStack_SME!M$53,Calc_WholesaleSME_2[[#Headers],[Ausnet]:[United Energy]],0)))</f>
        <v>6.411E-2</v>
      </c>
      <c r="N87" s="101">
        <f>IF(ISNUMBER(SEARCH("Residential",$K$47)),
INDEX(Calc_WholesaleRES_2[[Ausnet]:[United Energy]],MATCH("Wholesale cost",Calc_WholesaleRES_2[[Cost item]:[Cost item]],0),MATCH(CH_CostStack_SME!N$53,Calc_WholesaleRES_2[[#Headers],[Ausnet]:[United Energy]],0)),
INDEX(Calc_WholesaleSME_2[[Ausnet]:[United Energy]],MATCH("Wholesale cost",Calc_WholesaleSME_2[[Cost item]:[Cost item]],0),MATCH(CH_CostStack_SME!N$53,Calc_WholesaleSME_2[[#Headers],[Ausnet]:[United Energy]],0)))</f>
        <v>6.4180000000000001E-2</v>
      </c>
      <c r="O87" s="101">
        <f>IF(ISNUMBER(SEARCH("Residential",$K$47)),
INDEX(Calc_WholesaleRES_2[[Ausnet]:[United Energy]],MATCH("Wholesale cost",Calc_WholesaleRES_2[[Cost item]:[Cost item]],0),MATCH(CH_CostStack_SME!O$53,Calc_WholesaleRES_2[[#Headers],[Ausnet]:[United Energy]],0)),
INDEX(Calc_WholesaleSME_2[[Ausnet]:[United Energy]],MATCH("Wholesale cost",Calc_WholesaleSME_2[[Cost item]:[Cost item]],0),MATCH(CH_CostStack_SME!O$53,Calc_WholesaleSME_2[[#Headers],[Ausnet]:[United Energy]],0)))</f>
        <v>6.123E-2</v>
      </c>
      <c r="P87" s="101">
        <f>IF(ISNUMBER(SEARCH("Residential",$K$47)),
INDEX(Calc_WholesaleRES_2[[Ausnet]:[United Energy]],MATCH("Wholesale cost",Calc_WholesaleRES_2[[Cost item]:[Cost item]],0),MATCH(CH_CostStack_SME!P$53,Calc_WholesaleRES_2[[#Headers],[Ausnet]:[United Energy]],0)),
INDEX(Calc_WholesaleSME_2[[Ausnet]:[United Energy]],MATCH("Wholesale cost",Calc_WholesaleSME_2[[Cost item]:[Cost item]],0),MATCH(CH_CostStack_SME!P$53,Calc_WholesaleSME_2[[#Headers],[Ausnet]:[United Energy]],0)))</f>
        <v>6.5449999999999994E-2</v>
      </c>
    </row>
    <row r="89" spans="3:16" ht="15.75" x14ac:dyDescent="0.25">
      <c r="C89" s="42" t="s">
        <v>273</v>
      </c>
      <c r="D89" s="86">
        <f>SUMIFS(Calc_OtherCosts_1[Ausnet],Calc_OtherCosts_1[[Fixed/Variable]:[Fixed/Variable]],"Variable")</f>
        <v>9.079633158843776E-4</v>
      </c>
      <c r="E89" s="86">
        <f>SUMIFS(Calc_OtherCosts_1[Citipower],Calc_OtherCosts_1[[Fixed/Variable]:[Fixed/Variable]],"Variable")</f>
        <v>9.079633158843776E-4</v>
      </c>
      <c r="F89" s="86">
        <f>SUMIFS(Calc_OtherCosts_1[Jemena],Calc_OtherCosts_1[[Fixed/Variable]:[Fixed/Variable]],"Variable")</f>
        <v>9.079633158843776E-4</v>
      </c>
      <c r="G89" s="86">
        <f>SUMIFS(Calc_OtherCosts_1[Powercor],Calc_OtherCosts_1[[Fixed/Variable]:[Fixed/Variable]],"Variable")</f>
        <v>9.079633158843776E-4</v>
      </c>
      <c r="H89" s="86">
        <f>SUMIFS(Calc_OtherCosts_1[United Energy],Calc_OtherCosts_1[[Fixed/Variable]:[Fixed/Variable]],"Variable")</f>
        <v>9.079633158843776E-4</v>
      </c>
      <c r="K89" s="42" t="s">
        <v>273</v>
      </c>
      <c r="L89" s="86">
        <f>SUMIFS(Calc_OtherCosts_2[Ausnet],Calc_OtherCosts_2[[Fixed/Variable]:[Fixed/Variable]],"Variable")</f>
        <v>8.7547970254075731E-4</v>
      </c>
      <c r="M89" s="86">
        <f>SUMIFS(Calc_OtherCosts_2[Citipower],Calc_OtherCosts_2[[Fixed/Variable]:[Fixed/Variable]],"Variable")</f>
        <v>8.7547970254075731E-4</v>
      </c>
      <c r="N89" s="86">
        <f>SUMIFS(Calc_OtherCosts_2[Jemena],Calc_OtherCosts_2[[Fixed/Variable]:[Fixed/Variable]],"Variable")</f>
        <v>8.7547970254075731E-4</v>
      </c>
      <c r="O89" s="86">
        <f>SUMIFS(Calc_OtherCosts_2[Powercor],Calc_OtherCosts_2[[Fixed/Variable]:[Fixed/Variable]],"Variable")</f>
        <v>8.7547970254075731E-4</v>
      </c>
      <c r="P89" s="86">
        <f>SUMIFS(Calc_OtherCosts_2[United Energy],Calc_OtherCosts_2[[Fixed/Variable]:[Fixed/Variable]],"Variable")</f>
        <v>8.7547970254075731E-4</v>
      </c>
    </row>
    <row r="91" spans="3:16" ht="15.75" x14ac:dyDescent="0.25">
      <c r="C91" s="42" t="s">
        <v>370</v>
      </c>
      <c r="K91" s="42" t="s">
        <v>370</v>
      </c>
    </row>
    <row r="92" spans="3:16" x14ac:dyDescent="0.25">
      <c r="C92" t="s">
        <v>221</v>
      </c>
      <c r="D92" s="101">
        <f>SUMIFS(Calc_NetworkV_1[Ausnet],Calc_NetworkV_1[[Cost item]:[Cost item]],$C92,Calc_NetworkV_1[[Customer type]:[Customer type]],IF(ISNUMBER(SEARCH("Residential",$C$47)),"Residential","Small business"))</f>
        <v>0.155386</v>
      </c>
      <c r="E92" s="101">
        <f>SUMIFS(Calc_NetworkV_1[Citipower],Calc_NetworkV_1[[Cost item]:[Cost item]],$C92,Calc_NetworkV_1[[Customer type]:[Customer type]],IF(ISNUMBER(SEARCH("Residential",$C$47)),"Residential","Small business"))</f>
        <v>0</v>
      </c>
      <c r="F92" s="101">
        <f>SUMIFS(Calc_NetworkV_1[Jemena],Calc_NetworkV_1[[Cost item]:[Cost item]],$C92,Calc_NetworkV_1[[Customer type]:[Customer type]],IF(ISNUMBER(SEARCH("Residential",$C$47)),"Residential","Small business"))</f>
        <v>0</v>
      </c>
      <c r="G92" s="101">
        <f>SUMIFS(Calc_NetworkV_1[Powercor],Calc_NetworkV_1[[Cost item]:[Cost item]],$C92,Calc_NetworkV_1[[Customer type]:[Customer type]],IF(ISNUMBER(SEARCH("Residential",$C$47)),"Residential","Small business"))</f>
        <v>0</v>
      </c>
      <c r="H92" s="101">
        <f>SUMIFS(Calc_NetworkV_1[United Energy],Calc_NetworkV_1[[Cost item]:[Cost item]],$C92,Calc_NetworkV_1[[Customer type]:[Customer type]],IF(ISNUMBER(SEARCH("Residential",$C$47)),"Residential","Small business"))</f>
        <v>0</v>
      </c>
      <c r="K92" t="s">
        <v>221</v>
      </c>
      <c r="L92" s="101">
        <f>SUMIFS(Calc_NetworkV_2[Ausnet],Calc_NetworkV_2[[Cost item]:[Cost item]],$K92,Calc_NetworkV_2[[Customer type]:[Customer type]],IF(ISNUMBER(SEARCH("Residential",$K$47)),"Residential","Small business"))</f>
        <v>0.155386</v>
      </c>
      <c r="M92" s="101">
        <f>SUMIFS(Calc_NetworkV_2[Citipower],Calc_NetworkV_2[[Cost item]:[Cost item]],$K92,Calc_NetworkV_2[[Customer type]:[Customer type]],IF(ISNUMBER(SEARCH("Residential",$K$47)),"Residential","Small business"))</f>
        <v>0</v>
      </c>
      <c r="N92" s="101">
        <f>SUMIFS(Calc_NetworkV_2[Jemena],Calc_NetworkV_2[[Cost item]:[Cost item]],$K92,Calc_NetworkV_2[[Customer type]:[Customer type]],IF(ISNUMBER(SEARCH("Residential",$K$47)),"Residential","Small business"))</f>
        <v>0</v>
      </c>
      <c r="O92" s="101">
        <f>SUMIFS(Calc_NetworkV_2[Powercor],Calc_NetworkV_2[[Cost item]:[Cost item]],$K92,Calc_NetworkV_2[[Customer type]:[Customer type]],IF(ISNUMBER(SEARCH("Residential",$K$47)),"Residential","Small business"))</f>
        <v>0</v>
      </c>
      <c r="P92" s="101">
        <f>SUMIFS(Calc_NetworkV_2[United Energy],Calc_NetworkV_2[[Cost item]:[Cost item]],$K92,Calc_NetworkV_2[[Customer type]:[Customer type]],IF(ISNUMBER(SEARCH("Residential",$K$47)),"Residential","Small business"))</f>
        <v>0</v>
      </c>
    </row>
    <row r="93" spans="3:16" x14ac:dyDescent="0.25">
      <c r="C93" t="s">
        <v>228</v>
      </c>
      <c r="D93" s="101">
        <f>SUMIFS(Calc_NetworkV_1[Ausnet],Calc_NetworkV_1[[Cost item]:[Cost item]],$C93,Calc_NetworkV_1[[Customer type]:[Customer type]],IF(ISNUMBER(SEARCH("Residential",$C$47)),"Residential","Small business"))</f>
        <v>0.182667</v>
      </c>
      <c r="E93" s="101">
        <f>SUMIFS(Calc_NetworkV_1[Citipower],Calc_NetworkV_1[[Cost item]:[Cost item]],$C93,Calc_NetworkV_1[[Customer type]:[Customer type]],IF(ISNUMBER(SEARCH("Residential",$C$47)),"Residential","Small business"))</f>
        <v>0</v>
      </c>
      <c r="F93" s="101">
        <f>SUMIFS(Calc_NetworkV_1[Jemena],Calc_NetworkV_1[[Cost item]:[Cost item]],$C93,Calc_NetworkV_1[[Customer type]:[Customer type]],IF(ISNUMBER(SEARCH("Residential",$C$47)),"Residential","Small business"))</f>
        <v>0</v>
      </c>
      <c r="G93" s="101">
        <f>SUMIFS(Calc_NetworkV_1[Powercor],Calc_NetworkV_1[[Cost item]:[Cost item]],$C93,Calc_NetworkV_1[[Customer type]:[Customer type]],IF(ISNUMBER(SEARCH("Residential",$C$47)),"Residential","Small business"))</f>
        <v>0</v>
      </c>
      <c r="H93" s="101">
        <f>SUMIFS(Calc_NetworkV_1[United Energy],Calc_NetworkV_1[[Cost item]:[Cost item]],$C93,Calc_NetworkV_1[[Customer type]:[Customer type]],IF(ISNUMBER(SEARCH("Residential",$C$47)),"Residential","Small business"))</f>
        <v>0</v>
      </c>
      <c r="K93" t="s">
        <v>228</v>
      </c>
      <c r="L93" s="101">
        <f>SUMIFS(Calc_NetworkV_2[Ausnet],Calc_NetworkV_2[[Cost item]:[Cost item]],$K93,Calc_NetworkV_2[[Customer type]:[Customer type]],IF(ISNUMBER(SEARCH("Residential",$K$47)),"Residential","Small business"))</f>
        <v>0.182667</v>
      </c>
      <c r="M93" s="101">
        <f>SUMIFS(Calc_NetworkV_2[Citipower],Calc_NetworkV_2[[Cost item]:[Cost item]],$K93,Calc_NetworkV_2[[Customer type]:[Customer type]],IF(ISNUMBER(SEARCH("Residential",$K$47)),"Residential","Small business"))</f>
        <v>0</v>
      </c>
      <c r="N93" s="101">
        <f>SUMIFS(Calc_NetworkV_2[Jemena],Calc_NetworkV_2[[Cost item]:[Cost item]],$K93,Calc_NetworkV_2[[Customer type]:[Customer type]],IF(ISNUMBER(SEARCH("Residential",$K$47)),"Residential","Small business"))</f>
        <v>0</v>
      </c>
      <c r="O93" s="101">
        <f>SUMIFS(Calc_NetworkV_2[Powercor],Calc_NetworkV_2[[Cost item]:[Cost item]],$K93,Calc_NetworkV_2[[Customer type]:[Customer type]],IF(ISNUMBER(SEARCH("Residential",$K$47)),"Residential","Small business"))</f>
        <v>0</v>
      </c>
      <c r="P93" s="101">
        <f>SUMIFS(Calc_NetworkV_2[United Energy],Calc_NetworkV_2[[Cost item]:[Cost item]],$K93,Calc_NetworkV_2[[Customer type]:[Customer type]],IF(ISNUMBER(SEARCH("Residential",$K$47)),"Residential","Small business"))</f>
        <v>0</v>
      </c>
    </row>
    <row r="94" spans="3:16" x14ac:dyDescent="0.25">
      <c r="C94" t="s">
        <v>549</v>
      </c>
      <c r="D94" s="101">
        <f>SUMIFS(Calc_NetworkV_1[Ausnet],Calc_NetworkV_1[[Cost item]:[Cost item]],$C94,Calc_NetworkV_1[[Customer type]:[Customer type]],IF(ISNUMBER(SEARCH("Residential",$C$47)),"Residential","Small business"))</f>
        <v>0</v>
      </c>
      <c r="E94" s="101">
        <f>SUMIFS(Calc_NetworkV_1[Citipower],Calc_NetworkV_1[[Cost item]:[Cost item]],$C94,Calc_NetworkV_1[[Customer type]:[Customer type]],IF(ISNUMBER(SEARCH("Residential",$C$47)),"Residential","Small business"))</f>
        <v>8.2100000000000006E-2</v>
      </c>
      <c r="F94" s="101">
        <f>SUMIFS(Calc_NetworkV_1[Jemena],Calc_NetworkV_1[[Cost item]:[Cost item]],$C94,Calc_NetworkV_1[[Customer type]:[Customer type]],IF(ISNUMBER(SEARCH("Residential",$C$47)),"Residential","Small business"))</f>
        <v>0.10973000000000001</v>
      </c>
      <c r="G94" s="101">
        <f>SUMIFS(Calc_NetworkV_1[Powercor],Calc_NetworkV_1[[Cost item]:[Cost item]],$C94,Calc_NetworkV_1[[Customer type]:[Customer type]],IF(ISNUMBER(SEARCH("Residential",$C$47)),"Residential","Small business"))</f>
        <v>9.2899999999999996E-2</v>
      </c>
      <c r="H94" s="101">
        <f>SUMIFS(Calc_NetworkV_1[United Energy],Calc_NetworkV_1[[Cost item]:[Cost item]],$C94,Calc_NetworkV_1[[Customer type]:[Customer type]],IF(ISNUMBER(SEARCH("Residential",$C$47)),"Residential","Small business"))</f>
        <v>8.7899999999999992E-2</v>
      </c>
      <c r="K94" t="s">
        <v>549</v>
      </c>
      <c r="L94" s="101">
        <f>SUMIFS(Calc_NetworkV_2[Ausnet],Calc_NetworkV_2[[Cost item]:[Cost item]],$K94,Calc_NetworkV_2[[Customer type]:[Customer type]],IF(ISNUMBER(SEARCH("Residential",$K$47)),"Residential","Small business"))</f>
        <v>0</v>
      </c>
      <c r="M94" s="101">
        <f>SUMIFS(Calc_NetworkV_2[Citipower],Calc_NetworkV_2[[Cost item]:[Cost item]],$K94,Calc_NetworkV_2[[Customer type]:[Customer type]],IF(ISNUMBER(SEARCH("Residential",$K$47)),"Residential","Small business"))</f>
        <v>8.2100000000000006E-2</v>
      </c>
      <c r="N94" s="101">
        <f>SUMIFS(Calc_NetworkV_2[Jemena],Calc_NetworkV_2[[Cost item]:[Cost item]],$K94,Calc_NetworkV_2[[Customer type]:[Customer type]],IF(ISNUMBER(SEARCH("Residential",$K$47)),"Residential","Small business"))</f>
        <v>0.10973000000000001</v>
      </c>
      <c r="O94" s="101">
        <f>SUMIFS(Calc_NetworkV_2[Powercor],Calc_NetworkV_2[[Cost item]:[Cost item]],$K94,Calc_NetworkV_2[[Customer type]:[Customer type]],IF(ISNUMBER(SEARCH("Residential",$K$47)),"Residential","Small business"))</f>
        <v>9.2899999999999996E-2</v>
      </c>
      <c r="P94" s="101">
        <f>SUMIFS(Calc_NetworkV_2[United Energy],Calc_NetworkV_2[[Cost item]:[Cost item]],$K94,Calc_NetworkV_2[[Customer type]:[Customer type]],IF(ISNUMBER(SEARCH("Residential",$K$47)),"Residential","Small business"))</f>
        <v>8.7899999999999992E-2</v>
      </c>
    </row>
    <row r="96" spans="3:16" ht="15.75" x14ac:dyDescent="0.25">
      <c r="C96" s="42" t="s">
        <v>619</v>
      </c>
      <c r="K96" s="42" t="s">
        <v>619</v>
      </c>
    </row>
    <row r="97" spans="3:16" x14ac:dyDescent="0.25">
      <c r="C97" t="s">
        <v>556</v>
      </c>
      <c r="D97" s="101" t="str" cm="1">
        <f t="array" ref="D97">IF(ISNUMBER(SEARCH("Residential",$C$47)),
INDEX(OP_RatesTU_RES_1[Ausnet],MATCH(1,(OP_RatesTU_RES_1[Cost element]="Network")*(OP_RatesTU_RES_1[Rate name]=CH_CostStack_SME!$C97),0),1),
INDEX(OP_RatesTU_SME_1[Ausnet],MATCH(1,(OP_RatesTU_SME_1[Cost element]="Network")*(OP_RatesTU_SME_1[Rate name]=CH_CostStack_SME!$C97),0),1))</f>
        <v>-</v>
      </c>
      <c r="E97" s="101" t="str" cm="1">
        <f t="array" ref="E97">IF(ISNUMBER(SEARCH("Residential",$C$47)),
INDEX(OP_RatesTU_RES_1[Citipower],MATCH(1,(OP_RatesTU_RES_1[Cost element]="Network")*(OP_RatesTU_RES_1[Rate name]=CH_CostStack_SME!$C97),0),1),
INDEX(OP_RatesTU_SME_1[Citipower],MATCH(1,(OP_RatesTU_SME_1[Cost element]="Network")*(OP_RatesTU_SME_1[Rate name]=CH_CostStack_SME!$C97),0),1))</f>
        <v>-</v>
      </c>
      <c r="F97" s="101" t="str" cm="1">
        <f t="array" ref="F97">IF(ISNUMBER(SEARCH("Residential",$C$47)),
INDEX(OP_RatesTU_RES_1[Jemena],MATCH(1,(OP_RatesTU_RES_1[Cost element]="Network")*(OP_RatesTU_RES_1[Rate name]=CH_CostStack_SME!$C97),0),1),
INDEX(OP_RatesTU_SME_1[Jemena],MATCH(1,(OP_RatesTU_SME_1[Cost element]="Network")*(OP_RatesTU_SME_1[Rate name]=CH_CostStack_SME!$C97),0),1))</f>
        <v>-</v>
      </c>
      <c r="G97" s="101" t="str" cm="1">
        <f t="array" ref="G97">IF(ISNUMBER(SEARCH("Residential",$C$47)),
INDEX(OP_RatesTU_RES_1[Powercor],MATCH(1,(OP_RatesTU_RES_1[Cost element]="Network")*(OP_RatesTU_RES_1[Rate name]=CH_CostStack_SME!$C97),0),1),
INDEX(OP_RatesTU_SME_1[Powercor],MATCH(1,(OP_RatesTU_SME_1[Cost element]="Network")*(OP_RatesTU_SME_1[Rate name]=CH_CostStack_SME!$C97),0),1))</f>
        <v>-</v>
      </c>
      <c r="H97" s="101" t="str" cm="1">
        <f t="array" ref="H97">IF(ISNUMBER(SEARCH("Residential",$C$47)),
INDEX(OP_RatesTU_RES_1[United Energy],MATCH(1,(OP_RatesTU_RES_1[Cost element]="Network")*(OP_RatesTU_RES_1[Rate name]=CH_CostStack_SME!$C97),0),1),
INDEX(OP_RatesTU_SME_1[United Energy],MATCH(1,(OP_RatesTU_SME_1[Cost element]="Network")*(OP_RatesTU_SME_1[Rate name]=CH_CostStack_SME!$C97),0),1))</f>
        <v>-</v>
      </c>
      <c r="K97" t="s">
        <v>556</v>
      </c>
      <c r="L97" s="101" cm="1">
        <f t="array" ref="L97">IF(ISNUMBER(SEARCH("Residential",$C$47)),
INDEX(OP_RatesTU_RES_2[Ausnet],MATCH(1,(OP_RatesTU_RES_2[Cost element]="Network")*(OP_RatesTU_RES_2[Rate name]=CH_CostStack_SME!$K97),0),1),
INDEX(OP_RatesTU_SME_2[Ausnet],MATCH(1,(OP_RatesTU_SME_2[Cost element]="Network")*(OP_RatesTU_SME_2[Rate name]=CH_CostStack_SME!$K97),0),1))</f>
        <v>0.14155426304843055</v>
      </c>
      <c r="M97" s="101" cm="1">
        <f t="array" ref="M97">IF(ISNUMBER(SEARCH("Residential",$C$47)),
INDEX(OP_RatesTU_RES_2[Citipower],MATCH(1,(OP_RatesTU_RES_2[Cost element]="Network")*(OP_RatesTU_RES_2[Rate name]=CH_CostStack_SME!$K97),0),1),
INDEX(OP_RatesTU_SME_2[Citipower],MATCH(1,(OP_RatesTU_SME_2[Cost element]="Network")*(OP_RatesTU_SME_2[Rate name]=CH_CostStack_SME!$K97),0),1))</f>
        <v>5.0997769858831137E-2</v>
      </c>
      <c r="N97" s="101" cm="1">
        <f t="array" ref="N97">IF(ISNUMBER(SEARCH("Residential",$C$47)),
INDEX(OP_RatesTU_RES_2[Jemena],MATCH(1,(OP_RatesTU_RES_2[Cost element]="Network")*(OP_RatesTU_RES_2[Rate name]=CH_CostStack_SME!$K97),0),1),
INDEX(OP_RatesTU_SME_2[Jemena],MATCH(1,(OP_RatesTU_SME_2[Cost element]="Network")*(OP_RatesTU_SME_2[Rate name]=CH_CostStack_SME!$K97),0),1))</f>
        <v>0.14652115442345531</v>
      </c>
      <c r="O97" s="101" cm="1">
        <f t="array" ref="O97">IF(ISNUMBER(SEARCH("Residential",$C$47)),
INDEX(OP_RatesTU_RES_2[Powercor],MATCH(1,(OP_RatesTU_RES_2[Cost element]="Network")*(OP_RatesTU_RES_2[Rate name]=CH_CostStack_SME!$K97),0),1),
INDEX(OP_RatesTU_SME_2[Powercor],MATCH(1,(OP_RatesTU_SME_2[Cost element]="Network")*(OP_RatesTU_SME_2[Rate name]=CH_CostStack_SME!$K97),0),1))</f>
        <v>6.5334232735095366E-2</v>
      </c>
      <c r="P97" s="101" cm="1">
        <f t="array" ref="P97">IF(ISNUMBER(SEARCH("Residential",$C$47)),
INDEX(OP_RatesTU_RES_2[United Energy],MATCH(1,(OP_RatesTU_RES_2[Cost element]="Network")*(OP_RatesTU_RES_2[Rate name]=CH_CostStack_SME!$K97),0),1),
INDEX(OP_RatesTU_SME_2[United Energy],MATCH(1,(OP_RatesTU_SME_2[Cost element]="Network")*(OP_RatesTU_SME_2[Rate name]=CH_CostStack_SME!$K97),0),1))</f>
        <v>-4.0499060250920585E-3</v>
      </c>
    </row>
    <row r="99" spans="3:16" ht="15.75" x14ac:dyDescent="0.25">
      <c r="C99" s="42" t="s">
        <v>620</v>
      </c>
      <c r="K99" s="42" t="s">
        <v>620</v>
      </c>
    </row>
    <row r="100" spans="3:16" x14ac:dyDescent="0.25">
      <c r="C100" t="s">
        <v>221</v>
      </c>
      <c r="D100" s="101" cm="1">
        <f t="array" ref="D100">IF(ISNUMBER(SEARCH("Residential",$C$47)),
INDEX(OP_RatesTU_RES_1[Ausnet],MATCH(1,(OP_RatesTU_RES_1[[Cost element]:[Cost element]]="Environmental")*(OP_RatesTU_RES_1[[Rate name]:[Rate name]]=CH_CostStack_RES!$C100),0),1),
INDEX(OP_RatesTU_SME_1[Ausnet],MATCH(1,(OP_RatesTU_SME_1[[Cost element]:[Cost element]]="Environmental")*(OP_RatesTU_SME_1[[Rate name]:[Rate name]]=CH_CostStack_RES!$C100),0),1))</f>
        <v>4.3609479704997934E-4</v>
      </c>
      <c r="E100" s="101" cm="1">
        <f t="array" ref="E100">IF(ISNUMBER(SEARCH("Residential",$C$47)),
INDEX(OP_RatesTU_RES_1[Citipower],MATCH(1,(OP_RatesTU_RES_1[[Cost element]:[Cost element]]="Environmental")*(OP_RatesTU_RES_1[[Rate name]:[Rate name]]=CH_CostStack_RES!$C100),0),1),
INDEX(OP_RatesTU_SME_1[Citipower],MATCH(1,(OP_RatesTU_SME_1[[Cost element]:[Cost element]]="Environmental")*(OP_RatesTU_SME_1[[Rate name]:[Rate name]]=CH_CostStack_RES!$C100),0),1))</f>
        <v>0</v>
      </c>
      <c r="F100" s="101" cm="1">
        <f t="array" ref="F100">IF(ISNUMBER(SEARCH("Residential",$C$47)),
INDEX(OP_RatesTU_RES_1[Jemena],MATCH(1,(OP_RatesTU_RES_1[[Cost element]:[Cost element]]="Environmental")*(OP_RatesTU_RES_1[[Rate name]:[Rate name]]=CH_CostStack_RES!$C100),0),1),
INDEX(OP_RatesTU_SME_1[Jemena],MATCH(1,(OP_RatesTU_SME_1[[Cost element]:[Cost element]]="Environmental")*(OP_RatesTU_SME_1[[Rate name]:[Rate name]]=CH_CostStack_RES!$C100),0),1))</f>
        <v>0</v>
      </c>
      <c r="G100" s="101" cm="1">
        <f t="array" ref="G100">IF(ISNUMBER(SEARCH("Residential",$C$47)),
INDEX(OP_RatesTU_RES_1[Powercor],MATCH(1,(OP_RatesTU_RES_1[[Cost element]:[Cost element]]="Environmental")*(OP_RatesTU_RES_1[[Rate name]:[Rate name]]=CH_CostStack_RES!$C100),0),1),
INDEX(OP_RatesTU_SME_1[Powercor],MATCH(1,(OP_RatesTU_SME_1[[Cost element]:[Cost element]]="Environmental")*(OP_RatesTU_SME_1[[Rate name]:[Rate name]]=CH_CostStack_RES!$C100),0),1))</f>
        <v>0</v>
      </c>
      <c r="H100" s="101" cm="1">
        <f t="array" ref="H100">IF(ISNUMBER(SEARCH("Residential",$C$47)),
INDEX(OP_RatesTU_RES_1[United Energy],MATCH(1,(OP_RatesTU_RES_1[[Cost element]:[Cost element]]="Environmental")*(OP_RatesTU_RES_1[[Rate name]:[Rate name]]=CH_CostStack_RES!$C100),0),1),
INDEX(OP_RatesTU_SME_1[United Energy],MATCH(1,(OP_RatesTU_SME_1[[Cost element]:[Cost element]]="Environmental")*(OP_RatesTU_SME_1[[Rate name]:[Rate name]]=CH_CostStack_RES!$C100),0),1))</f>
        <v>0</v>
      </c>
      <c r="K100" t="s">
        <v>221</v>
      </c>
      <c r="L100" s="101" cm="1">
        <f t="array" ref="L100">IF(ISNUMBER(SEARCH("Residential",$K$47)),
INDEX(OP_RatesTU_RES_2[Ausnet],MATCH(1,(OP_RatesTU_RES_2[[Cost element]:[Cost element]]="Environmental")*(OP_RatesTU_RES_2[[Rate name]:[Rate name]]=CH_CostStack_RES!$C100),0),1),
INDEX(OP_RatesTU_SME_2[Ausnet],MATCH(1,(OP_RatesTU_SME_2[[Cost element]:[Cost element]]="Environmental")*(OP_RatesTU_SME_2[[Rate name]:[Rate name]]=CH_CostStack_RES!$C100),0),1))</f>
        <v>6.66713910181736E-3</v>
      </c>
      <c r="M100" s="101" cm="1">
        <f t="array" ref="M100">IF(ISNUMBER(SEARCH("Residential",$K$47)),
INDEX(OP_RatesTU_RES_2[Citipower],MATCH(1,(OP_RatesTU_RES_2[[Cost element]:[Cost element]]="Environmental")*(OP_RatesTU_RES_2[[Rate name]:[Rate name]]=CH_CostStack_RES!$C100),0),1),
INDEX(OP_RatesTU_SME_2[Citipower],MATCH(1,(OP_RatesTU_SME_2[[Cost element]:[Cost element]]="Environmental")*(OP_RatesTU_SME_2[[Rate name]:[Rate name]]=CH_CostStack_RES!$C100),0),1))</f>
        <v>0</v>
      </c>
      <c r="N100" s="101" cm="1">
        <f t="array" ref="N100">IF(ISNUMBER(SEARCH("Residential",$K$47)),
INDEX(OP_RatesTU_RES_2[Jemena],MATCH(1,(OP_RatesTU_RES_2[[Cost element]:[Cost element]]="Environmental")*(OP_RatesTU_RES_2[[Rate name]:[Rate name]]=CH_CostStack_RES!$C100),0),1),
INDEX(OP_RatesTU_SME_2[Jemena],MATCH(1,(OP_RatesTU_SME_2[[Cost element]:[Cost element]]="Environmental")*(OP_RatesTU_SME_2[[Rate name]:[Rate name]]=CH_CostStack_RES!$C100),0),1))</f>
        <v>0</v>
      </c>
      <c r="O100" s="101" cm="1">
        <f t="array" ref="O100">IF(ISNUMBER(SEARCH("Residential",$K$47)),
INDEX(OP_RatesTU_RES_2[Powercor],MATCH(1,(OP_RatesTU_RES_2[[Cost element]:[Cost element]]="Environmental")*(OP_RatesTU_RES_2[[Rate name]:[Rate name]]=CH_CostStack_RES!$C100),0),1),
INDEX(OP_RatesTU_SME_2[Powercor],MATCH(1,(OP_RatesTU_SME_2[[Cost element]:[Cost element]]="Environmental")*(OP_RatesTU_SME_2[[Rate name]:[Rate name]]=CH_CostStack_RES!$C100),0),1))</f>
        <v>0</v>
      </c>
      <c r="P100" s="101" cm="1">
        <f t="array" ref="P100">IF(ISNUMBER(SEARCH("Residential",$K$47)),
INDEX(OP_RatesTU_RES_2[United Energy],MATCH(1,(OP_RatesTU_RES_2[[Cost element]:[Cost element]]="Environmental")*(OP_RatesTU_RES_2[[Rate name]:[Rate name]]=CH_CostStack_RES!$C100),0),1),
INDEX(OP_RatesTU_SME_2[United Energy],MATCH(1,(OP_RatesTU_SME_2[[Cost element]:[Cost element]]="Environmental")*(OP_RatesTU_SME_2[[Rate name]:[Rate name]]=CH_CostStack_RES!$C100),0),1))</f>
        <v>0</v>
      </c>
    </row>
    <row r="101" spans="3:16" x14ac:dyDescent="0.25">
      <c r="C101" t="s">
        <v>228</v>
      </c>
      <c r="D101" s="101" cm="1">
        <f t="array" ref="D101">IF(ISNUMBER(SEARCH("Residential",$C$47)),
INDEX(OP_RatesTU_RES_1[Ausnet],MATCH(1,(OP_RatesTU_RES_1[[Cost element]:[Cost element]]="Environmental")*(OP_RatesTU_RES_1[[Rate name]:[Rate name]]=CH_CostStack_RES!$C101),0),1),
INDEX(OP_RatesTU_SME_1[Ausnet],MATCH(1,(OP_RatesTU_SME_1[[Cost element]:[Cost element]]="Environmental")*(OP_RatesTU_SME_1[[Rate name]:[Rate name]]=CH_CostStack_RES!$C101),0),1))</f>
        <v>4.3609479704997934E-4</v>
      </c>
      <c r="E101" s="101" cm="1">
        <f t="array" ref="E101">IF(ISNUMBER(SEARCH("Residential",$C$47)),
INDEX(OP_RatesTU_RES_1[Citipower],MATCH(1,(OP_RatesTU_RES_1[[Cost element]:[Cost element]]="Environmental")*(OP_RatesTU_RES_1[[Rate name]:[Rate name]]=CH_CostStack_RES!$C101),0),1),
INDEX(OP_RatesTU_SME_1[Citipower],MATCH(1,(OP_RatesTU_SME_1[[Cost element]:[Cost element]]="Environmental")*(OP_RatesTU_SME_1[[Rate name]:[Rate name]]=CH_CostStack_RES!$C101),0),1))</f>
        <v>0</v>
      </c>
      <c r="F101" s="101" cm="1">
        <f t="array" ref="F101">IF(ISNUMBER(SEARCH("Residential",$C$47)),
INDEX(OP_RatesTU_RES_1[Jemena],MATCH(1,(OP_RatesTU_RES_1[[Cost element]:[Cost element]]="Environmental")*(OP_RatesTU_RES_1[[Rate name]:[Rate name]]=CH_CostStack_RES!$C101),0),1),
INDEX(OP_RatesTU_SME_1[Jemena],MATCH(1,(OP_RatesTU_SME_1[[Cost element]:[Cost element]]="Environmental")*(OP_RatesTU_SME_1[[Rate name]:[Rate name]]=CH_CostStack_RES!$C101),0),1))</f>
        <v>0</v>
      </c>
      <c r="G101" s="101" cm="1">
        <f t="array" ref="G101">IF(ISNUMBER(SEARCH("Residential",$C$47)),
INDEX(OP_RatesTU_RES_1[Powercor],MATCH(1,(OP_RatesTU_RES_1[[Cost element]:[Cost element]]="Environmental")*(OP_RatesTU_RES_1[[Rate name]:[Rate name]]=CH_CostStack_RES!$C101),0),1),
INDEX(OP_RatesTU_SME_1[Powercor],MATCH(1,(OP_RatesTU_SME_1[[Cost element]:[Cost element]]="Environmental")*(OP_RatesTU_SME_1[[Rate name]:[Rate name]]=CH_CostStack_RES!$C101),0),1))</f>
        <v>0</v>
      </c>
      <c r="H101" s="101" cm="1">
        <f t="array" ref="H101">IF(ISNUMBER(SEARCH("Residential",$C$47)),
INDEX(OP_RatesTU_RES_1[United Energy],MATCH(1,(OP_RatesTU_RES_1[[Cost element]:[Cost element]]="Environmental")*(OP_RatesTU_RES_1[[Rate name]:[Rate name]]=CH_CostStack_RES!$C101),0),1),
INDEX(OP_RatesTU_SME_1[United Energy],MATCH(1,(OP_RatesTU_SME_1[[Cost element]:[Cost element]]="Environmental")*(OP_RatesTU_SME_1[[Rate name]:[Rate name]]=CH_CostStack_RES!$C101),0),1))</f>
        <v>0</v>
      </c>
      <c r="K101" t="s">
        <v>228</v>
      </c>
      <c r="L101" s="101" cm="1">
        <f t="array" ref="L101">IF(ISNUMBER(SEARCH("Residential",$K$47)),
INDEX(OP_RatesTU_RES_2[Ausnet],MATCH(1,(OP_RatesTU_RES_2[[Cost element]:[Cost element]]="Environmental")*(OP_RatesTU_RES_2[[Rate name]:[Rate name]]=CH_CostStack_RES!$C101),0),1),
INDEX(OP_RatesTU_SME_2[Ausnet],MATCH(1,(OP_RatesTU_SME_2[[Cost element]:[Cost element]]="Environmental")*(OP_RatesTU_SME_2[[Rate name]:[Rate name]]=CH_CostStack_RES!$C101),0),1))</f>
        <v>6.66713910181736E-3</v>
      </c>
      <c r="M101" s="101" cm="1">
        <f t="array" ref="M101">IF(ISNUMBER(SEARCH("Residential",$K$47)),
INDEX(OP_RatesTU_RES_2[Citipower],MATCH(1,(OP_RatesTU_RES_2[[Cost element]:[Cost element]]="Environmental")*(OP_RatesTU_RES_2[[Rate name]:[Rate name]]=CH_CostStack_RES!$C101),0),1),
INDEX(OP_RatesTU_SME_2[Citipower],MATCH(1,(OP_RatesTU_SME_2[[Cost element]:[Cost element]]="Environmental")*(OP_RatesTU_SME_2[[Rate name]:[Rate name]]=CH_CostStack_RES!$C101),0),1))</f>
        <v>0</v>
      </c>
      <c r="N101" s="101" cm="1">
        <f t="array" ref="N101">IF(ISNUMBER(SEARCH("Residential",$K$47)),
INDEX(OP_RatesTU_RES_2[Jemena],MATCH(1,(OP_RatesTU_RES_2[[Cost element]:[Cost element]]="Environmental")*(OP_RatesTU_RES_2[[Rate name]:[Rate name]]=CH_CostStack_RES!$C101),0),1),
INDEX(OP_RatesTU_SME_2[Jemena],MATCH(1,(OP_RatesTU_SME_2[[Cost element]:[Cost element]]="Environmental")*(OP_RatesTU_SME_2[[Rate name]:[Rate name]]=CH_CostStack_RES!$C101),0),1))</f>
        <v>0</v>
      </c>
      <c r="O101" s="101" cm="1">
        <f t="array" ref="O101">IF(ISNUMBER(SEARCH("Residential",$K$47)),
INDEX(OP_RatesTU_RES_2[Powercor],MATCH(1,(OP_RatesTU_RES_2[[Cost element]:[Cost element]]="Environmental")*(OP_RatesTU_RES_2[[Rate name]:[Rate name]]=CH_CostStack_RES!$C101),0),1),
INDEX(OP_RatesTU_SME_2[Powercor],MATCH(1,(OP_RatesTU_SME_2[[Cost element]:[Cost element]]="Environmental")*(OP_RatesTU_SME_2[[Rate name]:[Rate name]]=CH_CostStack_RES!$C101),0),1))</f>
        <v>0</v>
      </c>
      <c r="P101" s="101" cm="1">
        <f t="array" ref="P101">IF(ISNUMBER(SEARCH("Residential",$K$47)),
INDEX(OP_RatesTU_RES_2[United Energy],MATCH(1,(OP_RatesTU_RES_2[[Cost element]:[Cost element]]="Environmental")*(OP_RatesTU_RES_2[[Rate name]:[Rate name]]=CH_CostStack_RES!$C101),0),1),
INDEX(OP_RatesTU_SME_2[United Energy],MATCH(1,(OP_RatesTU_SME_2[[Cost element]:[Cost element]]="Environmental")*(OP_RatesTU_SME_2[[Rate name]:[Rate name]]=CH_CostStack_RES!$C101),0),1))</f>
        <v>0</v>
      </c>
    </row>
    <row r="102" spans="3:16" x14ac:dyDescent="0.25">
      <c r="C102" t="s">
        <v>549</v>
      </c>
      <c r="D102" s="101" cm="1">
        <f t="array" ref="D102">IF(ISNUMBER(SEARCH("Residential",$C$47)),
INDEX(OP_RatesTU_RES_1[Ausnet],MATCH(1,(OP_RatesTU_RES_1[[Cost element]:[Cost element]]="Environmental")*(OP_RatesTU_RES_1[[Rate name]:[Rate name]]=CH_CostStack_RES!$C102),0),1),
INDEX(OP_RatesTU_SME_1[Ausnet],MATCH(1,(OP_RatesTU_SME_1[[Cost element]:[Cost element]]="Environmental")*(OP_RatesTU_SME_1[[Rate name]:[Rate name]]=CH_CostStack_RES!$C102),0),1))</f>
        <v>0</v>
      </c>
      <c r="E102" s="101" cm="1">
        <f t="array" ref="E102">IF(ISNUMBER(SEARCH("Residential",$C$47)),
INDEX(OP_RatesTU_RES_1[Citipower],MATCH(1,(OP_RatesTU_RES_1[[Cost element]:[Cost element]]="Environmental")*(OP_RatesTU_RES_1[[Rate name]:[Rate name]]=CH_CostStack_RES!$C102),0),1),
INDEX(OP_RatesTU_SME_1[Citipower],MATCH(1,(OP_RatesTU_SME_1[[Cost element]:[Cost element]]="Environmental")*(OP_RatesTU_SME_1[[Rate name]:[Rate name]]=CH_CostStack_RES!$C102),0),1))</f>
        <v>4.2329571152283947E-4</v>
      </c>
      <c r="F102" s="101" cm="1">
        <f t="array" ref="F102">IF(ISNUMBER(SEARCH("Residential",$C$47)),
INDEX(OP_RatesTU_RES_1[Jemena],MATCH(1,(OP_RatesTU_RES_1[[Cost element]:[Cost element]]="Environmental")*(OP_RatesTU_RES_1[[Rate name]:[Rate name]]=CH_CostStack_RES!$C102),0),1),
INDEX(OP_RatesTU_SME_1[Jemena],MATCH(1,(OP_RatesTU_SME_1[[Cost element]:[Cost element]]="Environmental")*(OP_RatesTU_SME_1[[Rate name]:[Rate name]]=CH_CostStack_RES!$C102),0),1))</f>
        <v>4.2108355321215024E-4</v>
      </c>
      <c r="G102" s="101" cm="1">
        <f t="array" ref="G102">IF(ISNUMBER(SEARCH("Residential",$C$47)),
INDEX(OP_RatesTU_RES_1[Powercor],MATCH(1,(OP_RatesTU_RES_1[[Cost element]:[Cost element]]="Environmental")*(OP_RatesTU_RES_1[[Rate name]:[Rate name]]=CH_CostStack_RES!$C102),0),1),
INDEX(OP_RatesTU_SME_1[Powercor],MATCH(1,(OP_RatesTU_SME_1[[Cost element]:[Cost element]]="Environmental")*(OP_RatesTU_SME_1[[Rate name]:[Rate name]]=CH_CostStack_RES!$C102),0),1))</f>
        <v>4.3289302051611621E-4</v>
      </c>
      <c r="H102" s="101" cm="1">
        <f t="array" ref="H102">IF(ISNUMBER(SEARCH("Residential",$C$47)),
INDEX(OP_RatesTU_RES_1[United Energy],MATCH(1,(OP_RatesTU_RES_1[[Cost element]:[Cost element]]="Environmental")*(OP_RatesTU_RES_1[[Rate name]:[Rate name]]=CH_CostStack_RES!$C102),0),1),
INDEX(OP_RatesTU_SME_1[United Energy],MATCH(1,(OP_RatesTU_SME_1[[Cost element]:[Cost element]]="Environmental")*(OP_RatesTU_SME_1[[Rate name]:[Rate name]]=CH_CostStack_RES!$C102),0),1))</f>
        <v>4.2336209237385492E-4</v>
      </c>
      <c r="K102" t="s">
        <v>549</v>
      </c>
      <c r="L102" s="101" cm="1">
        <f t="array" ref="L102">IF(ISNUMBER(SEARCH("Residential",$K$47)),
INDEX(OP_RatesTU_RES_2[Ausnet],MATCH(1,(OP_RatesTU_RES_2[[Cost element]:[Cost element]]="Environmental")*(OP_RatesTU_RES_2[[Rate name]:[Rate name]]=CH_CostStack_RES!$C102),0),1),
INDEX(OP_RatesTU_SME_2[Ausnet],MATCH(1,(OP_RatesTU_SME_2[[Cost element]:[Cost element]]="Environmental")*(OP_RatesTU_SME_2[[Rate name]:[Rate name]]=CH_CostStack_RES!$C102),0),1))</f>
        <v>0</v>
      </c>
      <c r="M102" s="101" cm="1">
        <f t="array" ref="M102">IF(ISNUMBER(SEARCH("Residential",$K$47)),
INDEX(OP_RatesTU_RES_2[Citipower],MATCH(1,(OP_RatesTU_RES_2[[Cost element]:[Cost element]]="Environmental")*(OP_RatesTU_RES_2[[Rate name]:[Rate name]]=CH_CostStack_RES!$C102),0),1),
INDEX(OP_RatesTU_SME_2[Citipower],MATCH(1,(OP_RatesTU_SME_2[[Cost element]:[Cost element]]="Environmental")*(OP_RatesTU_SME_2[[Rate name]:[Rate name]]=CH_CostStack_RES!$C102),0),1))</f>
        <v>6.5518983001313221E-3</v>
      </c>
      <c r="N102" s="101" cm="1">
        <f t="array" ref="N102">IF(ISNUMBER(SEARCH("Residential",$K$47)),
INDEX(OP_RatesTU_RES_2[Jemena],MATCH(1,(OP_RatesTU_RES_2[[Cost element]:[Cost element]]="Environmental")*(OP_RatesTU_RES_2[[Rate name]:[Rate name]]=CH_CostStack_RES!$C102),0),1),
INDEX(OP_RatesTU_SME_2[Jemena],MATCH(1,(OP_RatesTU_SME_2[[Cost element]:[Cost element]]="Environmental")*(OP_RatesTU_SME_2[[Rate name]:[Rate name]]=CH_CostStack_RES!$C102),0),1))</f>
        <v>6.4834552967827147E-3</v>
      </c>
      <c r="O102" s="101" cm="1">
        <f t="array" ref="O102">IF(ISNUMBER(SEARCH("Residential",$K$47)),
INDEX(OP_RatesTU_RES_2[Powercor],MATCH(1,(OP_RatesTU_RES_2[[Cost element]:[Cost element]]="Environmental")*(OP_RatesTU_RES_2[[Rate name]:[Rate name]]=CH_CostStack_RES!$C102),0),1),
INDEX(OP_RatesTU_SME_2[Powercor],MATCH(1,(OP_RatesTU_SME_2[[Cost element]:[Cost element]]="Environmental")*(OP_RatesTU_SME_2[[Rate name]:[Rate name]]=CH_CostStack_RES!$C102),0),1))</f>
        <v>6.6923795662660671E-3</v>
      </c>
      <c r="P102" s="101" cm="1">
        <f t="array" ref="P102">IF(ISNUMBER(SEARCH("Residential",$K$47)),
INDEX(OP_RatesTU_RES_2[United Energy],MATCH(1,(OP_RatesTU_RES_2[[Cost element]:[Cost element]]="Environmental")*(OP_RatesTU_RES_2[[Rate name]:[Rate name]]=CH_CostStack_RES!$C102),0),1),
INDEX(OP_RatesTU_SME_2[United Energy],MATCH(1,(OP_RatesTU_SME_2[[Cost element]:[Cost element]]="Environmental")*(OP_RatesTU_SME_2[[Rate name]:[Rate name]]=CH_CostStack_RES!$C102),0),1))</f>
        <v>6.5757968919376237E-3</v>
      </c>
    </row>
  </sheetData>
  <sheetProtection algorithmName="SHA-512" hashValue="1an7Gwyxzs9BogjEojAzErrEc/yEMsplYMn9Hvct4pNQdZfuzS+oGiiEMIZVXT+BGwaRint+ugkWe4DOHqZG9w==" saltValue="wOHORs7W/HSI2ubY53ouiA==" spinCount="100000" sheet="1" objects="1" scenarios="1"/>
  <mergeCells count="1">
    <mergeCell ref="A2:A3"/>
  </mergeCells>
  <dataValidations disablePrompts="1" count="1">
    <dataValidation type="list" allowBlank="1" showInputMessage="1" showErrorMessage="1" sqref="D31" xr:uid="{2E8B7F87-4F81-4FCB-B793-DAA18FF4F06D}">
      <formula1>$D$53:$I$53</formula1>
    </dataValidation>
  </dataValidations>
  <pageMargins left="0.7" right="0.7" top="0.75" bottom="0.75" header="0.3" footer="0.3"/>
  <pageSetup paperSize="9" orientation="portrait" r:id="rId1"/>
  <drawing r:id="rId2"/>
  <tableParts count="2">
    <tablePart r:id="rId3"/>
    <tablePart r:id="rId4"/>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CEFFA8B-1223-4CEE-B827-FFA85CDBC99F}">
          <x14:formula1>
            <xm:f>'Lookup refs'!$I$8:$I$13</xm:f>
          </x14:formula1>
          <xm:sqref>C47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C0B42-988F-48F2-BE8F-46EF970AD3F0}">
  <sheetPr>
    <tabColor rgb="FFFFB13F"/>
  </sheetPr>
  <dimension ref="A1:BL201"/>
  <sheetViews>
    <sheetView showGridLines="0" zoomScale="70" zoomScaleNormal="70" workbookViewId="0">
      <pane xSplit="6" ySplit="3" topLeftCell="G10" activePane="bottomRight" state="frozen"/>
      <selection activeCell="B1" sqref="B1"/>
      <selection pane="topRight" activeCell="G1" sqref="G1"/>
      <selection pane="bottomLeft" activeCell="B4" sqref="B4"/>
      <selection pane="bottomRight" activeCell="I108" sqref="I108"/>
    </sheetView>
  </sheetViews>
  <sheetFormatPr defaultColWidth="9.42578125" defaultRowHeight="15" outlineLevelRow="1" outlineLevelCol="1" x14ac:dyDescent="0.25"/>
  <cols>
    <col min="1" max="1" width="100.5703125" hidden="1" customWidth="1" outlineLevel="1"/>
    <col min="2" max="2" width="10.5703125" style="6" customWidth="1" collapsed="1"/>
    <col min="3" max="3" width="15.5703125" customWidth="1"/>
    <col min="4" max="4" width="40.5703125" customWidth="1"/>
    <col min="5" max="7" width="15.5703125" customWidth="1"/>
    <col min="8" max="12" width="15.5703125" customWidth="1" outlineLevel="1"/>
    <col min="13" max="13" width="5.5703125" customWidth="1"/>
    <col min="14" max="14" width="15.5703125" customWidth="1"/>
    <col min="15" max="19" width="15.5703125" customWidth="1" outlineLevel="1"/>
    <col min="20" max="20" width="5.5703125" customWidth="1"/>
    <col min="21" max="21" width="15.5703125" customWidth="1"/>
    <col min="22" max="26" width="15.5703125" hidden="1" customWidth="1" outlineLevel="1"/>
    <col min="27" max="27" width="5.5703125" customWidth="1" collapsed="1"/>
    <col min="28" max="28" width="15.5703125" customWidth="1"/>
    <col min="29" max="33" width="15.5703125" hidden="1" customWidth="1" outlineLevel="1"/>
    <col min="34" max="34" width="15.5703125" customWidth="1" collapsed="1"/>
    <col min="35" max="35" width="15.5703125" customWidth="1"/>
    <col min="36" max="40" width="15.5703125" hidden="1" customWidth="1" outlineLevel="1"/>
    <col min="41" max="41" width="15.5703125" customWidth="1" collapsed="1"/>
    <col min="42" max="64" width="15.5703125" customWidth="1"/>
  </cols>
  <sheetData>
    <row r="1" spans="1:64" ht="15" customHeight="1" x14ac:dyDescent="0.25">
      <c r="A1" s="1" t="s">
        <v>20</v>
      </c>
      <c r="B1" s="21"/>
      <c r="C1" s="22"/>
      <c r="D1" s="22"/>
      <c r="E1" s="123" t="s">
        <v>411</v>
      </c>
      <c r="F1" s="96"/>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row>
    <row r="2" spans="1:64" s="4" customFormat="1" ht="50.1" customHeight="1" x14ac:dyDescent="0.25">
      <c r="A2" s="382" t="s">
        <v>21</v>
      </c>
      <c r="B2" s="25"/>
      <c r="C2" s="25" t="str">
        <f>Disclaimer!$B$1</f>
        <v>VDO calculation model</v>
      </c>
      <c r="D2" s="25"/>
      <c r="E2" s="240" t="str">
        <f>Calc_Rates!$D$5</f>
        <v>VDO 2022-23 - Draft</v>
      </c>
      <c r="F2" s="240" t="str">
        <f>Calc_Rates!$D$254</f>
        <v>VDO 2022 - Final</v>
      </c>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row>
    <row r="3" spans="1:64" s="4" customFormat="1" ht="30" customHeight="1" x14ac:dyDescent="0.25">
      <c r="A3" s="383"/>
      <c r="B3" s="27">
        <f ca="1">_xlfn.SHEET()</f>
        <v>26</v>
      </c>
      <c r="C3" s="26" t="s">
        <v>685</v>
      </c>
      <c r="D3" s="26"/>
      <c r="E3" s="95">
        <f>SUM(G22:L22,G94:L94)</f>
        <v>0</v>
      </c>
      <c r="F3" s="95">
        <f>SUM(N22:S22,N94:S94)</f>
        <v>0</v>
      </c>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row>
    <row r="4" spans="1:64" x14ac:dyDescent="0.25">
      <c r="B4"/>
      <c r="J4" s="357" t="s">
        <v>882</v>
      </c>
    </row>
    <row r="5" spans="1:64" ht="16.5" thickBot="1" x14ac:dyDescent="0.3">
      <c r="B5" s="9">
        <f ca="1">MAX(B$3:B4)+0.1</f>
        <v>26.1</v>
      </c>
      <c r="C5" s="28" t="s">
        <v>92</v>
      </c>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row>
    <row r="6" spans="1:64" outlineLevel="1" x14ac:dyDescent="0.25">
      <c r="B6"/>
    </row>
    <row r="7" spans="1:64" ht="15.75" outlineLevel="1" x14ac:dyDescent="0.25">
      <c r="D7" s="54" t="s">
        <v>91</v>
      </c>
      <c r="E7" s="104" t="s">
        <v>92</v>
      </c>
      <c r="N7" s="153"/>
      <c r="O7" s="153"/>
      <c r="P7" s="153"/>
      <c r="Q7" s="153"/>
      <c r="R7" s="153"/>
      <c r="S7" s="153"/>
    </row>
    <row r="8" spans="1:64" outlineLevel="1" x14ac:dyDescent="0.25">
      <c r="G8" s="153"/>
      <c r="H8" s="153"/>
      <c r="I8" s="153"/>
      <c r="J8" s="153"/>
      <c r="K8" s="153"/>
      <c r="L8" s="153"/>
      <c r="N8" s="153"/>
      <c r="O8" s="153"/>
      <c r="P8" s="153"/>
      <c r="Q8" s="153"/>
      <c r="R8" s="153"/>
      <c r="S8" s="153"/>
    </row>
    <row r="9" spans="1:64" ht="15.75" outlineLevel="1" x14ac:dyDescent="0.25">
      <c r="D9" s="54" t="s">
        <v>705</v>
      </c>
      <c r="F9" s="107" t="s">
        <v>229</v>
      </c>
      <c r="G9" s="104" cm="1">
        <f t="array" ref="G9">INDEX(Input_Usage[[F-PreviousVDO_Input]:[D-NextVDO_Input]],MATCH(1,(Input_Usage[[Profile name]:[Profile name]]=$E$7&amp;" - medium")*(Input_Usage[[Usage type]:[Usage type]]=$F9),0),MATCH($G$17,Inputs!$I$134:$S$134,0))</f>
        <v>4000</v>
      </c>
      <c r="I9" s="54" t="s">
        <v>554</v>
      </c>
      <c r="J9" s="82" t="str">
        <f>INDEX(Inputs!$H$10:$S$10,1,MATCH($G$17,Inputs!$H$8:$S$8,0))</f>
        <v>D-NextVDO_Input</v>
      </c>
      <c r="K9" s="227" t="str">
        <f>INDEX(Input_TUNet_Dates[[F-PreviousVDO_Input]:[D-NextVDO_Input]],MATCH(I9,Input_TUNet_Dates[Item],0),MATCH(J9,Input_TUNet_Dates[[#Headers],[F-PreviousVDO_Input]:[D-NextVDO_Input]],0))</f>
        <v>-</v>
      </c>
      <c r="N9" s="104" cm="1">
        <f t="array" ref="N9">INDEX(Input_Usage[[F-PreviousVDO_Input]:[F-CurrentVDO_Input]],MATCH(1,(Input_Usage[[Profile name]:[Profile name]]=$E$7&amp;" - medium")*(Input_Usage[[Usage type]:[Usage type]]=$F9),0),MATCH($N$17,Inputs!$I$134:$M$134,0))</f>
        <v>4000</v>
      </c>
      <c r="P9" s="54" t="s">
        <v>554</v>
      </c>
      <c r="Q9" s="82" t="str">
        <f>INDEX(Inputs!$H$10:$Q$10,1,MATCH($N$17,Inputs!$H$8:$Q$8,0))</f>
        <v>F-CurrentVDO_Input</v>
      </c>
      <c r="R9" s="227">
        <f>INDEX(Input_TUNet_Dates[[F-PreviousVDO_Input]:[F-CurrentVDO_Input]],MATCH(P9,Input_TUNet_Dates[Item],0),MATCH(Q9,Input_TUNet_Dates[[#Headers],[F-PreviousVDO_Input]:[F-CurrentVDO_Input]],0))</f>
        <v>44562</v>
      </c>
      <c r="AB9" s="118"/>
      <c r="AI9" s="122"/>
    </row>
    <row r="10" spans="1:64" ht="15.75" outlineLevel="1" x14ac:dyDescent="0.25">
      <c r="F10" s="107" t="s">
        <v>221</v>
      </c>
      <c r="G10" s="104" cm="1">
        <f t="array" ref="G10">INDEX(Input_Usage[[F-PreviousVDO_Input]:[D-NextVDO_Input]],MATCH(1,(Input_Usage[[Profile name]:[Profile name]]=$E$7&amp;" - medium")*(Input_Usage[[Usage type]:[Usage type]]=$F10),0),MATCH($G$17,Inputs!$I$134:$S$134,0))</f>
        <v>4000</v>
      </c>
      <c r="I10" s="54" t="s">
        <v>555</v>
      </c>
      <c r="J10" s="82" t="str">
        <f>INDEX(Inputs!$H$10:$S$10,1,MATCH($G$17,Inputs!$H$8:$S$8,0))</f>
        <v>D-NextVDO_Input</v>
      </c>
      <c r="K10" s="227" t="str">
        <f>INDEX(Input_TUNet_Dates[[F-PreviousVDO_Input]:[D-NextVDO_Input]],MATCH(I10,Input_TUNet_Dates[Item],0),MATCH(J10,Input_TUNet_Dates[[#Headers],[F-PreviousVDO_Input]:[D-NextVDO_Input]],0))</f>
        <v>-</v>
      </c>
      <c r="N10" s="104" cm="1">
        <f t="array" ref="N10">INDEX(Input_Usage[[F-PreviousVDO_Input]:[F-CurrentVDO_Input]],MATCH(1,(Input_Usage[[Profile name]:[Profile name]]=$E$7&amp;" - medium")*(Input_Usage[[Usage type]:[Usage type]]=$F10),0),MATCH($N$17,Inputs!$I$134:$M$134,0))</f>
        <v>4000</v>
      </c>
      <c r="P10" s="54" t="s">
        <v>555</v>
      </c>
      <c r="Q10" s="82" t="str">
        <f>INDEX(Inputs!$H$10:$Q$10,1,MATCH($N$17,Inputs!$H$8:$Q$8,0))</f>
        <v>F-CurrentVDO_Input</v>
      </c>
      <c r="R10" s="227">
        <f>INDEX(Input_TUNet_Dates[[F-PreviousVDO_Input]:[F-CurrentVDO_Input]],MATCH(P10,Input_TUNet_Dates[Item],0),MATCH(Q10,Input_TUNet_Dates[[#Headers],[F-PreviousVDO_Input]:[F-CurrentVDO_Input]],0))</f>
        <v>44742</v>
      </c>
      <c r="U10" s="122"/>
    </row>
    <row r="11" spans="1:64" ht="15.75" outlineLevel="1" x14ac:dyDescent="0.25">
      <c r="F11" s="107" t="s">
        <v>228</v>
      </c>
      <c r="G11" s="104" cm="1">
        <f t="array" ref="G11">INDEX(Input_Usage[[F-PreviousVDO_Input]:[D-NextVDO_Input]],MATCH(1,(Input_Usage[[Profile name]:[Profile name]]=$E$7&amp;" - medium")*(Input_Usage[[Usage type]:[Usage type]]=$F11),0),MATCH($G$17,Inputs!$I$134:$S$134,0))</f>
        <v>0</v>
      </c>
      <c r="I11" s="29"/>
      <c r="N11" s="104" cm="1">
        <f t="array" ref="N11">INDEX(Input_Usage[[F-PreviousVDO_Input]:[F-CurrentVDO_Input]],MATCH(1,(Input_Usage[[Profile name]:[Profile name]]=$E$7&amp;" - medium")*(Input_Usage[[Usage type]:[Usage type]]=$F11),0),MATCH($N$17,Inputs!$I$134:$M$134,0))</f>
        <v>0</v>
      </c>
      <c r="P11" s="29"/>
      <c r="AB11" s="113"/>
    </row>
    <row r="12" spans="1:64" ht="15.75" outlineLevel="1" x14ac:dyDescent="0.25">
      <c r="F12" s="107" t="s">
        <v>287</v>
      </c>
      <c r="G12" s="104" cm="1">
        <f t="array" ref="G12">INDEX(Input_Usage[[F-PreviousVDO_Input]:[D-NextVDO_Input]],MATCH(1,(Input_Usage[[Profile name]:[Profile name]]=$E$7&amp;" - medium")*(Input_Usage[[Usage type]:[Usage type]]=$F12),0),MATCH($G$17,Inputs!$I$134:$S$134,0))</f>
        <v>2000</v>
      </c>
      <c r="I12" s="54" t="s">
        <v>643</v>
      </c>
      <c r="K12" s="284" t="str">
        <f>IFERROR(_xlfn.DAYS(K10,K9)+1,"-")</f>
        <v>-</v>
      </c>
      <c r="N12" s="104" cm="1">
        <f t="array" ref="N12">INDEX(Input_Usage[[F-PreviousVDO_Input]:[F-CurrentVDO_Input]],MATCH(1,(Input_Usage[[Profile name]:[Profile name]]=$E$7&amp;" - medium")*(Input_Usage[[Usage type]:[Usage type]]=$F12),0),MATCH($N$17,Inputs!$I$134:$M$134,0))</f>
        <v>2000</v>
      </c>
      <c r="P12" s="54" t="s">
        <v>643</v>
      </c>
      <c r="R12" s="284">
        <f>IFERROR(_xlfn.DAYS(R10,R9)+1,"-")</f>
        <v>181</v>
      </c>
    </row>
    <row r="13" spans="1:64" outlineLevel="1" x14ac:dyDescent="0.25"/>
    <row r="14" spans="1:64" ht="15.75" outlineLevel="1" x14ac:dyDescent="0.25">
      <c r="I14" s="54" t="s">
        <v>756</v>
      </c>
      <c r="J14" t="s">
        <v>587</v>
      </c>
      <c r="K14" s="82" t="str">
        <f>INDEX(Input_DecisionActual[Decision],MATCH(K15,Input_DecisionActual[Actual],0),1)</f>
        <v>VDO 2022 - Final</v>
      </c>
      <c r="L14" s="76">
        <f>INDEX(Input_TU_Periods[[F-PreviousVDO_Input]:[F-CurrentVDO_Input]],1,MATCH(K14,Inputs!$F$238:$J$238,0))</f>
        <v>181</v>
      </c>
      <c r="P14" s="54" t="s">
        <v>756</v>
      </c>
      <c r="Q14" t="s">
        <v>587</v>
      </c>
      <c r="R14" s="82" t="str">
        <f>INDEX(Input_DecisionActual[Decision],MATCH(R15,Input_DecisionActual[Actual],0),1)</f>
        <v>VDO 2021 - Final</v>
      </c>
      <c r="S14" s="76">
        <f>INDEX(Input_TU_Periods[[F-PreviousVDO_Input]:[F-CurrentVDO_Input]],1,MATCH(R14,Inputs!$F$238:$J$238,0))</f>
        <v>365</v>
      </c>
    </row>
    <row r="15" spans="1:64" ht="15.75" outlineLevel="1" x14ac:dyDescent="0.25">
      <c r="I15" s="54" t="s">
        <v>756</v>
      </c>
      <c r="J15" t="s">
        <v>586</v>
      </c>
      <c r="K15" s="82" t="str">
        <f>G17</f>
        <v>VDO 2022-23 - Draft</v>
      </c>
      <c r="L15" s="76">
        <f>INDEX(Input_TU_Periods[[F-PreviousVDO_Input]:[D-NextVDO_Input]],1,MATCH(K15,Inputs!$F$238:$S$238,0))</f>
        <v>365</v>
      </c>
      <c r="P15" s="54" t="s">
        <v>756</v>
      </c>
      <c r="Q15" t="s">
        <v>586</v>
      </c>
      <c r="R15" s="82" t="str">
        <f>N17</f>
        <v>VDO 2022 - Final</v>
      </c>
      <c r="S15" s="76">
        <f>INDEX(Input_TU_Periods[[F-PreviousVDO_Input]:[F-CurrentVDO_Input]],1,MATCH(R15,Inputs!$F$238:$J$238,0))</f>
        <v>181</v>
      </c>
    </row>
    <row r="16" spans="1:64" ht="15.75" outlineLevel="1" x14ac:dyDescent="0.25">
      <c r="I16" s="54" t="s">
        <v>755</v>
      </c>
      <c r="L16" s="299">
        <f>L14/L15</f>
        <v>0.49589041095890413</v>
      </c>
      <c r="P16" s="54" t="s">
        <v>755</v>
      </c>
      <c r="S16" s="299">
        <f>S14/S15</f>
        <v>2.0165745856353592</v>
      </c>
    </row>
    <row r="17" spans="3:47" ht="30" outlineLevel="1" x14ac:dyDescent="0.25">
      <c r="G17" s="240" t="str">
        <f>Calc_Rates!$D$5</f>
        <v>VDO 2022-23 - Draft</v>
      </c>
      <c r="N17" s="240" t="str">
        <f>Calc_Rates!$D$254</f>
        <v>VDO 2022 - Final</v>
      </c>
      <c r="U17" s="29" t="s">
        <v>319</v>
      </c>
      <c r="AB17" s="29" t="s">
        <v>704</v>
      </c>
      <c r="AI17" s="29" t="str">
        <f>"% of overall cost stack ("&amp;N17&amp;" values)"</f>
        <v>% of overall cost stack (VDO 2022 - Final values)</v>
      </c>
    </row>
    <row r="18" spans="3:47" ht="15.75" outlineLevel="1" x14ac:dyDescent="0.25">
      <c r="G18" s="50" t="s">
        <v>374</v>
      </c>
      <c r="H18" s="269" t="s">
        <v>268</v>
      </c>
      <c r="I18" s="269" t="s">
        <v>269</v>
      </c>
      <c r="J18" s="269" t="s">
        <v>270</v>
      </c>
      <c r="K18" s="269" t="s">
        <v>271</v>
      </c>
      <c r="L18" s="269" t="s">
        <v>272</v>
      </c>
      <c r="N18" s="50" t="s">
        <v>374</v>
      </c>
      <c r="O18" s="269" t="s">
        <v>268</v>
      </c>
      <c r="P18" s="269" t="s">
        <v>269</v>
      </c>
      <c r="Q18" s="269" t="s">
        <v>270</v>
      </c>
      <c r="R18" s="269" t="s">
        <v>271</v>
      </c>
      <c r="S18" s="269" t="s">
        <v>272</v>
      </c>
      <c r="U18" s="50" t="s">
        <v>374</v>
      </c>
      <c r="V18" s="269" t="s">
        <v>268</v>
      </c>
      <c r="W18" s="269" t="s">
        <v>269</v>
      </c>
      <c r="X18" s="269" t="s">
        <v>270</v>
      </c>
      <c r="Y18" s="269" t="s">
        <v>271</v>
      </c>
      <c r="Z18" s="269" t="s">
        <v>272</v>
      </c>
      <c r="AB18" s="50" t="s">
        <v>374</v>
      </c>
      <c r="AC18" s="269" t="s">
        <v>268</v>
      </c>
      <c r="AD18" s="269" t="s">
        <v>269</v>
      </c>
      <c r="AE18" s="269" t="s">
        <v>270</v>
      </c>
      <c r="AF18" s="269" t="s">
        <v>271</v>
      </c>
      <c r="AG18" s="269" t="s">
        <v>272</v>
      </c>
      <c r="AI18" s="50" t="s">
        <v>374</v>
      </c>
      <c r="AJ18" s="269" t="s">
        <v>268</v>
      </c>
      <c r="AK18" s="269" t="s">
        <v>269</v>
      </c>
      <c r="AL18" s="269" t="s">
        <v>270</v>
      </c>
      <c r="AM18" s="269" t="s">
        <v>271</v>
      </c>
      <c r="AN18" s="269" t="s">
        <v>272</v>
      </c>
    </row>
    <row r="19" spans="3:47" outlineLevel="1" x14ac:dyDescent="0.25"/>
    <row r="20" spans="3:47" outlineLevel="1" x14ac:dyDescent="0.25">
      <c r="D20" t="s">
        <v>741</v>
      </c>
      <c r="G20" s="170">
        <f>ROUNDUP(AVERAGE(H20:L20),0)</f>
        <v>1362</v>
      </c>
      <c r="H20" s="170">
        <f>IF($E$7="Residential",
INDEX(CostStackCalcs_RES_1[[Ausnet]:[Average]],MATCH("Total",CostStackCalcs_RES_1[[Labels]:[Labels]],0),MATCH(H$18,CostStackCalcs_RES_1[[#Headers],[Ausnet]:[Average]],0)),
IF($E$7="Small business",
INDEX(CostStackCalcs_SME_1[[Ausnet]:[Average]],MATCH("Total",CostStackCalcs_SME_1[[Labels]:[Labels]],0),MATCH(H$18,CostStackCalcs_SME_1[[#Headers],[Ausnet]:[Average]],0)),"-"))</f>
        <v>1528</v>
      </c>
      <c r="I20" s="170">
        <f>IF($E$7="Residential",
INDEX(CostStackCalcs_RES_1[[Ausnet]:[Average]],MATCH("Total",CostStackCalcs_RES_1[[Labels]:[Labels]],0),MATCH(I$18,CostStackCalcs_RES_1[[#Headers],[Ausnet]:[Average]],0)),
IF($E$7="Small business",
INDEX(CostStackCalcs_SME_1[[Ausnet]:[Average]],MATCH("Total",CostStackCalcs_SME_1[[Labels]:[Labels]],0),MATCH(I$18,CostStackCalcs_SME_1[[#Headers],[Ausnet]:[Average]],0)),"-"))</f>
        <v>1287</v>
      </c>
      <c r="J20" s="170">
        <f>IF($E$7="Residential",
INDEX(CostStackCalcs_RES_1[[Ausnet]:[Average]],MATCH("Total",CostStackCalcs_RES_1[[Labels]:[Labels]],0),MATCH(J$18,CostStackCalcs_RES_1[[#Headers],[Ausnet]:[Average]],0)),
IF($E$7="Small business",
INDEX(CostStackCalcs_SME_1[[Ausnet]:[Average]],MATCH("Total",CostStackCalcs_SME_1[[Labels]:[Labels]],0),MATCH(J$18,CostStackCalcs_SME_1[[#Headers],[Ausnet]:[Average]],0)),"-"))</f>
        <v>1330</v>
      </c>
      <c r="K20" s="170">
        <f>IF($E$7="Residential",
INDEX(CostStackCalcs_RES_1[[Ausnet]:[Average]],MATCH("Total",CostStackCalcs_RES_1[[Labels]:[Labels]],0),MATCH(K$18,CostStackCalcs_RES_1[[#Headers],[Ausnet]:[Average]],0)),
IF($E$7="Small business",
INDEX(CostStackCalcs_SME_1[[Ausnet]:[Average]],MATCH("Total",CostStackCalcs_SME_1[[Labels]:[Labels]],0),MATCH(K$18,CostStackCalcs_SME_1[[#Headers],[Ausnet]:[Average]],0)),"-"))</f>
        <v>1380</v>
      </c>
      <c r="L20" s="170">
        <f>IF($E$7="Residential",
INDEX(CostStackCalcs_RES_1[[Ausnet]:[Average]],MATCH("Total",CostStackCalcs_RES_1[[Labels]:[Labels]],0),MATCH(L$18,CostStackCalcs_RES_1[[#Headers],[Ausnet]:[Average]],0)),
IF($E$7="Small business",
INDEX(CostStackCalcs_SME_1[[Ausnet]:[Average]],MATCH("Total",CostStackCalcs_SME_1[[Labels]:[Labels]],0),MATCH(L$18,CostStackCalcs_SME_1[[#Headers],[Ausnet]:[Average]],0)),"-"))</f>
        <v>1281</v>
      </c>
      <c r="N20" s="170">
        <f>ROUNDUP(AVERAGE(O20:S20),0)</f>
        <v>1343</v>
      </c>
      <c r="O20" s="170">
        <f>IF($E$7="Residential",
INDEX(CostStackCalcs_RES_2[[Ausnet]:[Average]],MATCH("Total",CostStackCalcs_RES_2[[Labels]:[Labels]],0),MATCH(O$18,CostStackCalcs_RES_2[[#Headers],[Ausnet]:[Average]],0)),
IF($E$7="Small business",
INDEX(CostStackCalcs_SME_2[[Ausnet]:[Average]],MATCH("Total",CostStackCalcs_SME_2[[Labels]:[Labels]],0),MATCH(O$18,CostStackCalcs_SME_2[[#Headers],[Ausnet]:[Average]],0)),"-"))</f>
        <v>1494</v>
      </c>
      <c r="P20" s="170">
        <f>IF($E$7="Residential",
INDEX(CostStackCalcs_RES_2[[Ausnet]:[Average]],MATCH("Total",CostStackCalcs_RES_2[[Labels]:[Labels]],0),MATCH(P$18,CostStackCalcs_RES_2[[#Headers],[Ausnet]:[Average]],0)),
IF($E$7="Small business",
INDEX(CostStackCalcs_SME_2[[Ausnet]:[Average]],MATCH("Total",CostStackCalcs_SME_2[[Labels]:[Labels]],0),MATCH(P$18,CostStackCalcs_SME_2[[#Headers],[Ausnet]:[Average]],0)),"-"))</f>
        <v>1278</v>
      </c>
      <c r="Q20" s="170">
        <f>IF($E$7="Residential",
INDEX(CostStackCalcs_RES_2[[Ausnet]:[Average]],MATCH("Total",CostStackCalcs_RES_2[[Labels]:[Labels]],0),MATCH(Q$18,CostStackCalcs_RES_2[[#Headers],[Ausnet]:[Average]],0)),
IF($E$7="Small business",
INDEX(CostStackCalcs_SME_2[[Ausnet]:[Average]],MATCH("Total",CostStackCalcs_SME_2[[Labels]:[Labels]],0),MATCH(Q$18,CostStackCalcs_SME_2[[#Headers],[Ausnet]:[Average]],0)),"-"))</f>
        <v>1315</v>
      </c>
      <c r="R20" s="170">
        <f>IF($E$7="Residential",
INDEX(CostStackCalcs_RES_2[[Ausnet]:[Average]],MATCH("Total",CostStackCalcs_RES_2[[Labels]:[Labels]],0),MATCH(R$18,CostStackCalcs_RES_2[[#Headers],[Ausnet]:[Average]],0)),
IF($E$7="Small business",
INDEX(CostStackCalcs_SME_2[[Ausnet]:[Average]],MATCH("Total",CostStackCalcs_SME_2[[Labels]:[Labels]],0),MATCH(R$18,CostStackCalcs_SME_2[[#Headers],[Ausnet]:[Average]],0)),"-"))</f>
        <v>1358</v>
      </c>
      <c r="S20" s="170">
        <f>IF($E$7="Residential",
INDEX(CostStackCalcs_RES_2[[Ausnet]:[Average]],MATCH("Total",CostStackCalcs_RES_2[[Labels]:[Labels]],0),MATCH(S$18,CostStackCalcs_RES_2[[#Headers],[Ausnet]:[Average]],0)),
IF($E$7="Small business",
INDEX(CostStackCalcs_SME_2[[Ausnet]:[Average]],MATCH("Total",CostStackCalcs_SME_2[[Labels]:[Labels]],0),MATCH(S$18,CostStackCalcs_SME_2[[#Headers],[Ausnet]:[Average]],0)),"-"))</f>
        <v>1266</v>
      </c>
      <c r="U20" s="170">
        <f>IFERROR(N20-G20,"-")</f>
        <v>-19</v>
      </c>
      <c r="V20" s="170">
        <f>IFERROR(O20-H20,"-")</f>
        <v>-34</v>
      </c>
      <c r="W20" s="170">
        <f t="shared" ref="W20:Z20" si="0">IFERROR(P20-I20,"-")</f>
        <v>-9</v>
      </c>
      <c r="X20" s="170">
        <f t="shared" si="0"/>
        <v>-15</v>
      </c>
      <c r="Y20" s="170">
        <f t="shared" si="0"/>
        <v>-22</v>
      </c>
      <c r="Z20" s="170">
        <f t="shared" si="0"/>
        <v>-15</v>
      </c>
      <c r="AB20" s="268">
        <f>IFERROR(U20/G$20,"-")</f>
        <v>-1.3950073421439061E-2</v>
      </c>
      <c r="AC20" s="268">
        <f t="shared" ref="AC20:AG20" si="1">IFERROR(V20/H$20,"-")</f>
        <v>-2.2251308900523559E-2</v>
      </c>
      <c r="AD20" s="268">
        <f t="shared" si="1"/>
        <v>-6.993006993006993E-3</v>
      </c>
      <c r="AE20" s="268">
        <f>IFERROR(X20/J$20,"-")</f>
        <v>-1.1278195488721804E-2</v>
      </c>
      <c r="AF20" s="268">
        <f t="shared" si="1"/>
        <v>-1.5942028985507246E-2</v>
      </c>
      <c r="AG20" s="268">
        <f t="shared" si="1"/>
        <v>-1.1709601873536301E-2</v>
      </c>
      <c r="AI20" s="268">
        <f>IFERROR(N20/N$20,"-")</f>
        <v>1</v>
      </c>
      <c r="AJ20" s="268">
        <f t="shared" ref="AJ20:AN20" si="2">IFERROR(O20/O$20,"-")</f>
        <v>1</v>
      </c>
      <c r="AK20" s="268">
        <f t="shared" si="2"/>
        <v>1</v>
      </c>
      <c r="AL20" s="268">
        <f t="shared" si="2"/>
        <v>1</v>
      </c>
      <c r="AM20" s="268">
        <f t="shared" si="2"/>
        <v>1</v>
      </c>
      <c r="AN20" s="268">
        <f t="shared" si="2"/>
        <v>1</v>
      </c>
      <c r="AU20" s="113"/>
    </row>
    <row r="21" spans="3:47" outlineLevel="1" x14ac:dyDescent="0.25">
      <c r="D21" t="s">
        <v>742</v>
      </c>
      <c r="G21" s="170">
        <f>ROUNDUP(G24+G25+G48+G73+G30+G31+G32+G27,0)</f>
        <v>1361</v>
      </c>
      <c r="H21" s="170">
        <f>ROUNDUP(H24+H25+H48+H73+H30+H31+H32+H27,0)</f>
        <v>1528</v>
      </c>
      <c r="I21" s="170">
        <f>ROUNDUP(I24+I25+I48+I73+I30+I31+I32+I27,0)</f>
        <v>1287</v>
      </c>
      <c r="J21" s="170">
        <f t="shared" ref="J21:L21" si="3">ROUNDUP(J24+J25+J48+J73+J30+J31+J32+J27,0)</f>
        <v>1330</v>
      </c>
      <c r="K21" s="170">
        <f t="shared" si="3"/>
        <v>1380</v>
      </c>
      <c r="L21" s="170">
        <f t="shared" si="3"/>
        <v>1281</v>
      </c>
      <c r="N21" s="170">
        <f>ROUNDUP(N24+N25+N48+N73+N30+N31+N32+N27,0)</f>
        <v>1342</v>
      </c>
      <c r="O21" s="170">
        <f>ROUNDUP(O24+O25+O48+O73+O30+O31+O32+O27,0)</f>
        <v>1494</v>
      </c>
      <c r="P21" s="170">
        <f t="shared" ref="P21:S21" si="4">ROUNDUP(P24+P25+P48+P73+P30+P31+P32+P27,0)</f>
        <v>1278</v>
      </c>
      <c r="Q21" s="170">
        <f t="shared" si="4"/>
        <v>1315</v>
      </c>
      <c r="R21" s="170">
        <f t="shared" si="4"/>
        <v>1358</v>
      </c>
      <c r="S21" s="170">
        <f t="shared" si="4"/>
        <v>1266</v>
      </c>
      <c r="U21" s="170">
        <f t="shared" ref="U21:Y21" si="5">ROUNDUP(U24+U25+U48+U73+U30+U31+U32+U27,0)</f>
        <v>-19</v>
      </c>
      <c r="V21" s="170">
        <f t="shared" si="5"/>
        <v>-34</v>
      </c>
      <c r="W21" s="170">
        <f t="shared" si="5"/>
        <v>-10</v>
      </c>
      <c r="X21" s="170">
        <f t="shared" si="5"/>
        <v>-15</v>
      </c>
      <c r="Y21" s="170">
        <f t="shared" si="5"/>
        <v>-22</v>
      </c>
      <c r="Z21" s="170">
        <f>ROUNDUP(Z24+Z25+Z48+Z73+Z30+Z31+Z32+Z27,0)</f>
        <v>-16</v>
      </c>
      <c r="AB21" s="268">
        <f>AB24+AB25+AB48+AB73+AB30+AB31+AB32+AB27</f>
        <v>-1.3890624647640985E-2</v>
      </c>
      <c r="AC21" s="268">
        <f t="shared" ref="AC21:AG21" si="6">AC24+AC25+AC48+AC73+AC30+AC31+AC32+AC27</f>
        <v>-2.212647054984539E-2</v>
      </c>
      <c r="AD21" s="268">
        <f t="shared" si="6"/>
        <v>-7.0327250060920402E-3</v>
      </c>
      <c r="AE21" s="268">
        <f t="shared" si="6"/>
        <v>-1.079436358893715E-2</v>
      </c>
      <c r="AF21" s="268">
        <f t="shared" si="6"/>
        <v>-1.5847754413052476E-2</v>
      </c>
      <c r="AG21" s="268">
        <f t="shared" si="6"/>
        <v>-1.2106467684724863E-2</v>
      </c>
      <c r="AI21" s="198">
        <f>ROUNDUP(AI24+AI25+AI48+AI73+AI30+AI31+AI32+AI27,0)</f>
        <v>1</v>
      </c>
      <c r="AJ21" s="198">
        <f t="shared" ref="AJ21:AN21" si="7">ROUNDUP(AJ24+AJ25+AJ48+AJ73+AJ30+AJ31+AJ32+AJ27,0)</f>
        <v>1</v>
      </c>
      <c r="AK21" s="198">
        <f t="shared" si="7"/>
        <v>1</v>
      </c>
      <c r="AL21" s="198">
        <f t="shared" si="7"/>
        <v>1</v>
      </c>
      <c r="AM21" s="198">
        <f t="shared" si="7"/>
        <v>1</v>
      </c>
      <c r="AN21" s="198">
        <f t="shared" si="7"/>
        <v>1</v>
      </c>
      <c r="AU21" s="113"/>
    </row>
    <row r="22" spans="3:47" ht="15.75" outlineLevel="1" x14ac:dyDescent="0.25">
      <c r="G22" s="93">
        <f>IF(AND(G21-G20&lt;=1,G21-G20&gt;=-1),0,1)</f>
        <v>0</v>
      </c>
      <c r="H22" s="93">
        <f t="shared" ref="H22:L22" si="8">IF(AND(H21-H20&lt;=1,H21-H20&gt;=-1),0,1)</f>
        <v>0</v>
      </c>
      <c r="I22" s="93">
        <f>IF(AND(I21-I20&lt;=1,I21-I20&gt;=-1),0,1)</f>
        <v>0</v>
      </c>
      <c r="J22" s="93">
        <f t="shared" si="8"/>
        <v>0</v>
      </c>
      <c r="K22" s="93">
        <f t="shared" si="8"/>
        <v>0</v>
      </c>
      <c r="L22" s="93">
        <f t="shared" si="8"/>
        <v>0</v>
      </c>
      <c r="N22" s="93">
        <f>IF(AND(N21-N20&lt;=1,N21-N20&gt;=-1),0,1)</f>
        <v>0</v>
      </c>
      <c r="O22" s="93">
        <f t="shared" ref="O22" si="9">IF(AND(O21-O20&lt;=1,O21-O20&gt;=-1),0,1)</f>
        <v>0</v>
      </c>
      <c r="P22" s="93">
        <f t="shared" ref="P22" si="10">IF(AND(P21-P20&lt;=1,P21-P20&gt;=-1),0,1)</f>
        <v>0</v>
      </c>
      <c r="Q22" s="93">
        <f t="shared" ref="Q22" si="11">IF(AND(Q21-Q20&lt;=1,Q21-Q20&gt;=-1),0,1)</f>
        <v>0</v>
      </c>
      <c r="R22" s="93">
        <f t="shared" ref="R22" si="12">IF(AND(R21-R20&lt;=1,R21-R20&gt;=-1),0,1)</f>
        <v>0</v>
      </c>
      <c r="S22" s="93">
        <f t="shared" ref="S22" si="13">IF(AND(S21-S20&lt;=1,S21-S20&gt;=-1),0,1)</f>
        <v>0</v>
      </c>
      <c r="U22" s="93">
        <f>IF(AND(U21-U20&lt;=1,U21-U20&gt;=-1),0,1)</f>
        <v>0</v>
      </c>
      <c r="V22" s="93">
        <f t="shared" ref="V22" si="14">IF(AND(V21-V20&lt;=1,V21-V20&gt;=-1),0,1)</f>
        <v>0</v>
      </c>
      <c r="W22" s="93">
        <f t="shared" ref="W22" si="15">IF(AND(W21-W20&lt;=1,W21-W20&gt;=-1),0,1)</f>
        <v>0</v>
      </c>
      <c r="X22" s="93">
        <f t="shared" ref="X22" si="16">IF(AND(X21-X20&lt;=1,X21-X20&gt;=-1),0,1)</f>
        <v>0</v>
      </c>
      <c r="Y22" s="93">
        <f t="shared" ref="Y22" si="17">IF(AND(Y21-Y20&lt;=1,Y21-Y20&gt;=-1),0,1)</f>
        <v>0</v>
      </c>
      <c r="Z22" s="93">
        <f t="shared" ref="Z22" si="18">IF(AND(Z21-Z20&lt;=1,Z21-Z20&gt;=-1),0,1)</f>
        <v>0</v>
      </c>
      <c r="AB22" s="93">
        <f>IF(AND(AB21-AB20&lt;=0.01,AB21-AB20&gt;=-0.01),0,1)</f>
        <v>0</v>
      </c>
      <c r="AC22" s="93">
        <f t="shared" ref="AC22:AG22" si="19">IF(AND(AC21-AC20&lt;=0.01,AC21-AC20&gt;=-0.01),0,1)</f>
        <v>0</v>
      </c>
      <c r="AD22" s="93">
        <f t="shared" si="19"/>
        <v>0</v>
      </c>
      <c r="AE22" s="93">
        <f t="shared" si="19"/>
        <v>0</v>
      </c>
      <c r="AF22" s="93">
        <f t="shared" si="19"/>
        <v>0</v>
      </c>
      <c r="AG22" s="93">
        <f t="shared" si="19"/>
        <v>0</v>
      </c>
      <c r="AI22" s="93">
        <f t="shared" ref="AI22:AM22" si="20">IF(AND(AI21-AI20&lt;=0.01,AI21-AI20&gt;=-0.01),0,1)</f>
        <v>0</v>
      </c>
      <c r="AJ22" s="93">
        <f t="shared" si="20"/>
        <v>0</v>
      </c>
      <c r="AK22" s="93">
        <f t="shared" si="20"/>
        <v>0</v>
      </c>
      <c r="AL22" s="93">
        <f t="shared" si="20"/>
        <v>0</v>
      </c>
      <c r="AM22" s="93">
        <f t="shared" si="20"/>
        <v>0</v>
      </c>
      <c r="AN22" s="93">
        <f>IF(AND(AN21-AN20&lt;=0.01,AN21-AN20&gt;=-0.01),0,1)</f>
        <v>0</v>
      </c>
    </row>
    <row r="23" spans="3:47" outlineLevel="1" x14ac:dyDescent="0.25"/>
    <row r="24" spans="3:47" outlineLevel="1" x14ac:dyDescent="0.25">
      <c r="D24" t="s">
        <v>708</v>
      </c>
      <c r="G24" s="170">
        <f>AVERAGE(H24:L24)</f>
        <v>123.38815222204082</v>
      </c>
      <c r="H24" s="170">
        <f>((H48+H73)+H$25)*GST</f>
        <v>138.56513726107397</v>
      </c>
      <c r="I24" s="170">
        <f>((I48+I73)+I$25)*GST</f>
        <v>116.63834075387705</v>
      </c>
      <c r="J24" s="170">
        <f>((J48+J73)+J$25)*GST</f>
        <v>120.54143294652575</v>
      </c>
      <c r="K24" s="170">
        <f>((K48+K73)+K$25)*GST</f>
        <v>125.06648865171715</v>
      </c>
      <c r="L24" s="170">
        <f>((L48+L73)+L$25)*GST</f>
        <v>116.12936149701022</v>
      </c>
      <c r="N24" s="170">
        <f>AVERAGE(O24:S24)</f>
        <v>119.65338110674058</v>
      </c>
      <c r="O24" s="170">
        <f>((O48+O73)+O$25)*GST</f>
        <v>133.52405271899516</v>
      </c>
      <c r="P24" s="170">
        <f>((P48+P73)+P$25)*GST</f>
        <v>113.47289083665379</v>
      </c>
      <c r="Q24" s="170">
        <f>((Q48+Q73)+Q$25)*GST</f>
        <v>117.09526647310823</v>
      </c>
      <c r="R24" s="170">
        <f>((R48+R73)+R$25)*GST</f>
        <v>120.90849963659365</v>
      </c>
      <c r="S24" s="170">
        <f>((S48+S73)+S$25)*GST</f>
        <v>113.26619586835214</v>
      </c>
      <c r="U24" s="170">
        <f>IFERROR(N24-G24,"-")</f>
        <v>-3.7347711153002336</v>
      </c>
      <c r="V24" s="170">
        <f t="shared" ref="V24:Z25" si="21">IFERROR(O24-H24,"-")</f>
        <v>-5.0410845420788064</v>
      </c>
      <c r="W24" s="170">
        <f t="shared" si="21"/>
        <v>-3.1654499172232562</v>
      </c>
      <c r="X24" s="170">
        <f t="shared" si="21"/>
        <v>-3.4461664734175201</v>
      </c>
      <c r="Y24" s="170">
        <f t="shared" si="21"/>
        <v>-4.1579890151235048</v>
      </c>
      <c r="Z24" s="170">
        <f t="shared" si="21"/>
        <v>-2.8631656286580807</v>
      </c>
      <c r="AB24" s="268">
        <f t="shared" ref="AB24:AG25" si="22">IFERROR(U24/G$20,"-")</f>
        <v>-2.7421226984583212E-3</v>
      </c>
      <c r="AC24" s="268">
        <f t="shared" si="22"/>
        <v>-3.2991390982191142E-3</v>
      </c>
      <c r="AD24" s="268">
        <f t="shared" si="22"/>
        <v>-2.4595570452395155E-3</v>
      </c>
      <c r="AE24" s="268">
        <f t="shared" si="22"/>
        <v>-2.5911026115921203E-3</v>
      </c>
      <c r="AF24" s="268">
        <f t="shared" si="22"/>
        <v>-3.0130355182054385E-3</v>
      </c>
      <c r="AG24" s="268">
        <f>IFERROR(Z24/L$20,"-")</f>
        <v>-2.2351019739719601E-3</v>
      </c>
      <c r="AI24" s="268">
        <f>IFERROR(N24/N$20,"-")</f>
        <v>8.9094103579106909E-2</v>
      </c>
      <c r="AJ24" s="268">
        <f t="shared" ref="AJ24" si="23">IFERROR(O24/O$20,"-")</f>
        <v>8.9373529263048979E-2</v>
      </c>
      <c r="AK24" s="268">
        <f t="shared" ref="AK24" si="24">IFERROR(P24/P$20,"-")</f>
        <v>8.8789429449650847E-2</v>
      </c>
      <c r="AL24" s="268">
        <f t="shared" ref="AL24" si="25">IFERROR(Q24/Q$20,"-")</f>
        <v>8.9045830017572797E-2</v>
      </c>
      <c r="AM24" s="268">
        <f t="shared" ref="AM24" si="26">IFERROR(R24/R$20,"-")</f>
        <v>8.9034241264060121E-2</v>
      </c>
      <c r="AN24" s="268">
        <f t="shared" ref="AN24" si="27">IFERROR(S24/S$20,"-")</f>
        <v>8.9467769248303436E-2</v>
      </c>
    </row>
    <row r="25" spans="3:47" outlineLevel="1" x14ac:dyDescent="0.25">
      <c r="D25" t="s">
        <v>709</v>
      </c>
      <c r="G25" s="170">
        <f>AVERAGE(H25:L25)</f>
        <v>70.281444683244672</v>
      </c>
      <c r="H25" s="373">
        <f>(H48+H73)*
INDEX(Input_ForRateCalc[[F-PreviousVDO_InputDate]:[D-NextVDO_Input]],
MATCH("Retail operating margin",Input_ForRateCalc[[Cost item]:[Cost item]],0),
MATCH($G$17,Inputs!$H$8:$S$8,0))</f>
        <v>78.926200401441605</v>
      </c>
      <c r="I25" s="373">
        <f>(I48+I73)*
INDEX(Input_ForRateCalc[[F-PreviousVDO_InputDate]:[D-NextVDO_Input]],
MATCH("Retail operating margin",Input_ForRateCalc[[Cost item]:[Cost item]],0),
MATCH($G$17,Inputs!$H$8:$S$8,0))</f>
        <v>66.436776513902046</v>
      </c>
      <c r="J25" s="373">
        <f>(J48+J73)*
INDEX(Input_ForRateCalc[[F-PreviousVDO_InputDate]:[D-NextVDO_Input]],
MATCH("Retail operating margin",Input_ForRateCalc[[Cost item]:[Cost item]],0),
MATCH($G$17,Inputs!$H$8:$S$8,0))</f>
        <v>68.659963692664604</v>
      </c>
      <c r="K25" s="373">
        <f>(K48+K73)*
INDEX(Input_ForRateCalc[[F-PreviousVDO_InputDate]:[D-NextVDO_Input]],
MATCH("Retail operating margin",Input_ForRateCalc[[Cost item]:[Cost item]],0),
MATCH($G$17,Inputs!$H$8:$S$8,0))</f>
        <v>71.237419035870573</v>
      </c>
      <c r="L25" s="373">
        <f>(L48+L73)*
INDEX(Input_ForRateCalc[[F-PreviousVDO_InputDate]:[D-NextVDO_Input]],
MATCH("Retail operating margin",Input_ForRateCalc[[Cost item]:[Cost item]],0),
MATCH($G$17,Inputs!$H$8:$S$8,0))</f>
        <v>66.14686377234456</v>
      </c>
      <c r="N25" s="170">
        <f>AVERAGE(O25:S25)</f>
        <v>68.154132580602891</v>
      </c>
      <c r="O25" s="170">
        <f>(O48+O73)*
INDEX(Input_ForRateCalc[[F-PreviousVDO_InputDate]:[F-CurrentVDO_Input]],
MATCH("Retail operating margin",Input_ForRateCalc[[Cost item]:[Cost item]],0),
MATCH($N$17,Inputs!$H$8:$Q$8,0))</f>
        <v>76.054816901426889</v>
      </c>
      <c r="P25" s="170">
        <f>(P48+P73)*
INDEX(Input_ForRateCalc[[F-PreviousVDO_InputDate]:[F-CurrentVDO_Input]],
MATCH("Retail operating margin",Input_ForRateCalc[[Cost item]:[Cost item]],0),
MATCH($N$17,Inputs!$H$8:$Q$8,0))</f>
        <v>64.633747704016301</v>
      </c>
      <c r="Q25" s="170">
        <f>(Q48+Q73)*
INDEX(Input_ForRateCalc[[F-PreviousVDO_InputDate]:[F-CurrentVDO_Input]],
MATCH("Retail operating margin",Input_ForRateCalc[[Cost item]:[Cost item]],0),
MATCH($N$17,Inputs!$H$8:$Q$8,0))</f>
        <v>66.69703974892245</v>
      </c>
      <c r="R25" s="170">
        <f>(R48+R73)*
INDEX(Input_ForRateCalc[[F-PreviousVDO_InputDate]:[F-CurrentVDO_Input]],
MATCH("Retail operating margin",Input_ForRateCalc[[Cost item]:[Cost item]],0),
MATCH($N$17,Inputs!$H$8:$Q$8,0))</f>
        <v>68.869043550077862</v>
      </c>
      <c r="S25" s="170">
        <f>(S48+S73)*
INDEX(Input_ForRateCalc[[F-PreviousVDO_InputDate]:[F-CurrentVDO_Input]],
MATCH("Retail operating margin",Input_ForRateCalc[[Cost item]:[Cost item]],0),
MATCH($N$17,Inputs!$H$8:$Q$8,0))</f>
        <v>64.516014998570995</v>
      </c>
      <c r="U25" s="170">
        <f>IFERROR(N25-G25,"-")</f>
        <v>-2.1273121026417812</v>
      </c>
      <c r="V25" s="170">
        <f t="shared" si="21"/>
        <v>-2.8713835000147157</v>
      </c>
      <c r="W25" s="170">
        <f t="shared" si="21"/>
        <v>-1.8030288098857454</v>
      </c>
      <c r="X25" s="170">
        <f t="shared" si="21"/>
        <v>-1.9629239437421546</v>
      </c>
      <c r="Y25" s="170">
        <f t="shared" si="21"/>
        <v>-2.3683754857927113</v>
      </c>
      <c r="Z25" s="170">
        <f t="shared" si="21"/>
        <v>-1.6308487737735646</v>
      </c>
      <c r="AB25" s="268">
        <f t="shared" si="22"/>
        <v>-1.5619031590615134E-3</v>
      </c>
      <c r="AC25" s="268">
        <f t="shared" si="22"/>
        <v>-1.8791776832557039E-3</v>
      </c>
      <c r="AD25" s="268">
        <f t="shared" si="22"/>
        <v>-1.4009547862360104E-3</v>
      </c>
      <c r="AE25" s="268">
        <f t="shared" si="22"/>
        <v>-1.4758826644677855E-3</v>
      </c>
      <c r="AF25" s="268">
        <f t="shared" si="22"/>
        <v>-1.7162141201396458E-3</v>
      </c>
      <c r="AG25" s="268">
        <f t="shared" si="22"/>
        <v>-1.273105990455554E-3</v>
      </c>
      <c r="AI25" s="268">
        <f>IFERROR(N25/N$20,"-")</f>
        <v>5.0747678764410192E-2</v>
      </c>
      <c r="AJ25" s="268">
        <f t="shared" ref="AJ25" si="28">IFERROR(O25/O$20,"-")</f>
        <v>5.0906838622106348E-2</v>
      </c>
      <c r="AK25" s="268">
        <f t="shared" ref="AK25" si="29">IFERROR(P25/P$20,"-")</f>
        <v>5.0574137483580833E-2</v>
      </c>
      <c r="AL25" s="268">
        <f t="shared" ref="AL25" si="30">IFERROR(Q25/Q$20,"-")</f>
        <v>5.0720182318572206E-2</v>
      </c>
      <c r="AM25" s="268">
        <f t="shared" ref="AM25" si="31">IFERROR(R25/R$20,"-")</f>
        <v>5.071358140653745E-2</v>
      </c>
      <c r="AN25" s="268">
        <f t="shared" ref="AN25" si="32">IFERROR(S25/S$20,"-")</f>
        <v>5.0960517376438384E-2</v>
      </c>
    </row>
    <row r="26" spans="3:47" outlineLevel="1" x14ac:dyDescent="0.25">
      <c r="AB26" s="122"/>
      <c r="AC26" s="122"/>
      <c r="AD26" s="122"/>
      <c r="AE26" s="122"/>
      <c r="AF26" s="122"/>
      <c r="AG26" s="122"/>
      <c r="AI26" s="122"/>
      <c r="AJ26" s="122"/>
      <c r="AK26" s="122"/>
      <c r="AL26" s="122"/>
      <c r="AM26" s="122"/>
      <c r="AN26" s="122"/>
    </row>
    <row r="27" spans="3:47" outlineLevel="1" x14ac:dyDescent="0.25">
      <c r="C27" t="s">
        <v>313</v>
      </c>
      <c r="D27" s="59" t="s">
        <v>121</v>
      </c>
      <c r="E27" s="59" t="s">
        <v>108</v>
      </c>
      <c r="G27" s="170">
        <f>AVERAGE(H27:L27)</f>
        <v>0</v>
      </c>
      <c r="H27" s="170" cm="1">
        <f t="array" ref="H27">IF(
INDEX(OP_RatesTU_RES_1[[Ausnet]:[United Energy]],
MATCH(1,(OP_RatesTU_RES_1[[Rate name]:[Rate name]]="Anytime")*(OP_RatesTU_RES_1[[Customer type]:[Customer type]]=$E$7),0),
MATCH(H$18,OP_RatesTU_RES_1[[#Headers],[Ausnet]:[United Energy]],0))="-",0,
INDEX(OP_RatesTU_RES_1[[Ausnet]:[United Energy]],
MATCH(1,(OP_RatesTU_RES_1[[Rate name]:[Rate name]]="Anytime")*(OP_RatesTU_RES_1[[Customer type]:[Customer type]]=$E$7),0),
MATCH(H$18,OP_RatesTU_RES_1[[#Headers],[Ausnet]:[United Energy]],0)))*IF($K$12="-",0,$K$12)</f>
        <v>0</v>
      </c>
      <c r="I27" s="170" cm="1">
        <f t="array" ref="I27">IF(
INDEX(OP_RatesTU_RES_1[[Ausnet]:[United Energy]],
MATCH(1,(OP_RatesTU_RES_1[[Rate name]:[Rate name]]="Anytime")*(OP_RatesTU_RES_1[[Customer type]:[Customer type]]=$E$7),0),
MATCH(I$18,OP_RatesTU_RES_1[[#Headers],[Ausnet]:[United Energy]],0))="-",0,
INDEX(OP_RatesTU_RES_1[[Ausnet]:[United Energy]],
MATCH(1,(OP_RatesTU_RES_1[[Rate name]:[Rate name]]="Anytime")*(OP_RatesTU_RES_1[[Customer type]:[Customer type]]=$E$7),0),
MATCH(I$18,OP_RatesTU_RES_1[[#Headers],[Ausnet]:[United Energy]],0)))*IF($K$12="-",0,$K$12)</f>
        <v>0</v>
      </c>
      <c r="J27" s="170" cm="1">
        <f t="array" ref="J27">IF(
INDEX(OP_RatesTU_RES_1[[Ausnet]:[United Energy]],
MATCH(1,(OP_RatesTU_RES_1[[Rate name]:[Rate name]]="Anytime")*(OP_RatesTU_RES_1[[Customer type]:[Customer type]]=$E$7),0),
MATCH(J$18,OP_RatesTU_RES_1[[#Headers],[Ausnet]:[United Energy]],0))="-",0,
INDEX(OP_RatesTU_RES_1[[Ausnet]:[United Energy]],
MATCH(1,(OP_RatesTU_RES_1[[Rate name]:[Rate name]]="Anytime")*(OP_RatesTU_RES_1[[Customer type]:[Customer type]]=$E$7),0),
MATCH(J$18,OP_RatesTU_RES_1[[#Headers],[Ausnet]:[United Energy]],0)))*IF($K$12="-",0,$K$12)</f>
        <v>0</v>
      </c>
      <c r="K27" s="170" cm="1">
        <f t="array" ref="K27">IF(
INDEX(OP_RatesTU_RES_1[[Ausnet]:[United Energy]],
MATCH(1,(OP_RatesTU_RES_1[[Rate name]:[Rate name]]="Anytime")*(OP_RatesTU_RES_1[[Customer type]:[Customer type]]=$E$7),0),
MATCH(K$18,OP_RatesTU_RES_1[[#Headers],[Ausnet]:[United Energy]],0))="-",0,
INDEX(OP_RatesTU_RES_1[[Ausnet]:[United Energy]],
MATCH(1,(OP_RatesTU_RES_1[[Rate name]:[Rate name]]="Anytime")*(OP_RatesTU_RES_1[[Customer type]:[Customer type]]=$E$7),0),
MATCH(K$18,OP_RatesTU_RES_1[[#Headers],[Ausnet]:[United Energy]],0)))*IF($K$12="-",0,$K$12)</f>
        <v>0</v>
      </c>
      <c r="L27" s="170" cm="1">
        <f t="array" ref="L27">IF(
INDEX(OP_RatesTU_RES_1[[Ausnet]:[United Energy]],
MATCH(1,(OP_RatesTU_RES_1[[Rate name]:[Rate name]]="Anytime")*(OP_RatesTU_RES_1[[Customer type]:[Customer type]]=$E$7),0),
MATCH(L$18,OP_RatesTU_RES_1[[#Headers],[Ausnet]:[United Energy]],0))="-",0,
INDEX(OP_RatesTU_RES_1[[Ausnet]:[United Energy]],
MATCH(1,(OP_RatesTU_RES_1[[Rate name]:[Rate name]]="Anytime")*(OP_RatesTU_RES_1[[Customer type]:[Customer type]]=$E$7),0),
MATCH(L$18,OP_RatesTU_RES_1[[#Headers],[Ausnet]:[United Energy]],0)))*IF($K$12="-",0,$K$12)</f>
        <v>0</v>
      </c>
      <c r="N27" s="170">
        <f>AVERAGE(O27:S27)</f>
        <v>12.530679555985406</v>
      </c>
      <c r="O27" s="170" cm="1">
        <f t="array" ref="O27">IF(
INDEX(OP_RatesTU_RES_2[[Ausnet]:[United Energy]],
MATCH(1,(OP_RatesTU_RES_2[[Rate name]:[Rate name]]="Anytime")*(OP_RatesTU_RES_2[[Customer type]:[Customer type]]=$E$7),0),
MATCH(O$18,OP_RatesTU_RES_2[[#Headers],[Ausnet]:[United Energy]],0))="-",0,
INDEX(OP_RatesTU_RES_2[[Ausnet]:[United Energy]],
MATCH(1,(OP_RatesTU_RES_2[[Rate name]:[Rate name]]="Anytime")*(OP_RatesTU_RES_2[[Customer type]:[Customer type]]=$E$7),0),
MATCH(O$18,OP_RatesTU_RES_2[[#Headers],[Ausnet]:[United Energy]],0)))*IF($R$12="-",0,$R$12)</f>
        <v>11.935672304856654</v>
      </c>
      <c r="P27" s="170" cm="1">
        <f t="array" ref="P27">IF(
INDEX(OP_RatesTU_RES_2[[Ausnet]:[United Energy]],
MATCH(1,(OP_RatesTU_RES_2[[Rate name]:[Rate name]]="Anytime")*(OP_RatesTU_RES_2[[Customer type]:[Customer type]]=$E$7),0),
MATCH(P$18,OP_RatesTU_RES_2[[#Headers],[Ausnet]:[United Energy]],0))="-",0,
INDEX(OP_RatesTU_RES_2[[Ausnet]:[United Energy]],
MATCH(1,(OP_RatesTU_RES_2[[Rate name]:[Rate name]]="Anytime")*(OP_RatesTU_RES_2[[Customer type]:[Customer type]]=$E$7),0),
MATCH(P$18,OP_RatesTU_RES_2[[#Headers],[Ausnet]:[United Energy]],0)))*IF($R$12="-",0,$R$12)</f>
        <v>16.187167340424587</v>
      </c>
      <c r="Q27" s="170" cm="1">
        <f t="array" ref="Q27">IF(
INDEX(OP_RatesTU_RES_2[[Ausnet]:[United Energy]],
MATCH(1,(OP_RatesTU_RES_2[[Rate name]:[Rate name]]="Anytime")*(OP_RatesTU_RES_2[[Customer type]:[Customer type]]=$E$7),0),
MATCH(Q$18,OP_RatesTU_RES_2[[#Headers],[Ausnet]:[United Energy]],0))="-",0,
INDEX(OP_RatesTU_RES_2[[Ausnet]:[United Energy]],
MATCH(1,(OP_RatesTU_RES_2[[Rate name]:[Rate name]]="Anytime")*(OP_RatesTU_RES_2[[Customer type]:[Customer type]]=$E$7),0),
MATCH(Q$18,OP_RatesTU_RES_2[[#Headers],[Ausnet]:[United Energy]],0)))*IF($R$12="-",0,$R$12)</f>
        <v>14.087579955431812</v>
      </c>
      <c r="R27" s="170" cm="1">
        <f t="array" ref="R27">IF(
INDEX(OP_RatesTU_RES_2[[Ausnet]:[United Energy]],
MATCH(1,(OP_RatesTU_RES_2[[Rate name]:[Rate name]]="Anytime")*(OP_RatesTU_RES_2[[Customer type]:[Customer type]]=$E$7),0),
MATCH(R$18,OP_RatesTU_RES_2[[#Headers],[Ausnet]:[United Energy]],0))="-",0,
INDEX(OP_RatesTU_RES_2[[Ausnet]:[United Energy]],
MATCH(1,(OP_RatesTU_RES_2[[Rate name]:[Rate name]]="Anytime")*(OP_RatesTU_RES_2[[Customer type]:[Customer type]]=$E$7),0),
MATCH(R$18,OP_RatesTU_RES_2[[#Headers],[Ausnet]:[United Energy]],0)))*IF($R$12="-",0,$R$12)</f>
        <v>14.085074916598433</v>
      </c>
      <c r="S27" s="170" cm="1">
        <f t="array" ref="S27">IF(
INDEX(OP_RatesTU_RES_2[[Ausnet]:[United Energy]],
MATCH(1,(OP_RatesTU_RES_2[[Rate name]:[Rate name]]="Anytime")*(OP_RatesTU_RES_2[[Customer type]:[Customer type]]=$E$7),0),
MATCH(S$18,OP_RatesTU_RES_2[[#Headers],[Ausnet]:[United Energy]],0))="-",0,
INDEX(OP_RatesTU_RES_2[[Ausnet]:[United Energy]],
MATCH(1,(OP_RatesTU_RES_2[[Rate name]:[Rate name]]="Anytime")*(OP_RatesTU_RES_2[[Customer type]:[Customer type]]=$E$7),0),
MATCH(S$18,OP_RatesTU_RES_2[[#Headers],[Ausnet]:[United Energy]],0)))*IF($R$12="-",0,$R$12)</f>
        <v>6.3579032626155501</v>
      </c>
      <c r="U27" s="170">
        <f>IFERROR(N27-G27,"-")</f>
        <v>12.530679555985406</v>
      </c>
      <c r="V27" s="170">
        <f t="shared" ref="V27:Z27" si="33">IFERROR(O27-H27,"-")</f>
        <v>11.935672304856654</v>
      </c>
      <c r="W27" s="170">
        <f t="shared" si="33"/>
        <v>16.187167340424587</v>
      </c>
      <c r="X27" s="170">
        <f t="shared" si="33"/>
        <v>14.087579955431812</v>
      </c>
      <c r="Y27" s="170">
        <f t="shared" si="33"/>
        <v>14.085074916598433</v>
      </c>
      <c r="Z27" s="170">
        <f t="shared" si="33"/>
        <v>6.3579032626155501</v>
      </c>
      <c r="AB27" s="268">
        <f>IFERROR(U27/G$20,"-")</f>
        <v>9.2002052540274635E-3</v>
      </c>
      <c r="AC27" s="268">
        <f t="shared" ref="AC27:AG27" si="34">IFERROR(V27/H$20,"-")</f>
        <v>7.8113038644349831E-3</v>
      </c>
      <c r="AD27" s="268">
        <f t="shared" si="34"/>
        <v>1.2577441600951506E-2</v>
      </c>
      <c r="AE27" s="268">
        <f t="shared" si="34"/>
        <v>1.0592165380023919E-2</v>
      </c>
      <c r="AF27" s="268">
        <f t="shared" si="34"/>
        <v>1.0206576026520604E-2</v>
      </c>
      <c r="AG27" s="268">
        <f t="shared" si="34"/>
        <v>4.9632343970457066E-3</v>
      </c>
      <c r="AI27" s="268">
        <f>IFERROR(N27/N$20,"-")</f>
        <v>9.3303645241886862E-3</v>
      </c>
      <c r="AJ27" s="268">
        <f t="shared" ref="AJ27" si="35">IFERROR(O27/O$20,"-")</f>
        <v>7.9890711545225254E-3</v>
      </c>
      <c r="AK27" s="268">
        <f t="shared" ref="AK27" si="36">IFERROR(P27/P$20,"-")</f>
        <v>1.2666015133352571E-2</v>
      </c>
      <c r="AL27" s="268">
        <f t="shared" ref="AL27" si="37">IFERROR(Q27/Q$20,"-")</f>
        <v>1.0712988559263736E-2</v>
      </c>
      <c r="AM27" s="268">
        <f t="shared" ref="AM27" si="38">IFERROR(R27/R$20,"-")</f>
        <v>1.0371925564505474E-2</v>
      </c>
      <c r="AN27" s="268">
        <f t="shared" ref="AN27" si="39">IFERROR(S27/S$20,"-")</f>
        <v>5.0220404917974328E-3</v>
      </c>
      <c r="AT27" s="286"/>
    </row>
    <row r="28" spans="3:47" outlineLevel="1" x14ac:dyDescent="0.25">
      <c r="AB28" s="122"/>
      <c r="AC28" s="122"/>
      <c r="AD28" s="122"/>
      <c r="AE28" s="122"/>
      <c r="AF28" s="122"/>
      <c r="AG28" s="122"/>
      <c r="AI28" s="122"/>
      <c r="AJ28" s="122"/>
      <c r="AK28" s="122"/>
      <c r="AL28" s="122"/>
      <c r="AM28" s="122"/>
      <c r="AN28" s="122"/>
    </row>
    <row r="29" spans="3:47" outlineLevel="1" x14ac:dyDescent="0.25">
      <c r="C29" t="s">
        <v>313</v>
      </c>
      <c r="D29" s="59" t="s">
        <v>706</v>
      </c>
      <c r="E29" s="23" t="s">
        <v>130</v>
      </c>
      <c r="G29" s="170">
        <f>AVERAGE((H30+H31),I32,J32,K32,L32)</f>
        <v>3.4470990000280799</v>
      </c>
      <c r="N29" s="170">
        <f>AVERAGE((O30+O31),P32,Q32,R32,S32)</f>
        <v>13.079870942258086</v>
      </c>
      <c r="U29" s="170">
        <f>IFERROR(N29-G29,"-")</f>
        <v>9.632771942230006</v>
      </c>
      <c r="V29" s="170">
        <f t="shared" ref="V29:Z32" si="40">IFERROR(O29-H29,"-")</f>
        <v>0</v>
      </c>
      <c r="W29" s="170">
        <f t="shared" si="40"/>
        <v>0</v>
      </c>
      <c r="X29" s="170">
        <f t="shared" si="40"/>
        <v>0</v>
      </c>
      <c r="Y29" s="170">
        <f t="shared" si="40"/>
        <v>0</v>
      </c>
      <c r="Z29" s="170">
        <f t="shared" si="40"/>
        <v>0</v>
      </c>
      <c r="AB29" s="268">
        <f t="shared" ref="AB29:AG32" si="41">IFERROR(U29/G$20,"-")</f>
        <v>7.0725197813729856E-3</v>
      </c>
      <c r="AC29" s="268">
        <f t="shared" si="41"/>
        <v>0</v>
      </c>
      <c r="AD29" s="268">
        <f t="shared" si="41"/>
        <v>0</v>
      </c>
      <c r="AE29" s="268">
        <f t="shared" si="41"/>
        <v>0</v>
      </c>
      <c r="AF29" s="268">
        <f t="shared" si="41"/>
        <v>0</v>
      </c>
      <c r="AG29" s="268">
        <f t="shared" si="41"/>
        <v>0</v>
      </c>
      <c r="AI29" s="268">
        <f t="shared" ref="AI29:AI32" si="42">IFERROR(N29/N$20,"-")</f>
        <v>9.7392933300506964E-3</v>
      </c>
      <c r="AJ29" s="268">
        <f t="shared" ref="AJ29:AJ32" si="43">IFERROR(O29/O$20,"-")</f>
        <v>0</v>
      </c>
      <c r="AK29" s="268">
        <f t="shared" ref="AK29:AK32" si="44">IFERROR(P29/P$20,"-")</f>
        <v>0</v>
      </c>
      <c r="AL29" s="268">
        <f t="shared" ref="AL29:AL32" si="45">IFERROR(Q29/Q$20,"-")</f>
        <v>0</v>
      </c>
      <c r="AM29" s="268">
        <f t="shared" ref="AM29:AM32" si="46">IFERROR(R29/R$20,"-")</f>
        <v>0</v>
      </c>
      <c r="AN29" s="268">
        <f t="shared" ref="AN29:AN32" si="47">IFERROR(S29/S$20,"-")</f>
        <v>0</v>
      </c>
    </row>
    <row r="30" spans="3:47" outlineLevel="1" x14ac:dyDescent="0.25">
      <c r="D30" s="23" t="s">
        <v>221</v>
      </c>
      <c r="E30" s="23" t="s">
        <v>130</v>
      </c>
      <c r="G30" s="170">
        <f t="shared" ref="G30:G32" si="48">AVERAGE(H30:L30)</f>
        <v>0.70353414772703837</v>
      </c>
      <c r="H30" s="373" cm="1">
        <f t="array" ref="H30">IF(LEFT($G$17,8)="VDO 2022 - Final",0,
IFERROR(
INDEX(OP_RatesTU_RES_1[[Ausnet]:[United Energy]],
MATCH(1,(OP_RatesTU_RES_1[[Cost element]:[Cost element]]="Environmental")*(OP_RatesTU_RES_1[[Rate name]:[Rate name]]=$D30),0),
MATCH(H$18,OP_RatesTU_RES_1[[#Headers],[Ausnet]:[United Energy]],0))*
(INDEX($G$9:$G$13,MATCH(IF($D30="Single rate","Annual",$D30),$F$9:$F$13,0),1)/$L$16),"-"))</f>
        <v>3.517670738635192</v>
      </c>
      <c r="I30" s="373" cm="1">
        <f t="array" ref="I30">IF(LEFT($G$17,8)="VDO 2022 - Final",0,
IFERROR(
INDEX(OP_RatesTU_RES_1[[Ausnet]:[United Energy]],
MATCH(1,(OP_RatesTU_RES_1[[Cost element]:[Cost element]]="Environmental")*(OP_RatesTU_RES_1[[Rate name]:[Rate name]]=$D30),0),
MATCH(I$18,OP_RatesTU_RES_1[[#Headers],[Ausnet]:[United Energy]],0))*
(INDEX($G$9:$G$13,MATCH(IF($D30="Single rate","Annual",$D30),$F$9:$F$13,0),1)/$L$16),"-"))</f>
        <v>0</v>
      </c>
      <c r="J30" s="373" cm="1">
        <f t="array" ref="J30">IF(LEFT($G$17,8)="VDO 2022 - Final",0,
IFERROR(
INDEX(OP_RatesTU_RES_1[[Ausnet]:[United Energy]],
MATCH(1,(OP_RatesTU_RES_1[[Cost element]:[Cost element]]="Environmental")*(OP_RatesTU_RES_1[[Rate name]:[Rate name]]=$D30),0),
MATCH(J$18,OP_RatesTU_RES_1[[#Headers],[Ausnet]:[United Energy]],0))*
(INDEX($G$9:$G$13,MATCH(IF($D30="Single rate","Annual",$D30),$F$9:$F$13,0),1)/$L$16),"-"))</f>
        <v>0</v>
      </c>
      <c r="K30" s="373" cm="1">
        <f t="array" ref="K30">IF(LEFT($G$17,8)="VDO 2022 - Final",0,
IFERROR(
INDEX(OP_RatesTU_RES_1[[Ausnet]:[United Energy]],
MATCH(1,(OP_RatesTU_RES_1[[Cost element]:[Cost element]]="Environmental")*(OP_RatesTU_RES_1[[Rate name]:[Rate name]]=$D30),0),
MATCH(K$18,OP_RatesTU_RES_1[[#Headers],[Ausnet]:[United Energy]],0))*
(INDEX($G$9:$G$13,MATCH(IF($D30="Single rate","Annual",$D30),$F$9:$F$13,0),1)/$L$16),"-"))</f>
        <v>0</v>
      </c>
      <c r="L30" s="373" cm="1">
        <f t="array" ref="L30">IF(LEFT($G$17,8)="VDO 2022 - Final",0,
IFERROR(
INDEX(OP_RatesTU_RES_1[[Ausnet]:[United Energy]],
MATCH(1,(OP_RatesTU_RES_1[[Cost element]:[Cost element]]="Environmental")*(OP_RatesTU_RES_1[[Rate name]:[Rate name]]=$D30),0),
MATCH(L$18,OP_RatesTU_RES_1[[#Headers],[Ausnet]:[United Energy]],0))*
(INDEX($G$9:$G$13,MATCH(IF($D30="Single rate","Annual",$D30),$F$9:$F$13,0),1)/$L$16),"-"))</f>
        <v>0</v>
      </c>
      <c r="N30" s="170">
        <f>AVERAGE(O30:S30)</f>
        <v>2.6449362792963114</v>
      </c>
      <c r="O30" s="170" cm="1">
        <f t="array" ref="O30">IFERROR(
INDEX(OP_RatesTU_RES_2[[Ausnet]:[United Energy]],
MATCH(1,(OP_RatesTU_RES_2[[Cost element]:[Cost element]]="Environmental")*(OP_RatesTU_RES_2[[Rate name]:[Rate name]]=$D30),0),
MATCH(O$18,OP_RatesTU_RES_2[[#Headers],[Ausnet]:[United Energy]],0))*
(INDEX($N$9:$N$13,MATCH(IF($D30="Single rate","Annual",$D30),$F$9:$F$13,0),1)/$S$16),"-")</f>
        <v>13.224681396481557</v>
      </c>
      <c r="P30" s="170" cm="1">
        <f t="array" ref="P30">IFERROR(
INDEX(OP_RatesTU_RES_2[[Ausnet]:[United Energy]],
MATCH(1,(OP_RatesTU_RES_2[[Cost element]:[Cost element]]="Environmental")*(OP_RatesTU_RES_2[[Rate name]:[Rate name]]=$D30),0),
MATCH(P$18,OP_RatesTU_RES_2[[#Headers],[Ausnet]:[United Energy]],0))*
(INDEX($N$9:$N$13,MATCH(IF($D30="Single rate","Annual",$D30),$F$9:$F$13,0),1)/$S$16),"-")</f>
        <v>0</v>
      </c>
      <c r="Q30" s="170" cm="1">
        <f t="array" ref="Q30">IFERROR(
INDEX(OP_RatesTU_RES_2[[Ausnet]:[United Energy]],
MATCH(1,(OP_RatesTU_RES_2[[Cost element]:[Cost element]]="Environmental")*(OP_RatesTU_RES_2[[Rate name]:[Rate name]]=$D30),0),
MATCH(Q$18,OP_RatesTU_RES_2[[#Headers],[Ausnet]:[United Energy]],0))*
(INDEX($N$9:$N$13,MATCH(IF($D30="Single rate","Annual",$D30),$F$9:$F$13,0),1)/$S$16),"-")</f>
        <v>0</v>
      </c>
      <c r="R30" s="170" cm="1">
        <f t="array" ref="R30">IFERROR(
INDEX(OP_RatesTU_RES_2[[Ausnet]:[United Energy]],
MATCH(1,(OP_RatesTU_RES_2[[Cost element]:[Cost element]]="Environmental")*(OP_RatesTU_RES_2[[Rate name]:[Rate name]]=$D30),0),
MATCH(R$18,OP_RatesTU_RES_2[[#Headers],[Ausnet]:[United Energy]],0))*
(INDEX($N$9:$N$13,MATCH(IF($D30="Single rate","Annual",$D30),$F$9:$F$13,0),1)/$S$16),"-")</f>
        <v>0</v>
      </c>
      <c r="S30" s="170" cm="1">
        <f t="array" ref="S30">IFERROR(
INDEX(OP_RatesTU_RES_2[[Ausnet]:[United Energy]],
MATCH(1,(OP_RatesTU_RES_2[[Cost element]:[Cost element]]="Environmental")*(OP_RatesTU_RES_2[[Rate name]:[Rate name]]=$D30),0),
MATCH(S$18,OP_RatesTU_RES_2[[#Headers],[Ausnet]:[United Energy]],0))*
(INDEX($N$9:$N$13,MATCH(IF($D30="Single rate","Annual",$D30),$F$9:$F$13,0),1)/$S$16),"-")</f>
        <v>0</v>
      </c>
      <c r="U30" s="170">
        <f t="shared" ref="U30:U32" si="49">IFERROR(N30-G30,"-")</f>
        <v>1.9414021315692729</v>
      </c>
      <c r="V30" s="170">
        <f t="shared" si="40"/>
        <v>9.7070106578463644</v>
      </c>
      <c r="W30" s="170">
        <f t="shared" si="40"/>
        <v>0</v>
      </c>
      <c r="X30" s="170">
        <f t="shared" si="40"/>
        <v>0</v>
      </c>
      <c r="Y30" s="170">
        <f t="shared" si="40"/>
        <v>0</v>
      </c>
      <c r="Z30" s="170">
        <f t="shared" si="40"/>
        <v>0</v>
      </c>
      <c r="AB30" s="268">
        <f t="shared" si="41"/>
        <v>1.4254053829436657E-3</v>
      </c>
      <c r="AC30" s="268">
        <f t="shared" si="41"/>
        <v>6.3527556661298196E-3</v>
      </c>
      <c r="AD30" s="268">
        <f t="shared" si="41"/>
        <v>0</v>
      </c>
      <c r="AE30" s="268">
        <f t="shared" si="41"/>
        <v>0</v>
      </c>
      <c r="AF30" s="268">
        <f t="shared" si="41"/>
        <v>0</v>
      </c>
      <c r="AG30" s="268">
        <f t="shared" si="41"/>
        <v>0</v>
      </c>
      <c r="AI30" s="268">
        <f t="shared" si="42"/>
        <v>1.9694238862965831E-3</v>
      </c>
      <c r="AJ30" s="268">
        <f t="shared" si="43"/>
        <v>8.8518617111657018E-3</v>
      </c>
      <c r="AK30" s="268">
        <f t="shared" si="44"/>
        <v>0</v>
      </c>
      <c r="AL30" s="268">
        <f t="shared" si="45"/>
        <v>0</v>
      </c>
      <c r="AM30" s="268">
        <f t="shared" si="46"/>
        <v>0</v>
      </c>
      <c r="AN30" s="268">
        <f t="shared" si="47"/>
        <v>0</v>
      </c>
    </row>
    <row r="31" spans="3:47" outlineLevel="1" x14ac:dyDescent="0.25">
      <c r="D31" s="23" t="s">
        <v>228</v>
      </c>
      <c r="E31" s="23" t="s">
        <v>130</v>
      </c>
      <c r="G31" s="170">
        <f t="shared" si="48"/>
        <v>0</v>
      </c>
      <c r="H31" s="373" cm="1">
        <f t="array" ref="H31">IF(LEFT($G$17,8)="VDO 2022 - Final",0,
IFERROR(
INDEX(OP_RatesTU_RES_1[[Ausnet]:[United Energy]],
MATCH(1,(OP_RatesTU_RES_1[[Cost element]:[Cost element]]="Environmental")*(OP_RatesTU_RES_1[[Rate name]:[Rate name]]=$D31),0),
MATCH(H$18,OP_RatesTU_RES_1[[#Headers],[Ausnet]:[United Energy]],0))*
(INDEX($G$9:$G$13,MATCH(IF($D31="Single rate","Annual",$D31),$F$9:$F$13,0),1)/$L$16),"-"))</f>
        <v>0</v>
      </c>
      <c r="I31" s="373" cm="1">
        <f t="array" ref="I31">IF(LEFT($G$17,8)="VDO 2022 - Final",0,
IFERROR(
INDEX(OP_RatesTU_RES_1[[Ausnet]:[United Energy]],
MATCH(1,(OP_RatesTU_RES_1[[Cost element]:[Cost element]]="Environmental")*(OP_RatesTU_RES_1[[Rate name]:[Rate name]]=$D31),0),
MATCH(I$18,OP_RatesTU_RES_1[[#Headers],[Ausnet]:[United Energy]],0))*
(INDEX($G$9:$G$13,MATCH(IF($D31="Single rate","Annual",$D31),$F$9:$F$13,0),1)/$L$16),"-"))</f>
        <v>0</v>
      </c>
      <c r="J31" s="373" cm="1">
        <f t="array" ref="J31">IF(LEFT($G$17,8)="VDO 2022 - Final",0,
IFERROR(
INDEX(OP_RatesTU_RES_1[[Ausnet]:[United Energy]],
MATCH(1,(OP_RatesTU_RES_1[[Cost element]:[Cost element]]="Environmental")*(OP_RatesTU_RES_1[[Rate name]:[Rate name]]=$D31),0),
MATCH(J$18,OP_RatesTU_RES_1[[#Headers],[Ausnet]:[United Energy]],0))*
(INDEX($G$9:$G$13,MATCH(IF($D31="Single rate","Annual",$D31),$F$9:$F$13,0),1)/$L$16),"-"))</f>
        <v>0</v>
      </c>
      <c r="K31" s="373" cm="1">
        <f t="array" ref="K31">IF(LEFT($G$17,8)="VDO 2022 - Final",0,
IFERROR(
INDEX(OP_RatesTU_RES_1[[Ausnet]:[United Energy]],
MATCH(1,(OP_RatesTU_RES_1[[Cost element]:[Cost element]]="Environmental")*(OP_RatesTU_RES_1[[Rate name]:[Rate name]]=$D31),0),
MATCH(K$18,OP_RatesTU_RES_1[[#Headers],[Ausnet]:[United Energy]],0))*
(INDEX($G$9:$G$13,MATCH(IF($D31="Single rate","Annual",$D31),$F$9:$F$13,0),1)/$L$16),"-"))</f>
        <v>0</v>
      </c>
      <c r="L31" s="373" cm="1">
        <f t="array" ref="L31">IF(LEFT($G$17,8)="VDO 2022 - Final",0,
IFERROR(
INDEX(OP_RatesTU_RES_1[[Ausnet]:[United Energy]],
MATCH(1,(OP_RatesTU_RES_1[[Cost element]:[Cost element]]="Environmental")*(OP_RatesTU_RES_1[[Rate name]:[Rate name]]=$D31),0),
MATCH(L$18,OP_RatesTU_RES_1[[#Headers],[Ausnet]:[United Energy]],0))*
(INDEX($G$9:$G$13,MATCH(IF($D31="Single rate","Annual",$D31),$F$9:$F$13,0),1)/$L$16),"-"))</f>
        <v>0</v>
      </c>
      <c r="N31" s="170">
        <f t="shared" ref="N31" si="50">AVERAGE(O31:S31)</f>
        <v>0</v>
      </c>
      <c r="O31" s="170" cm="1">
        <f t="array" ref="O31">IFERROR(
INDEX(OP_RatesTU_RES_2[[Ausnet]:[United Energy]],
MATCH(1,(OP_RatesTU_RES_2[[Cost element]:[Cost element]]="Environmental")*(OP_RatesTU_RES_2[[Rate name]:[Rate name]]=$D31),0),
MATCH(O$18,OP_RatesTU_RES_2[[#Headers],[Ausnet]:[United Energy]],0))*
(INDEX($N$9:$N$13,MATCH(IF($D31="Single rate","Annual",$D31),$F$9:$F$13,0),1)/$S$16),"-")</f>
        <v>0</v>
      </c>
      <c r="P31" s="170" cm="1">
        <f t="array" ref="P31">IFERROR(
INDEX(OP_RatesTU_RES_2[[Ausnet]:[United Energy]],
MATCH(1,(OP_RatesTU_RES_2[[Cost element]:[Cost element]]="Environmental")*(OP_RatesTU_RES_2[[Rate name]:[Rate name]]=$D31),0),
MATCH(P$18,OP_RatesTU_RES_2[[#Headers],[Ausnet]:[United Energy]],0))*
(INDEX($N$9:$N$13,MATCH(IF($D31="Single rate","Annual",$D31),$F$9:$F$13,0),1)/$S$16),"-")</f>
        <v>0</v>
      </c>
      <c r="Q31" s="170" cm="1">
        <f t="array" ref="Q31">IFERROR(
INDEX(OP_RatesTU_RES_2[[Ausnet]:[United Energy]],
MATCH(1,(OP_RatesTU_RES_2[[Cost element]:[Cost element]]="Environmental")*(OP_RatesTU_RES_2[[Rate name]:[Rate name]]=$D31),0),
MATCH(Q$18,OP_RatesTU_RES_2[[#Headers],[Ausnet]:[United Energy]],0))*
(INDEX($N$9:$N$13,MATCH(IF($D31="Single rate","Annual",$D31),$F$9:$F$13,0),1)/$S$16),"-")</f>
        <v>0</v>
      </c>
      <c r="R31" s="170" cm="1">
        <f t="array" ref="R31">IFERROR(
INDEX(OP_RatesTU_RES_2[[Ausnet]:[United Energy]],
MATCH(1,(OP_RatesTU_RES_2[[Cost element]:[Cost element]]="Environmental")*(OP_RatesTU_RES_2[[Rate name]:[Rate name]]=$D31),0),
MATCH(R$18,OP_RatesTU_RES_2[[#Headers],[Ausnet]:[United Energy]],0))*
(INDEX($N$9:$N$13,MATCH(IF($D31="Single rate","Annual",$D31),$F$9:$F$13,0),1)/$S$16),"-")</f>
        <v>0</v>
      </c>
      <c r="S31" s="170" cm="1">
        <f t="array" ref="S31">IFERROR(
INDEX(OP_RatesTU_RES_2[[Ausnet]:[United Energy]],
MATCH(1,(OP_RatesTU_RES_2[[Cost element]:[Cost element]]="Environmental")*(OP_RatesTU_RES_2[[Rate name]:[Rate name]]=$D31),0),
MATCH(S$18,OP_RatesTU_RES_2[[#Headers],[Ausnet]:[United Energy]],0))*
(INDEX($N$9:$N$13,MATCH(IF($D31="Single rate","Annual",$D31),$F$9:$F$13,0),1)/$S$16),"-")</f>
        <v>0</v>
      </c>
      <c r="U31" s="170">
        <f t="shared" si="49"/>
        <v>0</v>
      </c>
      <c r="V31" s="170">
        <f t="shared" si="40"/>
        <v>0</v>
      </c>
      <c r="W31" s="170">
        <f t="shared" si="40"/>
        <v>0</v>
      </c>
      <c r="X31" s="170">
        <f t="shared" si="40"/>
        <v>0</v>
      </c>
      <c r="Y31" s="170">
        <f t="shared" si="40"/>
        <v>0</v>
      </c>
      <c r="Z31" s="170">
        <f t="shared" si="40"/>
        <v>0</v>
      </c>
      <c r="AB31" s="268">
        <f t="shared" si="41"/>
        <v>0</v>
      </c>
      <c r="AC31" s="268">
        <f t="shared" si="41"/>
        <v>0</v>
      </c>
      <c r="AD31" s="268">
        <f t="shared" si="41"/>
        <v>0</v>
      </c>
      <c r="AE31" s="268">
        <f t="shared" si="41"/>
        <v>0</v>
      </c>
      <c r="AF31" s="268">
        <f t="shared" si="41"/>
        <v>0</v>
      </c>
      <c r="AG31" s="268">
        <f t="shared" si="41"/>
        <v>0</v>
      </c>
      <c r="AI31" s="268">
        <f t="shared" si="42"/>
        <v>0</v>
      </c>
      <c r="AJ31" s="268">
        <f t="shared" si="43"/>
        <v>0</v>
      </c>
      <c r="AK31" s="268">
        <f t="shared" si="44"/>
        <v>0</v>
      </c>
      <c r="AL31" s="268">
        <f t="shared" si="45"/>
        <v>0</v>
      </c>
      <c r="AM31" s="268">
        <f t="shared" si="46"/>
        <v>0</v>
      </c>
      <c r="AN31" s="268">
        <f t="shared" si="47"/>
        <v>0</v>
      </c>
    </row>
    <row r="32" spans="3:47" outlineLevel="1" x14ac:dyDescent="0.25">
      <c r="D32" s="23" t="s">
        <v>549</v>
      </c>
      <c r="E32" s="23" t="s">
        <v>130</v>
      </c>
      <c r="G32" s="170">
        <f t="shared" si="48"/>
        <v>2.7435648523010419</v>
      </c>
      <c r="H32" s="373" cm="1">
        <f t="array" ref="H32">IF(LEFT($G$17,8)="VDO 2022 - Final",0,
IFERROR(
INDEX(OP_RatesTU_RES_1[[Ausnet]:[United Energy]],
MATCH(1,(OP_RatesTU_RES_1[[Cost element]:[Cost element]]="Environmental")*(OP_RatesTU_RES_1[[Rate name]:[Rate name]]=$D32),0),
MATCH(H$18,OP_RatesTU_RES_1[[#Headers],[Ausnet]:[United Energy]],0))*
(INDEX($G$9:$G$13,MATCH(IF($D32="Single rate","Annual",$D32),$F$9:$F$13,0),1)/$L$16),"-"))</f>
        <v>0</v>
      </c>
      <c r="I32" s="373" cm="1">
        <f t="array" ref="I32">IF(LEFT($G$17,8)="VDO 2022 - Final",0,
IFERROR(
INDEX(OP_RatesTU_RES_1[[Ausnet]:[United Energy]],
MATCH(1,(OP_RatesTU_RES_1[[Cost element]:[Cost element]]="Environmental")*(OP_RatesTU_RES_1[[Rate name]:[Rate name]]=$D32),0),
MATCH(I$18,OP_RatesTU_RES_1[[#Headers],[Ausnet]:[United Energy]],0))*
(INDEX($G$9:$G$13,MATCH(IF($D32="Single rate","Annual",$D32),$F$9:$F$13,0),1)/$L$16),"-"))</f>
        <v>3.4144294962615778</v>
      </c>
      <c r="J32" s="373" cm="1">
        <f t="array" ref="J32">IF(LEFT($G$17,8)="VDO 2022 - Final",0,
IFERROR(
INDEX(OP_RatesTU_RES_1[[Ausnet]:[United Energy]],
MATCH(1,(OP_RatesTU_RES_1[[Cost element]:[Cost element]]="Environmental")*(OP_RatesTU_RES_1[[Rate name]:[Rate name]]=$D32),0),
MATCH(J$18,OP_RatesTU_RES_1[[#Headers],[Ausnet]:[United Energy]],0))*
(INDEX($G$9:$G$13,MATCH(IF($D32="Single rate","Annual",$D32),$F$9:$F$13,0),1)/$L$16),"-"))</f>
        <v>3.3965855673466261</v>
      </c>
      <c r="K32" s="373" cm="1">
        <f t="array" ref="K32">IF(LEFT($G$17,8)="VDO 2022 - Final",0,
IFERROR(
INDEX(OP_RatesTU_RES_1[[Ausnet]:[United Energy]],
MATCH(1,(OP_RatesTU_RES_1[[Cost element]:[Cost element]]="Environmental")*(OP_RatesTU_RES_1[[Rate name]:[Rate name]]=$D32),0),
MATCH(K$18,OP_RatesTU_RES_1[[#Headers],[Ausnet]:[United Energy]],0))*
(INDEX($G$9:$G$13,MATCH(IF($D32="Single rate","Annual",$D32),$F$9:$F$13,0),1)/$L$16),"-"))</f>
        <v>3.4918442538869039</v>
      </c>
      <c r="L32" s="373" cm="1">
        <f t="array" ref="L32">IF(LEFT($G$17,8)="VDO 2022 - Final",0,
IFERROR(
INDEX(OP_RatesTU_RES_1[[Ausnet]:[United Energy]],
MATCH(1,(OP_RatesTU_RES_1[[Cost element]:[Cost element]]="Environmental")*(OP_RatesTU_RES_1[[Rate name]:[Rate name]]=$D32),0),
MATCH(L$18,OP_RatesTU_RES_1[[#Headers],[Ausnet]:[United Energy]],0))*
(INDEX($G$9:$G$13,MATCH(IF($D32="Single rate","Annual",$D32),$F$9:$F$13,0),1)/$L$16),"-"))</f>
        <v>3.4149649440101002</v>
      </c>
      <c r="N32" s="170">
        <f>AVERAGE(O32:S32)</f>
        <v>10.434934662961773</v>
      </c>
      <c r="O32" s="170" cm="1">
        <f t="array" ref="O32">IFERROR(
INDEX(OP_RatesTU_RES_2[[Ausnet]:[United Energy]],
MATCH(1,(OP_RatesTU_RES_2[[Cost element]:[Cost element]]="Environmental")*(OP_RatesTU_RES_2[[Rate name]:[Rate name]]=$D32),0),
MATCH(O$18,OP_RatesTU_RES_2[[#Headers],[Ausnet]:[United Energy]],0))*
(INDEX($N$9:$N$13,MATCH(IF($D32="Single rate","Annual",$D32),$F$9:$F$13,0),1)/$S$16),"-")</f>
        <v>0</v>
      </c>
      <c r="P32" s="170" cm="1">
        <f t="array" ref="P32">IFERROR(
INDEX(OP_RatesTU_RES_2[[Ausnet]:[United Energy]],
MATCH(1,(OP_RatesTU_RES_2[[Cost element]:[Cost element]]="Environmental")*(OP_RatesTU_RES_2[[Rate name]:[Rate name]]=$D32),0),
MATCH(P$18,OP_RatesTU_RES_2[[#Headers],[Ausnet]:[United Energy]],0))*
(INDEX($N$9:$N$13,MATCH(IF($D32="Single rate","Annual",$D32),$F$9:$F$13,0),1)/$S$16),"-")</f>
        <v>12.996094162452266</v>
      </c>
      <c r="Q32" s="170" cm="1">
        <f t="array" ref="Q32">IFERROR(
INDEX(OP_RatesTU_RES_2[[Ausnet]:[United Energy]],
MATCH(1,(OP_RatesTU_RES_2[[Cost element]:[Cost element]]="Environmental")*(OP_RatesTU_RES_2[[Rate name]:[Rate name]]=$D32),0),
MATCH(Q$18,OP_RatesTU_RES_2[[#Headers],[Ausnet]:[United Energy]],0))*
(INDEX($N$9:$N$13,MATCH(IF($D32="Single rate","Annual",$D32),$F$9:$F$13,0),1)/$S$16),"-")</f>
        <v>12.860333246221057</v>
      </c>
      <c r="R32" s="170" cm="1">
        <f t="array" ref="R32">IFERROR(
INDEX(OP_RatesTU_RES_2[[Ausnet]:[United Energy]],
MATCH(1,(OP_RatesTU_RES_2[[Cost element]:[Cost element]]="Environmental")*(OP_RatesTU_RES_2[[Rate name]:[Rate name]]=$D32),0),
MATCH(R$18,OP_RatesTU_RES_2[[#Headers],[Ausnet]:[United Energy]],0))*
(INDEX($N$9:$N$13,MATCH(IF($D32="Single rate","Annual",$D32),$F$9:$F$13,0),1)/$S$16),"-")</f>
        <v>13.274747413634611</v>
      </c>
      <c r="S32" s="170" cm="1">
        <f t="array" ref="S32">IFERROR(
INDEX(OP_RatesTU_RES_2[[Ausnet]:[United Energy]],
MATCH(1,(OP_RatesTU_RES_2[[Cost element]:[Cost element]]="Environmental")*(OP_RatesTU_RES_2[[Rate name]:[Rate name]]=$D32),0),
MATCH(S$18,OP_RatesTU_RES_2[[#Headers],[Ausnet]:[United Energy]],0))*
(INDEX($N$9:$N$13,MATCH(IF($D32="Single rate","Annual",$D32),$F$9:$F$13,0),1)/$S$16),"-")</f>
        <v>13.04349849250093</v>
      </c>
      <c r="U32" s="170">
        <f t="shared" si="49"/>
        <v>7.6913698106607313</v>
      </c>
      <c r="V32" s="170">
        <f t="shared" si="40"/>
        <v>0</v>
      </c>
      <c r="W32" s="170">
        <f t="shared" si="40"/>
        <v>9.5816646661906884</v>
      </c>
      <c r="X32" s="170">
        <f t="shared" si="40"/>
        <v>9.4637476788744301</v>
      </c>
      <c r="Y32" s="170">
        <f t="shared" si="40"/>
        <v>9.7829031597477076</v>
      </c>
      <c r="Z32" s="170">
        <f t="shared" si="40"/>
        <v>9.6285335484908305</v>
      </c>
      <c r="AB32" s="268">
        <f t="shared" si="41"/>
        <v>5.6471143984293181E-3</v>
      </c>
      <c r="AC32" s="268">
        <f t="shared" si="41"/>
        <v>0</v>
      </c>
      <c r="AD32" s="268">
        <f t="shared" si="41"/>
        <v>7.4449608905910554E-3</v>
      </c>
      <c r="AE32" s="268">
        <f t="shared" si="41"/>
        <v>7.1155997585522031E-3</v>
      </c>
      <c r="AF32" s="268">
        <f t="shared" si="41"/>
        <v>7.0890602606867451E-3</v>
      </c>
      <c r="AG32" s="268">
        <f t="shared" si="41"/>
        <v>7.5164196319210232E-3</v>
      </c>
      <c r="AI32" s="268">
        <f t="shared" si="42"/>
        <v>7.769869443754112E-3</v>
      </c>
      <c r="AJ32" s="268">
        <f t="shared" si="43"/>
        <v>0</v>
      </c>
      <c r="AK32" s="268">
        <f t="shared" si="44"/>
        <v>1.0169087764047157E-2</v>
      </c>
      <c r="AL32" s="268">
        <f t="shared" si="45"/>
        <v>9.7797210997878758E-3</v>
      </c>
      <c r="AM32" s="268">
        <f t="shared" si="46"/>
        <v>9.7752190085674592E-3</v>
      </c>
      <c r="AN32" s="268">
        <f t="shared" si="47"/>
        <v>1.0302921400079724E-2</v>
      </c>
    </row>
    <row r="33" spans="3:40" outlineLevel="1" x14ac:dyDescent="0.25">
      <c r="AB33" s="122"/>
      <c r="AC33" s="122"/>
      <c r="AD33" s="122"/>
      <c r="AE33" s="122"/>
      <c r="AF33" s="122"/>
      <c r="AG33" s="122"/>
      <c r="AI33" s="122"/>
      <c r="AJ33" s="122"/>
      <c r="AK33" s="122"/>
      <c r="AL33" s="122"/>
      <c r="AM33" s="122"/>
      <c r="AN33" s="122"/>
    </row>
    <row r="34" spans="3:40" ht="15.75" outlineLevel="1" x14ac:dyDescent="0.25">
      <c r="D34" s="29" t="s">
        <v>108</v>
      </c>
      <c r="AB34" s="122"/>
      <c r="AC34" s="122"/>
      <c r="AD34" s="122"/>
      <c r="AE34" s="122"/>
      <c r="AF34" s="122"/>
      <c r="AG34" s="122"/>
      <c r="AI34" s="122"/>
      <c r="AJ34" s="122"/>
      <c r="AK34" s="122"/>
      <c r="AL34" s="122"/>
      <c r="AM34" s="122"/>
      <c r="AN34" s="122"/>
    </row>
    <row r="35" spans="3:40" outlineLevel="1" x14ac:dyDescent="0.25">
      <c r="C35" t="s">
        <v>151</v>
      </c>
      <c r="D35" s="59" t="s">
        <v>116</v>
      </c>
      <c r="E35" s="23" t="s">
        <v>108</v>
      </c>
      <c r="G35" s="170">
        <f>AVERAGE(H35:L35)</f>
        <v>13.337821545021233</v>
      </c>
      <c r="H35" s="170">
        <f>INDEX(Calc_FiT_1[[Ausnet]:[United Energy]],MATCH($D35,Calc_FiT_1[[Cost item]:[Cost item]],0),MATCH(H$18,Calc_FiT_1[[#Headers],[Ausnet]:[United Energy]],1))</f>
        <v>13.337821545021233</v>
      </c>
      <c r="I35" s="170">
        <f>INDEX(Calc_FiT_1[[Ausnet]:[United Energy]],MATCH($D35,Calc_FiT_1[[Cost item]:[Cost item]],0),MATCH(I$18,Calc_FiT_1[[#Headers],[Ausnet]:[United Energy]],1))</f>
        <v>13.337821545021233</v>
      </c>
      <c r="J35" s="170">
        <f>INDEX(Calc_FiT_1[[Ausnet]:[United Energy]],MATCH($D35,Calc_FiT_1[[Cost item]:[Cost item]],0),MATCH(J$18,Calc_FiT_1[[#Headers],[Ausnet]:[United Energy]],1))</f>
        <v>13.337821545021233</v>
      </c>
      <c r="K35" s="170">
        <f>INDEX(Calc_FiT_1[[Ausnet]:[United Energy]],MATCH($D35,Calc_FiT_1[[Cost item]:[Cost item]],0),MATCH(K$18,Calc_FiT_1[[#Headers],[Ausnet]:[United Energy]],1))</f>
        <v>13.337821545021233</v>
      </c>
      <c r="L35" s="170">
        <f>INDEX(Calc_FiT_1[[Ausnet]:[United Energy]],MATCH($D35,Calc_FiT_1[[Cost item]:[Cost item]],0),MATCH(L$18,Calc_FiT_1[[#Headers],[Ausnet]:[United Energy]],1))</f>
        <v>13.337821545021233</v>
      </c>
      <c r="N35" s="170">
        <f>AVERAGE(O35:S35)</f>
        <v>13.337821545021233</v>
      </c>
      <c r="O35" s="170">
        <f>INDEX(Calc_FiT_2[[Ausnet]:[United Energy]],MATCH($D35,Calc_FiT_2[[Cost item]:[Cost item]],0),MATCH(O$18,Calc_FiT_2[[#Headers],[Ausnet]:[United Energy]],1))</f>
        <v>13.337821545021233</v>
      </c>
      <c r="P35" s="170">
        <f>INDEX(Calc_FiT_2[[Ausnet]:[United Energy]],MATCH($D35,Calc_FiT_2[[Cost item]:[Cost item]],0),MATCH(P$18,Calc_FiT_2[[#Headers],[Ausnet]:[United Energy]],1))</f>
        <v>13.337821545021233</v>
      </c>
      <c r="Q35" s="170">
        <f>INDEX(Calc_FiT_2[[Ausnet]:[United Energy]],MATCH($D35,Calc_FiT_2[[Cost item]:[Cost item]],0),MATCH(Q$18,Calc_FiT_2[[#Headers],[Ausnet]:[United Energy]],1))</f>
        <v>13.337821545021233</v>
      </c>
      <c r="R35" s="170">
        <f>INDEX(Calc_FiT_2[[Ausnet]:[United Energy]],MATCH($D35,Calc_FiT_2[[Cost item]:[Cost item]],0),MATCH(R$18,Calc_FiT_2[[#Headers],[Ausnet]:[United Energy]],1))</f>
        <v>13.337821545021233</v>
      </c>
      <c r="S35" s="170">
        <f>INDEX(Calc_FiT_2[[Ausnet]:[United Energy]],MATCH($D35,Calc_FiT_2[[Cost item]:[Cost item]],0),MATCH(S$18,Calc_FiT_2[[#Headers],[Ausnet]:[United Energy]],1))</f>
        <v>13.337821545021233</v>
      </c>
      <c r="U35" s="170">
        <f>IFERROR(N35-G35,"-")</f>
        <v>0</v>
      </c>
      <c r="V35" s="170">
        <f t="shared" ref="V35:Z35" si="51">IFERROR(O35-H35,"-")</f>
        <v>0</v>
      </c>
      <c r="W35" s="170">
        <f t="shared" si="51"/>
        <v>0</v>
      </c>
      <c r="X35" s="170">
        <f t="shared" si="51"/>
        <v>0</v>
      </c>
      <c r="Y35" s="170">
        <f t="shared" si="51"/>
        <v>0</v>
      </c>
      <c r="Z35" s="170">
        <f t="shared" si="51"/>
        <v>0</v>
      </c>
      <c r="AB35" s="268">
        <f>IFERROR(U35/G$20,"-")</f>
        <v>0</v>
      </c>
      <c r="AC35" s="268">
        <f t="shared" ref="AC35:AD35" si="52">IFERROR(V35/H$20,"-")</f>
        <v>0</v>
      </c>
      <c r="AD35" s="268">
        <f t="shared" si="52"/>
        <v>0</v>
      </c>
      <c r="AE35" s="268">
        <f>IFERROR(X35/J$20,"-")</f>
        <v>0</v>
      </c>
      <c r="AF35" s="268">
        <f t="shared" ref="AF35:AG35" si="53">IFERROR(Y35/K$20,"-")</f>
        <v>0</v>
      </c>
      <c r="AG35" s="268">
        <f t="shared" si="53"/>
        <v>0</v>
      </c>
      <c r="AI35" s="268">
        <f>IFERROR(N35/N$20,"-")</f>
        <v>9.931363771423108E-3</v>
      </c>
      <c r="AJ35" s="268">
        <f t="shared" ref="AJ35" si="54">IFERROR(O35/O$20,"-")</f>
        <v>8.927591395596542E-3</v>
      </c>
      <c r="AK35" s="268">
        <f t="shared" ref="AK35" si="55">IFERROR(P35/P$20,"-")</f>
        <v>1.0436480082176239E-2</v>
      </c>
      <c r="AL35" s="268">
        <f t="shared" ref="AL35" si="56">IFERROR(Q35/Q$20,"-")</f>
        <v>1.0142830072259494E-2</v>
      </c>
      <c r="AM35" s="268">
        <f t="shared" ref="AM35" si="57">IFERROR(R35/R$20,"-")</f>
        <v>9.821665349794723E-3</v>
      </c>
      <c r="AN35" s="268">
        <f t="shared" ref="AN35" si="58">IFERROR(S35/S$20,"-")</f>
        <v>1.0535404063997814E-2</v>
      </c>
    </row>
    <row r="36" spans="3:40" outlineLevel="1" x14ac:dyDescent="0.25">
      <c r="AB36" s="122"/>
      <c r="AC36" s="122"/>
      <c r="AD36" s="122"/>
      <c r="AE36" s="122"/>
      <c r="AF36" s="122"/>
      <c r="AG36" s="122"/>
      <c r="AI36" s="122"/>
      <c r="AJ36" s="122"/>
      <c r="AK36" s="122"/>
      <c r="AL36" s="122"/>
      <c r="AM36" s="122"/>
      <c r="AN36" s="122"/>
    </row>
    <row r="37" spans="3:40" outlineLevel="1" x14ac:dyDescent="0.25">
      <c r="C37" t="s">
        <v>273</v>
      </c>
      <c r="D37" s="23" t="s">
        <v>117</v>
      </c>
      <c r="E37" s="23" t="s">
        <v>108</v>
      </c>
      <c r="G37" s="170">
        <f t="shared" ref="G37:G40" si="59">AVERAGE(H37:L37)</f>
        <v>2.1846287133781956</v>
      </c>
      <c r="H37" s="170">
        <f>INDEX(Calc_OtherCosts_1[[Ausnet]:[United Energy]],MATCH($D37,Calc_OtherCosts_1[[Cost item]:[Cost item]],0),MATCH(H$18,Calc_OtherCosts_1[[#Headers],[Ausnet]:[United Energy]],0))</f>
        <v>2.1846287133781956</v>
      </c>
      <c r="I37" s="170">
        <f>INDEX(Calc_OtherCosts_1[[Ausnet]:[United Energy]],MATCH($D37,Calc_OtherCosts_1[[Cost item]:[Cost item]],0),MATCH(I$18,Calc_OtherCosts_1[[#Headers],[Ausnet]:[United Energy]],0))</f>
        <v>2.1846287133781956</v>
      </c>
      <c r="J37" s="170">
        <f>INDEX(Calc_OtherCosts_1[[Ausnet]:[United Energy]],MATCH($D37,Calc_OtherCosts_1[[Cost item]:[Cost item]],0),MATCH(J$18,Calc_OtherCosts_1[[#Headers],[Ausnet]:[United Energy]],0))</f>
        <v>2.1846287133781956</v>
      </c>
      <c r="K37" s="170">
        <f>INDEX(Calc_OtherCosts_1[[Ausnet]:[United Energy]],MATCH($D37,Calc_OtherCosts_1[[Cost item]:[Cost item]],0),MATCH(K$18,Calc_OtherCosts_1[[#Headers],[Ausnet]:[United Energy]],0))</f>
        <v>2.1846287133781956</v>
      </c>
      <c r="L37" s="170">
        <f>INDEX(Calc_OtherCosts_1[[Ausnet]:[United Energy]],MATCH($D37,Calc_OtherCosts_1[[Cost item]:[Cost item]],0),MATCH(L$18,Calc_OtherCosts_1[[#Headers],[Ausnet]:[United Energy]],0))</f>
        <v>2.1846287133781956</v>
      </c>
      <c r="N37" s="170">
        <f t="shared" ref="N37:N40" si="60">AVERAGE(O37:S37)</f>
        <v>2.1558125061118716</v>
      </c>
      <c r="O37" s="170">
        <f>INDEX(Calc_OtherCosts_2[[Ausnet]:[United Energy]],MATCH($D37,Calc_OtherCosts_2[[Cost item]:[Cost item]],0),MATCH(O$18,Calc_OtherCosts_2[[#Headers],[Ausnet]:[United Energy]],0))</f>
        <v>2.1558125061118716</v>
      </c>
      <c r="P37" s="170">
        <f>INDEX(Calc_OtherCosts_2[[Ausnet]:[United Energy]],MATCH($D37,Calc_OtherCosts_2[[Cost item]:[Cost item]],0),MATCH(P$18,Calc_OtherCosts_2[[#Headers],[Ausnet]:[United Energy]],0))</f>
        <v>2.1558125061118716</v>
      </c>
      <c r="Q37" s="170">
        <f>INDEX(Calc_OtherCosts_2[[Ausnet]:[United Energy]],MATCH($D37,Calc_OtherCosts_2[[Cost item]:[Cost item]],0),MATCH(Q$18,Calc_OtherCosts_2[[#Headers],[Ausnet]:[United Energy]],0))</f>
        <v>2.1558125061118716</v>
      </c>
      <c r="R37" s="170">
        <f>INDEX(Calc_OtherCosts_2[[Ausnet]:[United Energy]],MATCH($D37,Calc_OtherCosts_2[[Cost item]:[Cost item]],0),MATCH(R$18,Calc_OtherCosts_2[[#Headers],[Ausnet]:[United Energy]],0))</f>
        <v>2.1558125061118716</v>
      </c>
      <c r="S37" s="170">
        <f>INDEX(Calc_OtherCosts_2[[Ausnet]:[United Energy]],MATCH($D37,Calc_OtherCosts_2[[Cost item]:[Cost item]],0),MATCH(S$18,Calc_OtherCosts_2[[#Headers],[Ausnet]:[United Energy]],0))</f>
        <v>2.1558125061118716</v>
      </c>
      <c r="U37" s="170">
        <f t="shared" ref="U37:Z40" si="61">IFERROR(N37-G37,"-")</f>
        <v>-2.8816207266324056E-2</v>
      </c>
      <c r="V37" s="170">
        <f t="shared" si="61"/>
        <v>-2.8816207266324056E-2</v>
      </c>
      <c r="W37" s="170">
        <f t="shared" si="61"/>
        <v>-2.8816207266324056E-2</v>
      </c>
      <c r="X37" s="170">
        <f t="shared" si="61"/>
        <v>-2.8816207266324056E-2</v>
      </c>
      <c r="Y37" s="170">
        <f t="shared" si="61"/>
        <v>-2.8816207266324056E-2</v>
      </c>
      <c r="Z37" s="170">
        <f t="shared" si="61"/>
        <v>-2.8816207266324056E-2</v>
      </c>
      <c r="AB37" s="268">
        <f t="shared" ref="AB37:AG40" si="62">IFERROR(U37/G$20,"-")</f>
        <v>-2.1157274057506649E-5</v>
      </c>
      <c r="AC37" s="268">
        <f t="shared" si="62"/>
        <v>-1.8858774388955536E-5</v>
      </c>
      <c r="AD37" s="268">
        <f t="shared" si="62"/>
        <v>-2.2390215436149227E-5</v>
      </c>
      <c r="AE37" s="268">
        <f t="shared" si="62"/>
        <v>-2.1666321252875229E-5</v>
      </c>
      <c r="AF37" s="268">
        <f t="shared" si="62"/>
        <v>-2.0881309613278302E-5</v>
      </c>
      <c r="AG37" s="268">
        <f t="shared" si="62"/>
        <v>-2.2495087639597233E-5</v>
      </c>
      <c r="AI37" s="268">
        <f t="shared" ref="AI37:AI40" si="63">IFERROR(N37/N$20,"-")</f>
        <v>1.6052215235382514E-3</v>
      </c>
      <c r="AJ37" s="268">
        <f t="shared" ref="AJ37:AJ40" si="64">IFERROR(O37/O$20,"-")</f>
        <v>1.4429802584416812E-3</v>
      </c>
      <c r="AK37" s="268">
        <f t="shared" ref="AK37:AK40" si="65">IFERROR(P37/P$20,"-")</f>
        <v>1.686864245783937E-3</v>
      </c>
      <c r="AL37" s="268">
        <f t="shared" ref="AL37:AL40" si="66">IFERROR(Q37/Q$20,"-")</f>
        <v>1.6394011453322217E-3</v>
      </c>
      <c r="AM37" s="268">
        <f t="shared" ref="AM37:AM40" si="67">IFERROR(R37/R$20,"-")</f>
        <v>1.5874907997878288E-3</v>
      </c>
      <c r="AN37" s="268">
        <f t="shared" ref="AN37:AN40" si="68">IFERROR(S37/S$20,"-")</f>
        <v>1.7028534803411309E-3</v>
      </c>
    </row>
    <row r="38" spans="3:40" outlineLevel="1" x14ac:dyDescent="0.25">
      <c r="C38" t="s">
        <v>273</v>
      </c>
      <c r="D38" s="23" t="s">
        <v>118</v>
      </c>
      <c r="E38" s="23" t="s">
        <v>108</v>
      </c>
      <c r="G38" s="170">
        <f t="shared" si="59"/>
        <v>0</v>
      </c>
      <c r="H38" s="170">
        <f>INDEX(Calc_OtherCosts_1[[Ausnet]:[United Energy]],MATCH($D38,Calc_OtherCosts_1[[Cost item]:[Cost item]],0),MATCH(H$18,Calc_OtherCosts_1[[#Headers],[Ausnet]:[United Energy]],0))</f>
        <v>0</v>
      </c>
      <c r="I38" s="170">
        <f>INDEX(Calc_OtherCosts_1[[Ausnet]:[United Energy]],MATCH($D38,Calc_OtherCosts_1[[Cost item]:[Cost item]],0),MATCH(I$18,Calc_OtherCosts_1[[#Headers],[Ausnet]:[United Energy]],0))</f>
        <v>0</v>
      </c>
      <c r="J38" s="170">
        <f>INDEX(Calc_OtherCosts_1[[Ausnet]:[United Energy]],MATCH($D38,Calc_OtherCosts_1[[Cost item]:[Cost item]],0),MATCH(J$18,Calc_OtherCosts_1[[#Headers],[Ausnet]:[United Energy]],0))</f>
        <v>0</v>
      </c>
      <c r="K38" s="170">
        <f>INDEX(Calc_OtherCosts_1[[Ausnet]:[United Energy]],MATCH($D38,Calc_OtherCosts_1[[Cost item]:[Cost item]],0),MATCH(K$18,Calc_OtherCosts_1[[#Headers],[Ausnet]:[United Energy]],0))</f>
        <v>0</v>
      </c>
      <c r="L38" s="170">
        <f>INDEX(Calc_OtherCosts_1[[Ausnet]:[United Energy]],MATCH($D38,Calc_OtherCosts_1[[Cost item]:[Cost item]],0),MATCH(L$18,Calc_OtherCosts_1[[#Headers],[Ausnet]:[United Energy]],0))</f>
        <v>0</v>
      </c>
      <c r="N38" s="170">
        <f t="shared" si="60"/>
        <v>0</v>
      </c>
      <c r="O38" s="170">
        <f>INDEX(Calc_OtherCosts_2[[Ausnet]:[United Energy]],MATCH($D38,Calc_OtherCosts_2[[Cost item]:[Cost item]],0),MATCH(O$18,Calc_OtherCosts_2[[#Headers],[Ausnet]:[United Energy]],0))</f>
        <v>0</v>
      </c>
      <c r="P38" s="170">
        <f>INDEX(Calc_OtherCosts_2[[Ausnet]:[United Energy]],MATCH($D38,Calc_OtherCosts_2[[Cost item]:[Cost item]],0),MATCH(P$18,Calc_OtherCosts_2[[#Headers],[Ausnet]:[United Energy]],0))</f>
        <v>0</v>
      </c>
      <c r="Q38" s="170">
        <f>INDEX(Calc_OtherCosts_2[[Ausnet]:[United Energy]],MATCH($D38,Calc_OtherCosts_2[[Cost item]:[Cost item]],0),MATCH(Q$18,Calc_OtherCosts_2[[#Headers],[Ausnet]:[United Energy]],0))</f>
        <v>0</v>
      </c>
      <c r="R38" s="170">
        <f>INDEX(Calc_OtherCosts_2[[Ausnet]:[United Energy]],MATCH($D38,Calc_OtherCosts_2[[Cost item]:[Cost item]],0),MATCH(R$18,Calc_OtherCosts_2[[#Headers],[Ausnet]:[United Energy]],0))</f>
        <v>0</v>
      </c>
      <c r="S38" s="170">
        <f>INDEX(Calc_OtherCosts_2[[Ausnet]:[United Energy]],MATCH($D38,Calc_OtherCosts_2[[Cost item]:[Cost item]],0),MATCH(S$18,Calc_OtherCosts_2[[#Headers],[Ausnet]:[United Energy]],0))</f>
        <v>0</v>
      </c>
      <c r="U38" s="170">
        <f t="shared" si="61"/>
        <v>0</v>
      </c>
      <c r="V38" s="170">
        <f t="shared" si="61"/>
        <v>0</v>
      </c>
      <c r="W38" s="170">
        <f t="shared" si="61"/>
        <v>0</v>
      </c>
      <c r="X38" s="170">
        <f t="shared" si="61"/>
        <v>0</v>
      </c>
      <c r="Y38" s="170">
        <f t="shared" si="61"/>
        <v>0</v>
      </c>
      <c r="Z38" s="170">
        <f t="shared" si="61"/>
        <v>0</v>
      </c>
      <c r="AB38" s="268">
        <f t="shared" si="62"/>
        <v>0</v>
      </c>
      <c r="AC38" s="268">
        <f t="shared" si="62"/>
        <v>0</v>
      </c>
      <c r="AD38" s="268">
        <f t="shared" si="62"/>
        <v>0</v>
      </c>
      <c r="AE38" s="268">
        <f t="shared" si="62"/>
        <v>0</v>
      </c>
      <c r="AF38" s="268">
        <f t="shared" si="62"/>
        <v>0</v>
      </c>
      <c r="AG38" s="268">
        <f t="shared" si="62"/>
        <v>0</v>
      </c>
      <c r="AI38" s="268">
        <f t="shared" si="63"/>
        <v>0</v>
      </c>
      <c r="AJ38" s="268">
        <f t="shared" si="64"/>
        <v>0</v>
      </c>
      <c r="AK38" s="268">
        <f t="shared" si="65"/>
        <v>0</v>
      </c>
      <c r="AL38" s="268">
        <f t="shared" si="66"/>
        <v>0</v>
      </c>
      <c r="AM38" s="268">
        <f t="shared" si="67"/>
        <v>0</v>
      </c>
      <c r="AN38" s="268">
        <f t="shared" si="68"/>
        <v>0</v>
      </c>
    </row>
    <row r="39" spans="3:40" outlineLevel="1" x14ac:dyDescent="0.25">
      <c r="C39" t="s">
        <v>273</v>
      </c>
      <c r="D39" s="59" t="s">
        <v>724</v>
      </c>
      <c r="E39" s="23" t="s">
        <v>108</v>
      </c>
      <c r="G39" s="170">
        <f t="shared" si="59"/>
        <v>0.62916717171717162</v>
      </c>
      <c r="H39" s="170">
        <f>INDEX(Calc_OtherCosts_1[[Ausnet]:[United Energy]],MATCH($D39,Calc_OtherCosts_1[[Cost item]:[Cost item]],0),MATCH(H$18,Calc_OtherCosts_1[[#Headers],[Ausnet]:[United Energy]],0))</f>
        <v>0.62916717171717162</v>
      </c>
      <c r="I39" s="170">
        <f>INDEX(Calc_OtherCosts_1[[Ausnet]:[United Energy]],MATCH($D39,Calc_OtherCosts_1[[Cost item]:[Cost item]],0),MATCH(I$18,Calc_OtherCosts_1[[#Headers],[Ausnet]:[United Energy]],0))</f>
        <v>0.62916717171717162</v>
      </c>
      <c r="J39" s="170">
        <f>INDEX(Calc_OtherCosts_1[[Ausnet]:[United Energy]],MATCH($D39,Calc_OtherCosts_1[[Cost item]:[Cost item]],0),MATCH(J$18,Calc_OtherCosts_1[[#Headers],[Ausnet]:[United Energy]],0))</f>
        <v>0.62916717171717162</v>
      </c>
      <c r="K39" s="170">
        <f>INDEX(Calc_OtherCosts_1[[Ausnet]:[United Energy]],MATCH($D39,Calc_OtherCosts_1[[Cost item]:[Cost item]],0),MATCH(K$18,Calc_OtherCosts_1[[#Headers],[Ausnet]:[United Energy]],0))</f>
        <v>0.62916717171717162</v>
      </c>
      <c r="L39" s="170">
        <f>INDEX(Calc_OtherCosts_1[[Ausnet]:[United Energy]],MATCH($D39,Calc_OtherCosts_1[[Cost item]:[Cost item]],0),MATCH(L$18,Calc_OtherCosts_1[[#Headers],[Ausnet]:[United Energy]],0))</f>
        <v>0.62916717171717162</v>
      </c>
      <c r="N39" s="170">
        <f t="shared" si="60"/>
        <v>0.61619999999999997</v>
      </c>
      <c r="O39" s="170">
        <f>INDEX(Calc_OtherCosts_2[[Ausnet]:[United Energy]],MATCH($D39,Calc_OtherCosts_2[[Cost item]:[Cost item]],0),MATCH(O$18,Calc_OtherCosts_2[[#Headers],[Ausnet]:[United Energy]],0))</f>
        <v>0.61619999999999997</v>
      </c>
      <c r="P39" s="170">
        <f>INDEX(Calc_OtherCosts_2[[Ausnet]:[United Energy]],MATCH($D39,Calc_OtherCosts_2[[Cost item]:[Cost item]],0),MATCH(P$18,Calc_OtherCosts_2[[#Headers],[Ausnet]:[United Energy]],0))</f>
        <v>0.61619999999999997</v>
      </c>
      <c r="Q39" s="170">
        <f>INDEX(Calc_OtherCosts_2[[Ausnet]:[United Energy]],MATCH($D39,Calc_OtherCosts_2[[Cost item]:[Cost item]],0),MATCH(Q$18,Calc_OtherCosts_2[[#Headers],[Ausnet]:[United Energy]],0))</f>
        <v>0.61619999999999997</v>
      </c>
      <c r="R39" s="170">
        <f>INDEX(Calc_OtherCosts_2[[Ausnet]:[United Energy]],MATCH($D39,Calc_OtherCosts_2[[Cost item]:[Cost item]],0),MATCH(R$18,Calc_OtherCosts_2[[#Headers],[Ausnet]:[United Energy]],0))</f>
        <v>0.61619999999999997</v>
      </c>
      <c r="S39" s="170">
        <f>INDEX(Calc_OtherCosts_2[[Ausnet]:[United Energy]],MATCH($D39,Calc_OtherCosts_2[[Cost item]:[Cost item]],0),MATCH(S$18,Calc_OtherCosts_2[[#Headers],[Ausnet]:[United Energy]],0))</f>
        <v>0.61619999999999997</v>
      </c>
      <c r="U39" s="170">
        <f t="shared" si="61"/>
        <v>-1.2967171717171655E-2</v>
      </c>
      <c r="V39" s="170">
        <f t="shared" si="61"/>
        <v>-1.2967171717171655E-2</v>
      </c>
      <c r="W39" s="170">
        <f t="shared" si="61"/>
        <v>-1.2967171717171655E-2</v>
      </c>
      <c r="X39" s="170">
        <f t="shared" si="61"/>
        <v>-1.2967171717171655E-2</v>
      </c>
      <c r="Y39" s="170">
        <f t="shared" si="61"/>
        <v>-1.2967171717171655E-2</v>
      </c>
      <c r="Z39" s="170">
        <f t="shared" si="61"/>
        <v>-1.2967171717171655E-2</v>
      </c>
      <c r="AB39" s="268">
        <f t="shared" si="62"/>
        <v>-9.5206840801554001E-6</v>
      </c>
      <c r="AC39" s="268">
        <f t="shared" si="62"/>
        <v>-8.4863689248505601E-6</v>
      </c>
      <c r="AD39" s="268">
        <f t="shared" si="62"/>
        <v>-1.0075502499744876E-5</v>
      </c>
      <c r="AE39" s="268">
        <f t="shared" si="62"/>
        <v>-9.7497531708057549E-6</v>
      </c>
      <c r="AF39" s="268">
        <f t="shared" si="62"/>
        <v>-9.3965012443272855E-6</v>
      </c>
      <c r="AG39" s="268">
        <f t="shared" si="62"/>
        <v>-1.0122694548924009E-5</v>
      </c>
      <c r="AI39" s="268">
        <f t="shared" si="63"/>
        <v>4.5882352941176467E-4</v>
      </c>
      <c r="AJ39" s="268">
        <f t="shared" si="64"/>
        <v>4.1244979919678715E-4</v>
      </c>
      <c r="AK39" s="268">
        <f t="shared" si="65"/>
        <v>4.821596244131455E-4</v>
      </c>
      <c r="AL39" s="268">
        <f t="shared" si="66"/>
        <v>4.6859315589353609E-4</v>
      </c>
      <c r="AM39" s="268">
        <f t="shared" si="67"/>
        <v>4.5375552282768774E-4</v>
      </c>
      <c r="AN39" s="268">
        <f t="shared" si="68"/>
        <v>4.8672985781990521E-4</v>
      </c>
    </row>
    <row r="40" spans="3:40" outlineLevel="1" x14ac:dyDescent="0.25">
      <c r="C40" t="s">
        <v>273</v>
      </c>
      <c r="D40" s="23" t="s">
        <v>120</v>
      </c>
      <c r="E40" s="23" t="s">
        <v>108</v>
      </c>
      <c r="G40" s="170">
        <f t="shared" si="59"/>
        <v>1.3762036363636363</v>
      </c>
      <c r="H40" s="170">
        <f>INDEX(Calc_OtherCosts_1[[Ausnet]:[United Energy]],MATCH($D40,Calc_OtherCosts_1[[Cost item]:[Cost item]],0),MATCH(H$18,Calc_OtherCosts_1[[#Headers],[Ausnet]:[United Energy]],0))</f>
        <v>1.3762036363636363</v>
      </c>
      <c r="I40" s="170">
        <f>INDEX(Calc_OtherCosts_1[[Ausnet]:[United Energy]],MATCH($D40,Calc_OtherCosts_1[[Cost item]:[Cost item]],0),MATCH(I$18,Calc_OtherCosts_1[[#Headers],[Ausnet]:[United Energy]],0))</f>
        <v>1.3762036363636363</v>
      </c>
      <c r="J40" s="170">
        <f>INDEX(Calc_OtherCosts_1[[Ausnet]:[United Energy]],MATCH($D40,Calc_OtherCosts_1[[Cost item]:[Cost item]],0),MATCH(J$18,Calc_OtherCosts_1[[#Headers],[Ausnet]:[United Energy]],0))</f>
        <v>1.3762036363636363</v>
      </c>
      <c r="K40" s="170">
        <f>INDEX(Calc_OtherCosts_1[[Ausnet]:[United Energy]],MATCH($D40,Calc_OtherCosts_1[[Cost item]:[Cost item]],0),MATCH(K$18,Calc_OtherCosts_1[[#Headers],[Ausnet]:[United Energy]],0))</f>
        <v>1.3762036363636363</v>
      </c>
      <c r="L40" s="170">
        <f>INDEX(Calc_OtherCosts_1[[Ausnet]:[United Energy]],MATCH($D40,Calc_OtherCosts_1[[Cost item]:[Cost item]],0),MATCH(L$18,Calc_OtherCosts_1[[#Headers],[Ausnet]:[United Energy]],0))</f>
        <v>1.3762036363636363</v>
      </c>
      <c r="N40" s="170">
        <f t="shared" si="60"/>
        <v>1.3478399999999999</v>
      </c>
      <c r="O40" s="170">
        <f>INDEX(Calc_OtherCosts_2[[Ausnet]:[United Energy]],MATCH($D40,Calc_OtherCosts_2[[Cost item]:[Cost item]],0),MATCH(O$18,Calc_OtherCosts_2[[#Headers],[Ausnet]:[United Energy]],0))</f>
        <v>1.3478399999999999</v>
      </c>
      <c r="P40" s="170">
        <f>INDEX(Calc_OtherCosts_2[[Ausnet]:[United Energy]],MATCH($D40,Calc_OtherCosts_2[[Cost item]:[Cost item]],0),MATCH(P$18,Calc_OtherCosts_2[[#Headers],[Ausnet]:[United Energy]],0))</f>
        <v>1.3478399999999999</v>
      </c>
      <c r="Q40" s="170">
        <f>INDEX(Calc_OtherCosts_2[[Ausnet]:[United Energy]],MATCH($D40,Calc_OtherCosts_2[[Cost item]:[Cost item]],0),MATCH(Q$18,Calc_OtherCosts_2[[#Headers],[Ausnet]:[United Energy]],0))</f>
        <v>1.3478399999999999</v>
      </c>
      <c r="R40" s="170">
        <f>INDEX(Calc_OtherCosts_2[[Ausnet]:[United Energy]],MATCH($D40,Calc_OtherCosts_2[[Cost item]:[Cost item]],0),MATCH(R$18,Calc_OtherCosts_2[[#Headers],[Ausnet]:[United Energy]],0))</f>
        <v>1.3478399999999999</v>
      </c>
      <c r="S40" s="170">
        <f>INDEX(Calc_OtherCosts_2[[Ausnet]:[United Energy]],MATCH($D40,Calc_OtherCosts_2[[Cost item]:[Cost item]],0),MATCH(S$18,Calc_OtherCosts_2[[#Headers],[Ausnet]:[United Energy]],0))</f>
        <v>1.3478399999999999</v>
      </c>
      <c r="U40" s="170">
        <f t="shared" si="61"/>
        <v>-2.8363636363636369E-2</v>
      </c>
      <c r="V40" s="170">
        <f t="shared" si="61"/>
        <v>-2.8363636363636369E-2</v>
      </c>
      <c r="W40" s="170">
        <f t="shared" si="61"/>
        <v>-2.8363636363636369E-2</v>
      </c>
      <c r="X40" s="170">
        <f t="shared" si="61"/>
        <v>-2.8363636363636369E-2</v>
      </c>
      <c r="Y40" s="170">
        <f t="shared" si="61"/>
        <v>-2.8363636363636369E-2</v>
      </c>
      <c r="Z40" s="170">
        <f t="shared" si="61"/>
        <v>-2.8363636363636369E-2</v>
      </c>
      <c r="AB40" s="268">
        <f t="shared" si="62"/>
        <v>-2.0824989987985587E-5</v>
      </c>
      <c r="AC40" s="268">
        <f t="shared" si="62"/>
        <v>-1.8562589243217519E-5</v>
      </c>
      <c r="AD40" s="268">
        <f t="shared" si="62"/>
        <v>-2.2038567493112952E-5</v>
      </c>
      <c r="AE40" s="268">
        <f t="shared" si="62"/>
        <v>-2.132604237867396E-5</v>
      </c>
      <c r="AF40" s="268">
        <f t="shared" si="62"/>
        <v>-2.0553359683794469E-5</v>
      </c>
      <c r="AG40" s="268">
        <f t="shared" si="62"/>
        <v>-2.2141792633595915E-5</v>
      </c>
      <c r="AI40" s="268">
        <f t="shared" si="63"/>
        <v>1.0036038719285181E-3</v>
      </c>
      <c r="AJ40" s="268">
        <f t="shared" si="64"/>
        <v>9.0216867469879516E-4</v>
      </c>
      <c r="AK40" s="268">
        <f t="shared" si="65"/>
        <v>1.0546478873239436E-3</v>
      </c>
      <c r="AL40" s="268">
        <f t="shared" si="66"/>
        <v>1.0249733840304181E-3</v>
      </c>
      <c r="AM40" s="268">
        <f t="shared" si="67"/>
        <v>9.9251840942562596E-4</v>
      </c>
      <c r="AN40" s="268">
        <f t="shared" si="68"/>
        <v>1.0646445497630331E-3</v>
      </c>
    </row>
    <row r="41" spans="3:40" outlineLevel="1" x14ac:dyDescent="0.25">
      <c r="AB41" s="122"/>
      <c r="AC41" s="122"/>
      <c r="AD41" s="122"/>
      <c r="AE41" s="122"/>
      <c r="AF41" s="122"/>
      <c r="AG41" s="122"/>
      <c r="AI41" s="122"/>
      <c r="AJ41" s="122"/>
      <c r="AK41" s="122"/>
      <c r="AL41" s="122"/>
      <c r="AM41" s="122"/>
      <c r="AN41" s="122"/>
    </row>
    <row r="42" spans="3:40" outlineLevel="1" x14ac:dyDescent="0.25">
      <c r="C42" t="s">
        <v>121</v>
      </c>
      <c r="D42" s="23" t="s">
        <v>550</v>
      </c>
      <c r="E42" s="59" t="s">
        <v>108</v>
      </c>
      <c r="G42" s="170">
        <f t="shared" ref="G42:G43" si="69">AVERAGE(H42:L42)</f>
        <v>100.6601</v>
      </c>
      <c r="H42" s="170" cm="1">
        <f t="array" ref="H42">INDEX(Calc_NetworkF_1[[Ausnet]:[United Energy]],MATCH(1,(Calc_NetworkF_1[[Cost item]:[Cost item]]=$D42)*(Calc_NetworkF_1[[Customer type]:[Customer type]]=$E$7),0),MATCH(H$18,Calc_NetworkF_1[[#Headers],[Ausnet]:[United Energy]],0))</f>
        <v>111.11</v>
      </c>
      <c r="I42" s="170" cm="1">
        <f t="array" ref="I42">INDEX(Calc_NetworkF_1[[Ausnet]:[United Energy]],MATCH(1,(Calc_NetworkF_1[[Cost item]:[Cost item]]=$D42)*(Calc_NetworkF_1[[Customer type]:[Customer type]]=$E$7),0),MATCH(I$18,Calc_NetworkF_1[[#Headers],[Ausnet]:[United Energy]],0))</f>
        <v>90.009</v>
      </c>
      <c r="J42" s="170" cm="1">
        <f t="array" ref="J42">INDEX(Calc_NetworkF_1[[Ausnet]:[United Energy]],MATCH(1,(Calc_NetworkF_1[[Cost item]:[Cost item]]=$D42)*(Calc_NetworkF_1[[Customer type]:[Customer type]]=$E$7),0),MATCH(J$18,Calc_NetworkF_1[[#Headers],[Ausnet]:[United Energy]],0))</f>
        <v>82.195999999999998</v>
      </c>
      <c r="K42" s="170" cm="1">
        <f t="array" ref="K42">INDEX(Calc_NetworkF_1[[Ausnet]:[United Energy]],MATCH(1,(Calc_NetworkF_1[[Cost item]:[Cost item]]=$D42)*(Calc_NetworkF_1[[Customer type]:[Customer type]]=$E$7),0),MATCH(K$18,Calc_NetworkF_1[[#Headers],[Ausnet]:[United Energy]],0))</f>
        <v>139.97749999999999</v>
      </c>
      <c r="L42" s="170" cm="1">
        <f t="array" ref="L42">INDEX(Calc_NetworkF_1[[Ausnet]:[United Energy]],MATCH(1,(Calc_NetworkF_1[[Cost item]:[Cost item]]=$D42)*(Calc_NetworkF_1[[Customer type]:[Customer type]]=$E$7),0),MATCH(L$18,Calc_NetworkF_1[[#Headers],[Ausnet]:[United Energy]],0))</f>
        <v>80.007999999999996</v>
      </c>
      <c r="N42" s="170">
        <f t="shared" ref="N42:N43" si="70">AVERAGE(O42:S42)</f>
        <v>100.6601</v>
      </c>
      <c r="O42" s="170" cm="1">
        <f t="array" ref="O42">INDEX(Calc_NetworkF_2[[Ausnet]:[United Energy]],MATCH(1,(Calc_NetworkF_2[[Cost item]:[Cost item]]=$D42)*(Calc_NetworkF_2[[Customer type]:[Customer type]]=$E$7),0),MATCH(O$18,Calc_NetworkF_2[[#Headers],[Ausnet]:[United Energy]],0))</f>
        <v>111.11</v>
      </c>
      <c r="P42" s="170" cm="1">
        <f t="array" ref="P42">INDEX(Calc_NetworkF_2[[Ausnet]:[United Energy]],MATCH(1,(Calc_NetworkF_2[[Cost item]:[Cost item]]=$D42)*(Calc_NetworkF_2[[Customer type]:[Customer type]]=$E$7),0),MATCH(P$18,Calc_NetworkF_2[[#Headers],[Ausnet]:[United Energy]],0))</f>
        <v>90.009</v>
      </c>
      <c r="Q42" s="170" cm="1">
        <f t="array" ref="Q42">INDEX(Calc_NetworkF_2[[Ausnet]:[United Energy]],MATCH(1,(Calc_NetworkF_2[[Cost item]:[Cost item]]=$D42)*(Calc_NetworkF_2[[Customer type]:[Customer type]]=$E$7),0),MATCH(Q$18,Calc_NetworkF_2[[#Headers],[Ausnet]:[United Energy]],0))</f>
        <v>82.195999999999998</v>
      </c>
      <c r="R42" s="170" cm="1">
        <f t="array" ref="R42">INDEX(Calc_NetworkF_2[[Ausnet]:[United Energy]],MATCH(1,(Calc_NetworkF_2[[Cost item]:[Cost item]]=$D42)*(Calc_NetworkF_2[[Customer type]:[Customer type]]=$E$7),0),MATCH(R$18,Calc_NetworkF_2[[#Headers],[Ausnet]:[United Energy]],0))</f>
        <v>139.97749999999999</v>
      </c>
      <c r="S42" s="170" cm="1">
        <f t="array" ref="S42">INDEX(Calc_NetworkF_2[[Ausnet]:[United Energy]],MATCH(1,(Calc_NetworkF_2[[Cost item]:[Cost item]]=$D42)*(Calc_NetworkF_2[[Customer type]:[Customer type]]=$E$7),0),MATCH(S$18,Calc_NetworkF_2[[#Headers],[Ausnet]:[United Energy]],0))</f>
        <v>80.007999999999996</v>
      </c>
      <c r="U42" s="170">
        <f t="shared" ref="U42:Z43" si="71">IFERROR(N42-G42,"-")</f>
        <v>0</v>
      </c>
      <c r="V42" s="170">
        <f t="shared" si="71"/>
        <v>0</v>
      </c>
      <c r="W42" s="170">
        <f t="shared" si="71"/>
        <v>0</v>
      </c>
      <c r="X42" s="170">
        <f t="shared" si="71"/>
        <v>0</v>
      </c>
      <c r="Y42" s="170">
        <f t="shared" si="71"/>
        <v>0</v>
      </c>
      <c r="Z42" s="170">
        <f t="shared" si="71"/>
        <v>0</v>
      </c>
      <c r="AB42" s="268">
        <f t="shared" ref="AB42:AG43" si="72">IFERROR(U42/G$20,"-")</f>
        <v>0</v>
      </c>
      <c r="AC42" s="268">
        <f t="shared" si="72"/>
        <v>0</v>
      </c>
      <c r="AD42" s="268">
        <f t="shared" si="72"/>
        <v>0</v>
      </c>
      <c r="AE42" s="268">
        <f t="shared" si="72"/>
        <v>0</v>
      </c>
      <c r="AF42" s="268">
        <f t="shared" si="72"/>
        <v>0</v>
      </c>
      <c r="AG42" s="268">
        <f t="shared" si="72"/>
        <v>0</v>
      </c>
      <c r="AI42" s="268">
        <f t="shared" ref="AI42:AI43" si="73">IFERROR(N42/N$20,"-")</f>
        <v>7.4951675353685784E-2</v>
      </c>
      <c r="AJ42" s="268">
        <f t="shared" ref="AJ42:AJ43" si="74">IFERROR(O42/O$20,"-")</f>
        <v>7.4370816599732256E-2</v>
      </c>
      <c r="AK42" s="268">
        <f t="shared" ref="AK42:AK43" si="75">IFERROR(P42/P$20,"-")</f>
        <v>7.0429577464788728E-2</v>
      </c>
      <c r="AL42" s="268">
        <f t="shared" ref="AL42:AL43" si="76">IFERROR(Q42/Q$20,"-")</f>
        <v>6.2506463878326993E-2</v>
      </c>
      <c r="AM42" s="268">
        <f t="shared" ref="AM42:AM43" si="77">IFERROR(R42/R$20,"-")</f>
        <v>0.1030762150220913</v>
      </c>
      <c r="AN42" s="268">
        <f t="shared" ref="AN42:AN43" si="78">IFERROR(S42/S$20,"-")</f>
        <v>6.3197472353870451E-2</v>
      </c>
    </row>
    <row r="43" spans="3:40" outlineLevel="1" x14ac:dyDescent="0.25">
      <c r="C43" t="s">
        <v>121</v>
      </c>
      <c r="D43" s="59" t="s">
        <v>275</v>
      </c>
      <c r="E43" s="59" t="s">
        <v>108</v>
      </c>
      <c r="G43" s="170">
        <f t="shared" si="69"/>
        <v>58.88740616527069</v>
      </c>
      <c r="H43" s="170">
        <f>INDEX(Calc_NetworkF_1[[Ausnet]:[United Energy]],MATCH($D43,Calc_NetworkF_1[[Cost item]:[Cost item]],0),MATCH(H$18,Calc_NetworkF_1[[#Headers],[Ausnet]:[United Energy]],0))</f>
        <v>72.901836379042152</v>
      </c>
      <c r="I43" s="170">
        <f>INDEX(Calc_NetworkF_1[[Ausnet]:[United Energy]],MATCH($D43,Calc_NetworkF_1[[Cost item]:[Cost item]],0),MATCH(I$18,Calc_NetworkF_1[[#Headers],[Ausnet]:[United Energy]],0))</f>
        <v>62.513688088390346</v>
      </c>
      <c r="J43" s="170">
        <f>INDEX(Calc_NetworkF_1[[Ausnet]:[United Energy]],MATCH($D43,Calc_NetworkF_1[[Cost item]:[Cost item]],0),MATCH(J$18,Calc_NetworkF_1[[#Headers],[Ausnet]:[United Energy]],0))</f>
        <v>55.822653689249755</v>
      </c>
      <c r="K43" s="170">
        <f>INDEX(Calc_NetworkF_1[[Ausnet]:[United Energy]],MATCH($D43,Calc_NetworkF_1[[Cost item]:[Cost item]],0),MATCH(K$18,Calc_NetworkF_1[[#Headers],[Ausnet]:[United Energy]],0))</f>
        <v>59.390794631454334</v>
      </c>
      <c r="L43" s="170">
        <f>INDEX(Calc_NetworkF_1[[Ausnet]:[United Energy]],MATCH($D43,Calc_NetworkF_1[[Cost item]:[Cost item]],0),MATCH(L$18,Calc_NetworkF_1[[#Headers],[Ausnet]:[United Energy]],0))</f>
        <v>43.808058038216856</v>
      </c>
      <c r="N43" s="170">
        <f t="shared" si="70"/>
        <v>55.641999999999996</v>
      </c>
      <c r="O43" s="170">
        <f>INDEX(Calc_NetworkF_2[[Ausnet]:[United Energy]],MATCH($D43,Calc_NetworkF_2[[Cost item]:[Cost item]],0),MATCH(O$18,Calc_NetworkF_2[[#Headers],[Ausnet]:[United Energy]],0))</f>
        <v>63.7</v>
      </c>
      <c r="P43" s="170">
        <f>INDEX(Calc_NetworkF_2[[Ausnet]:[United Energy]],MATCH($D43,Calc_NetworkF_2[[Cost item]:[Cost item]],0),MATCH(P$18,Calc_NetworkF_2[[#Headers],[Ausnet]:[United Energy]],0))</f>
        <v>59.4</v>
      </c>
      <c r="Q43" s="170">
        <f>INDEX(Calc_NetworkF_2[[Ausnet]:[United Energy]],MATCH($D43,Calc_NetworkF_2[[Cost item]:[Cost item]],0),MATCH(Q$18,Calc_NetworkF_2[[#Headers],[Ausnet]:[United Energy]],0))</f>
        <v>54.19</v>
      </c>
      <c r="R43" s="170">
        <f>INDEX(Calc_NetworkF_2[[Ausnet]:[United Energy]],MATCH($D43,Calc_NetworkF_2[[Cost item]:[Cost item]],0),MATCH(R$18,Calc_NetworkF_2[[#Headers],[Ausnet]:[United Energy]],0))</f>
        <v>58</v>
      </c>
      <c r="S43" s="170">
        <f>INDEX(Calc_NetworkF_2[[Ausnet]:[United Energy]],MATCH($D43,Calc_NetworkF_2[[Cost item]:[Cost item]],0),MATCH(S$18,Calc_NetworkF_2[[#Headers],[Ausnet]:[United Energy]],0))</f>
        <v>42.92</v>
      </c>
      <c r="U43" s="170">
        <f t="shared" si="71"/>
        <v>-3.245406165270694</v>
      </c>
      <c r="V43" s="170">
        <f t="shared" si="71"/>
        <v>-9.2018363790421489</v>
      </c>
      <c r="W43" s="170">
        <f t="shared" si="71"/>
        <v>-3.1136880883903473</v>
      </c>
      <c r="X43" s="170">
        <f t="shared" si="71"/>
        <v>-1.6326536892497572</v>
      </c>
      <c r="Y43" s="170">
        <f t="shared" si="71"/>
        <v>-1.3907946314543338</v>
      </c>
      <c r="Z43" s="170">
        <f t="shared" si="71"/>
        <v>-0.88805803821685458</v>
      </c>
      <c r="AB43" s="268">
        <f t="shared" si="72"/>
        <v>-2.3828239098903775E-3</v>
      </c>
      <c r="AC43" s="268">
        <f t="shared" si="72"/>
        <v>-6.0221442271218249E-3</v>
      </c>
      <c r="AD43" s="268">
        <f t="shared" si="72"/>
        <v>-2.4193380640173639E-3</v>
      </c>
      <c r="AE43" s="268">
        <f t="shared" si="72"/>
        <v>-1.2275591648494414E-3</v>
      </c>
      <c r="AF43" s="268">
        <f t="shared" si="72"/>
        <v>-1.0078221967060391E-3</v>
      </c>
      <c r="AG43" s="268">
        <f t="shared" si="72"/>
        <v>-6.9325373787420337E-4</v>
      </c>
      <c r="AI43" s="268">
        <f t="shared" si="73"/>
        <v>4.1431124348473562E-2</v>
      </c>
      <c r="AJ43" s="268">
        <f t="shared" si="74"/>
        <v>4.2637215528781795E-2</v>
      </c>
      <c r="AK43" s="268">
        <f t="shared" si="75"/>
        <v>4.647887323943662E-2</v>
      </c>
      <c r="AL43" s="268">
        <f t="shared" si="76"/>
        <v>4.1209125475285172E-2</v>
      </c>
      <c r="AM43" s="268">
        <f t="shared" si="77"/>
        <v>4.2709867452135494E-2</v>
      </c>
      <c r="AN43" s="268">
        <f t="shared" si="78"/>
        <v>3.3902053712480257E-2</v>
      </c>
    </row>
    <row r="44" spans="3:40" outlineLevel="1" x14ac:dyDescent="0.25">
      <c r="AB44" s="122"/>
      <c r="AC44" s="122"/>
      <c r="AD44" s="122"/>
      <c r="AE44" s="122"/>
      <c r="AF44" s="122"/>
      <c r="AG44" s="122"/>
      <c r="AI44" s="122"/>
      <c r="AJ44" s="122"/>
      <c r="AK44" s="122"/>
      <c r="AL44" s="122"/>
      <c r="AM44" s="122"/>
      <c r="AN44" s="122"/>
    </row>
    <row r="45" spans="3:40" outlineLevel="1" x14ac:dyDescent="0.25">
      <c r="C45" t="s">
        <v>106</v>
      </c>
      <c r="D45" s="23" t="s">
        <v>292</v>
      </c>
      <c r="E45" s="23" t="s">
        <v>108</v>
      </c>
      <c r="G45" s="170">
        <f t="shared" ref="G45:G46" si="79">AVERAGE(H45:L45)</f>
        <v>143.50355199638659</v>
      </c>
      <c r="H45" s="170">
        <f>AVERAGE(INDEX(Calc_Retail_1[[Ausnet]:[United Energy]],MATCH($D45,Calc_Retail_1[[Cost item]:[Cost item]],0),MATCH(H$18,Calc_Retail_1[[#Headers],[Ausnet]:[United Energy]],0)))</f>
        <v>143.50355199638659</v>
      </c>
      <c r="I45" s="170">
        <f>AVERAGE(INDEX(Calc_Retail_1[[Ausnet]:[United Energy]],MATCH($D45,Calc_Retail_1[[Cost item]:[Cost item]],0),MATCH(I$18,Calc_Retail_1[[#Headers],[Ausnet]:[United Energy]],0)))</f>
        <v>143.50355199638659</v>
      </c>
      <c r="J45" s="170">
        <f>AVERAGE(INDEX(Calc_Retail_1[[Ausnet]:[United Energy]],MATCH($D45,Calc_Retail_1[[Cost item]:[Cost item]],0),MATCH(J$18,Calc_Retail_1[[#Headers],[Ausnet]:[United Energy]],0)))</f>
        <v>143.50355199638659</v>
      </c>
      <c r="K45" s="170">
        <f>AVERAGE(INDEX(Calc_Retail_1[[Ausnet]:[United Energy]],MATCH($D45,Calc_Retail_1[[Cost item]:[Cost item]],0),MATCH(K$18,Calc_Retail_1[[#Headers],[Ausnet]:[United Energy]],0)))</f>
        <v>143.50355199638659</v>
      </c>
      <c r="L45" s="170">
        <f>AVERAGE(INDEX(Calc_Retail_1[[Ausnet]:[United Energy]],MATCH($D45,Calc_Retail_1[[Cost item]:[Cost item]],0),MATCH(L$18,Calc_Retail_1[[#Headers],[Ausnet]:[United Energy]],0)))</f>
        <v>143.50355199638659</v>
      </c>
      <c r="N45" s="170">
        <f t="shared" ref="N45:N46" si="80">AVERAGE(O45:S45)</f>
        <v>141.75366943089429</v>
      </c>
      <c r="O45" s="170">
        <f>AVERAGE(INDEX(Calc_Retail_2[[Ausnet]:[United Energy]],MATCH($D45,Calc_Retail_2[[Cost item]:[Cost item]],0),MATCH(O$18,Calc_Retail_2[[#Headers],[Ausnet]:[United Energy]],0)))</f>
        <v>141.75366943089429</v>
      </c>
      <c r="P45" s="170">
        <f>AVERAGE(INDEX(Calc_Retail_2[[Ausnet]:[United Energy]],MATCH($D45,Calc_Retail_2[[Cost item]:[Cost item]],0),MATCH(P$18,Calc_Retail_2[[#Headers],[Ausnet]:[United Energy]],0)))</f>
        <v>141.75366943089429</v>
      </c>
      <c r="Q45" s="170">
        <f>AVERAGE(INDEX(Calc_Retail_2[[Ausnet]:[United Energy]],MATCH($D45,Calc_Retail_2[[Cost item]:[Cost item]],0),MATCH(Q$18,Calc_Retail_2[[#Headers],[Ausnet]:[United Energy]],0)))</f>
        <v>141.75366943089429</v>
      </c>
      <c r="R45" s="170">
        <f>AVERAGE(INDEX(Calc_Retail_2[[Ausnet]:[United Energy]],MATCH($D45,Calc_Retail_2[[Cost item]:[Cost item]],0),MATCH(R$18,Calc_Retail_2[[#Headers],[Ausnet]:[United Energy]],0)))</f>
        <v>141.75366943089429</v>
      </c>
      <c r="S45" s="170">
        <f>AVERAGE(INDEX(Calc_Retail_2[[Ausnet]:[United Energy]],MATCH($D45,Calc_Retail_2[[Cost item]:[Cost item]],0),MATCH(S$18,Calc_Retail_2[[#Headers],[Ausnet]:[United Energy]],0)))</f>
        <v>141.75366943089429</v>
      </c>
      <c r="U45" s="170">
        <f t="shared" ref="U45:Z46" si="81">IFERROR(N45-G45,"-")</f>
        <v>-1.7498825654922996</v>
      </c>
      <c r="V45" s="170">
        <f t="shared" si="81"/>
        <v>-1.7498825654922996</v>
      </c>
      <c r="W45" s="170">
        <f t="shared" si="81"/>
        <v>-1.7498825654922996</v>
      </c>
      <c r="X45" s="170">
        <f t="shared" si="81"/>
        <v>-1.7498825654922996</v>
      </c>
      <c r="Y45" s="170">
        <f t="shared" si="81"/>
        <v>-1.7498825654922996</v>
      </c>
      <c r="Z45" s="170">
        <f t="shared" si="81"/>
        <v>-1.7498825654922996</v>
      </c>
      <c r="AB45" s="268">
        <f t="shared" ref="AB45:AG46" si="82">IFERROR(U45/G$20,"-")</f>
        <v>-1.2847889614480907E-3</v>
      </c>
      <c r="AC45" s="268">
        <f t="shared" si="82"/>
        <v>-1.1452111030708766E-3</v>
      </c>
      <c r="AD45" s="268">
        <f t="shared" si="82"/>
        <v>-1.3596601130476298E-3</v>
      </c>
      <c r="AE45" s="268">
        <f t="shared" si="82"/>
        <v>-1.3157011770618793E-3</v>
      </c>
      <c r="AF45" s="268">
        <f t="shared" si="82"/>
        <v>-1.2680308445596374E-3</v>
      </c>
      <c r="AG45" s="268">
        <f t="shared" si="82"/>
        <v>-1.366028544490476E-3</v>
      </c>
      <c r="AI45" s="268">
        <f t="shared" ref="AI45:AI46" si="83">IFERROR(N45/N$20,"-")</f>
        <v>0.10555001446827572</v>
      </c>
      <c r="AJ45" s="268">
        <f t="shared" ref="AJ45:AJ46" si="84">IFERROR(O45/O$20,"-")</f>
        <v>9.4881974183998852E-2</v>
      </c>
      <c r="AK45" s="268">
        <f t="shared" ref="AK45:AK46" si="85">IFERROR(P45/P$20,"-")</f>
        <v>0.11091836418692824</v>
      </c>
      <c r="AL45" s="268">
        <f t="shared" ref="AL45:AL46" si="86">IFERROR(Q45/Q$20,"-")</f>
        <v>0.10779746724782836</v>
      </c>
      <c r="AM45" s="268">
        <f t="shared" ref="AM45:AM46" si="87">IFERROR(R45/R$20,"-")</f>
        <v>0.10438414538357459</v>
      </c>
      <c r="AN45" s="268">
        <f t="shared" ref="AN45:AN46" si="88">IFERROR(S45/S$20,"-")</f>
        <v>0.11196972308917401</v>
      </c>
    </row>
    <row r="46" spans="3:40" outlineLevel="1" x14ac:dyDescent="0.25">
      <c r="C46" t="s">
        <v>106</v>
      </c>
      <c r="D46" s="59" t="s">
        <v>114</v>
      </c>
      <c r="E46" s="59" t="s">
        <v>108</v>
      </c>
      <c r="G46" s="170">
        <f t="shared" si="79"/>
        <v>40.151567944250871</v>
      </c>
      <c r="H46" s="170">
        <f>AVERAGE(INDEX(Calc_Retail_1[[Ausnet]:[United Energy]],MATCH($D46,Calc_Retail_1[[Cost item]:[Cost item]],0),MATCH(H$18,Calc_Retail_1[[#Headers],[Ausnet]:[United Energy]],0)))</f>
        <v>40.151567944250871</v>
      </c>
      <c r="I46" s="170">
        <f>AVERAGE(INDEX(Calc_Retail_1[[Ausnet]:[United Energy]],MATCH($D46,Calc_Retail_1[[Cost item]:[Cost item]],0),MATCH(I$18,Calc_Retail_1[[#Headers],[Ausnet]:[United Energy]],0)))</f>
        <v>40.151567944250871</v>
      </c>
      <c r="J46" s="170">
        <f>AVERAGE(INDEX(Calc_Retail_1[[Ausnet]:[United Energy]],MATCH($D46,Calc_Retail_1[[Cost item]:[Cost item]],0),MATCH(J$18,Calc_Retail_1[[#Headers],[Ausnet]:[United Energy]],0)))</f>
        <v>40.151567944250871</v>
      </c>
      <c r="K46" s="170">
        <f>AVERAGE(INDEX(Calc_Retail_1[[Ausnet]:[United Energy]],MATCH($D46,Calc_Retail_1[[Cost item]:[Cost item]],0),MATCH(K$18,Calc_Retail_1[[#Headers],[Ausnet]:[United Energy]],0)))</f>
        <v>40.151567944250871</v>
      </c>
      <c r="L46" s="170">
        <f>AVERAGE(INDEX(Calc_Retail_1[[Ausnet]:[United Energy]],MATCH($D46,Calc_Retail_1[[Cost item]:[Cost item]],0),MATCH(L$18,Calc_Retail_1[[#Headers],[Ausnet]:[United Energy]],0)))</f>
        <v>40.151567944250871</v>
      </c>
      <c r="N46" s="170">
        <f t="shared" si="80"/>
        <v>39.621951219512198</v>
      </c>
      <c r="O46" s="170">
        <f>AVERAGE(INDEX(Calc_Retail_2[[Ausnet]:[United Energy]],MATCH($D46,Calc_Retail_2[[Cost item]:[Cost item]],0),MATCH(O$18,Calc_Retail_2[[#Headers],[Ausnet]:[United Energy]],0)))</f>
        <v>39.621951219512198</v>
      </c>
      <c r="P46" s="170">
        <f>AVERAGE(INDEX(Calc_Retail_2[[Ausnet]:[United Energy]],MATCH($D46,Calc_Retail_2[[Cost item]:[Cost item]],0),MATCH(P$18,Calc_Retail_2[[#Headers],[Ausnet]:[United Energy]],0)))</f>
        <v>39.621951219512198</v>
      </c>
      <c r="Q46" s="170">
        <f>AVERAGE(INDEX(Calc_Retail_2[[Ausnet]:[United Energy]],MATCH($D46,Calc_Retail_2[[Cost item]:[Cost item]],0),MATCH(Q$18,Calc_Retail_2[[#Headers],[Ausnet]:[United Energy]],0)))</f>
        <v>39.621951219512198</v>
      </c>
      <c r="R46" s="170">
        <f>AVERAGE(INDEX(Calc_Retail_2[[Ausnet]:[United Energy]],MATCH($D46,Calc_Retail_2[[Cost item]:[Cost item]],0),MATCH(R$18,Calc_Retail_2[[#Headers],[Ausnet]:[United Energy]],0)))</f>
        <v>39.621951219512198</v>
      </c>
      <c r="S46" s="170">
        <f>AVERAGE(INDEX(Calc_Retail_2[[Ausnet]:[United Energy]],MATCH($D46,Calc_Retail_2[[Cost item]:[Cost item]],0),MATCH(S$18,Calc_Retail_2[[#Headers],[Ausnet]:[United Energy]],0)))</f>
        <v>39.621951219512198</v>
      </c>
      <c r="U46" s="170">
        <f t="shared" si="81"/>
        <v>-0.52961672473867338</v>
      </c>
      <c r="V46" s="170">
        <f t="shared" si="81"/>
        <v>-0.52961672473867338</v>
      </c>
      <c r="W46" s="170">
        <f t="shared" si="81"/>
        <v>-0.52961672473867338</v>
      </c>
      <c r="X46" s="170">
        <f t="shared" si="81"/>
        <v>-0.52961672473867338</v>
      </c>
      <c r="Y46" s="170">
        <f t="shared" si="81"/>
        <v>-0.52961672473867338</v>
      </c>
      <c r="Z46" s="170">
        <f t="shared" si="81"/>
        <v>-0.52961672473867338</v>
      </c>
      <c r="AB46" s="268">
        <f>IFERROR(U46/G$20,"-")</f>
        <v>-3.8885222080666182E-4</v>
      </c>
      <c r="AC46" s="268">
        <f t="shared" si="82"/>
        <v>-3.4660780414834646E-4</v>
      </c>
      <c r="AD46" s="268">
        <f t="shared" si="82"/>
        <v>-4.1151260663455585E-4</v>
      </c>
      <c r="AE46" s="268">
        <f t="shared" si="82"/>
        <v>-3.9820806371328827E-4</v>
      </c>
      <c r="AF46" s="268">
        <f t="shared" si="82"/>
        <v>-3.8378023531787924E-4</v>
      </c>
      <c r="AG46" s="268">
        <f t="shared" si="82"/>
        <v>-4.1344006615040855E-4</v>
      </c>
      <c r="AI46" s="268">
        <f t="shared" si="83"/>
        <v>2.9502569783702307E-2</v>
      </c>
      <c r="AJ46" s="268">
        <f t="shared" si="84"/>
        <v>2.6520717014399061E-2</v>
      </c>
      <c r="AK46" s="268">
        <f t="shared" si="85"/>
        <v>3.1003091721058057E-2</v>
      </c>
      <c r="AL46" s="268">
        <f t="shared" si="86"/>
        <v>3.0130761383659468E-2</v>
      </c>
      <c r="AM46" s="268">
        <f t="shared" si="87"/>
        <v>2.9176694565178348E-2</v>
      </c>
      <c r="AN46" s="268">
        <f t="shared" si="88"/>
        <v>3.1296959889030175E-2</v>
      </c>
    </row>
    <row r="47" spans="3:40" outlineLevel="1" x14ac:dyDescent="0.25">
      <c r="AB47" s="122"/>
      <c r="AC47" s="122"/>
      <c r="AD47" s="122"/>
      <c r="AE47" s="122"/>
      <c r="AF47" s="122"/>
      <c r="AG47" s="122"/>
      <c r="AI47" s="122"/>
      <c r="AJ47" s="122"/>
      <c r="AK47" s="122"/>
      <c r="AL47" s="122"/>
      <c r="AM47" s="122"/>
      <c r="AN47" s="122"/>
    </row>
    <row r="48" spans="3:40" outlineLevel="1" x14ac:dyDescent="0.25">
      <c r="D48" s="252" t="s">
        <v>710</v>
      </c>
      <c r="E48" s="57" t="s">
        <v>108</v>
      </c>
      <c r="F48" s="252"/>
      <c r="G48" s="205">
        <f>AVERAGE(H48:L48)</f>
        <v>360.73044717238838</v>
      </c>
      <c r="H48" s="205">
        <f>H35+H37+H38+H39+H40+H42+H43+H45+H46</f>
        <v>385.19477738615984</v>
      </c>
      <c r="I48" s="205">
        <f t="shared" ref="I48:L48" si="89">I35+I37+I38+I39+I40+I42+I43+I45+I46</f>
        <v>353.70562909550807</v>
      </c>
      <c r="J48" s="205">
        <f t="shared" si="89"/>
        <v>339.20159469636747</v>
      </c>
      <c r="K48" s="205">
        <f t="shared" si="89"/>
        <v>400.551235638572</v>
      </c>
      <c r="L48" s="205">
        <f t="shared" si="89"/>
        <v>324.99899904533453</v>
      </c>
      <c r="M48" s="252"/>
      <c r="N48" s="205">
        <f>AVERAGE(O48:S48)</f>
        <v>355.13539470153961</v>
      </c>
      <c r="O48" s="205">
        <f>O35+O37+O38+O39+O40+O42+O43+O45+O46</f>
        <v>373.64329470153962</v>
      </c>
      <c r="P48" s="205">
        <f t="shared" ref="P48:S48" si="90">P35+P37+P38+P39+P40+P42+P43+P45+P46</f>
        <v>348.24229470153961</v>
      </c>
      <c r="Q48" s="205">
        <f t="shared" si="90"/>
        <v>335.21929470153964</v>
      </c>
      <c r="R48" s="205">
        <f t="shared" si="90"/>
        <v>396.81079470153958</v>
      </c>
      <c r="S48" s="205">
        <f t="shared" si="90"/>
        <v>321.76129470153955</v>
      </c>
      <c r="U48" s="170">
        <f>IFERROR(N48-G48,"-")</f>
        <v>-5.5950524708487706</v>
      </c>
      <c r="V48" s="170">
        <f t="shared" ref="V48" si="91">IFERROR(O48-H48,"-")</f>
        <v>-11.551482684620225</v>
      </c>
      <c r="W48" s="170">
        <f>IFERROR(P48-I48,"-")</f>
        <v>-5.4633343939684664</v>
      </c>
      <c r="X48" s="170">
        <f t="shared" ref="X48:Z48" si="92">IFERROR(Q48-J48,"-")</f>
        <v>-3.9822999948278266</v>
      </c>
      <c r="Y48" s="170">
        <f t="shared" si="92"/>
        <v>-3.7404409370324174</v>
      </c>
      <c r="Z48" s="170">
        <f t="shared" si="92"/>
        <v>-3.2377043437949737</v>
      </c>
      <c r="AB48" s="268">
        <f>IFERROR(U48/G$20,"-")</f>
        <v>-4.1079680402707564E-3</v>
      </c>
      <c r="AC48" s="268">
        <f t="shared" ref="AC48:AG48" si="93">IFERROR(V48/H$20,"-")</f>
        <v>-7.5598708668980531E-3</v>
      </c>
      <c r="AD48" s="268">
        <f t="shared" si="93"/>
        <v>-4.2450150691285679E-3</v>
      </c>
      <c r="AE48" s="268">
        <f t="shared" si="93"/>
        <v>-2.9942105224269374E-3</v>
      </c>
      <c r="AF48" s="268">
        <f t="shared" si="93"/>
        <v>-2.71046444712494E-3</v>
      </c>
      <c r="AG48" s="268">
        <f t="shared" si="93"/>
        <v>-2.527481923337216E-3</v>
      </c>
      <c r="AI48" s="288">
        <f>AVERAGE(AJ48:AN48)</f>
        <v>0.26477275623013258</v>
      </c>
      <c r="AJ48" s="288">
        <f>AJ35+AJ37+AJ38+AJ39+AJ40+AJ42+AJ43+AJ45+AJ46</f>
        <v>0.25009591345484578</v>
      </c>
      <c r="AK48" s="288">
        <f t="shared" ref="AK48:AN48" si="94">AK35+AK37+AK38+AK39+AK40+AK42+AK43+AK45+AK46</f>
        <v>0.27249005845190888</v>
      </c>
      <c r="AL48" s="288">
        <f t="shared" si="94"/>
        <v>0.25491961574261562</v>
      </c>
      <c r="AM48" s="288">
        <f t="shared" si="94"/>
        <v>0.29220235250481563</v>
      </c>
      <c r="AN48" s="288">
        <f t="shared" si="94"/>
        <v>0.25415584099647681</v>
      </c>
    </row>
    <row r="49" spans="3:48" outlineLevel="1" x14ac:dyDescent="0.25">
      <c r="AB49" s="122"/>
      <c r="AC49" s="122"/>
      <c r="AD49" s="122"/>
      <c r="AE49" s="122"/>
      <c r="AF49" s="122"/>
      <c r="AG49" s="122"/>
      <c r="AI49" s="122"/>
      <c r="AJ49" s="122"/>
      <c r="AK49" s="122"/>
      <c r="AL49" s="122"/>
      <c r="AM49" s="122"/>
      <c r="AN49" s="122"/>
    </row>
    <row r="50" spans="3:48" ht="15.75" outlineLevel="1" x14ac:dyDescent="0.25">
      <c r="D50" s="29" t="s">
        <v>711</v>
      </c>
      <c r="AB50" s="122"/>
      <c r="AC50" s="122"/>
      <c r="AD50" s="122"/>
      <c r="AE50" s="122"/>
      <c r="AF50" s="122"/>
      <c r="AG50" s="122"/>
      <c r="AI50" s="122"/>
      <c r="AJ50" s="122"/>
      <c r="AK50" s="122"/>
      <c r="AL50" s="122"/>
      <c r="AM50" s="122"/>
      <c r="AN50" s="122"/>
    </row>
    <row r="51" spans="3:48" outlineLevel="1" x14ac:dyDescent="0.25">
      <c r="C51" t="s">
        <v>151</v>
      </c>
      <c r="D51" s="44" t="s">
        <v>307</v>
      </c>
      <c r="E51" s="23" t="s">
        <v>130</v>
      </c>
      <c r="G51" s="170">
        <f t="shared" ref="G51:G53" si="95">AVERAGE(H51:L51)</f>
        <v>47.781547431824464</v>
      </c>
      <c r="H51" s="170">
        <f>INDEX(Calc_EnviroVEU_1[[Ausnet]:[United Energy]],MATCH($D51,Calc_EnviroVEU_1[Cost item],0),MATCH(H$18,Calc_EnviroVEU_1[[#Headers],[Ausnet]:[United Energy]],0))*$G$9</f>
        <v>47.781547431824464</v>
      </c>
      <c r="I51" s="170">
        <f>INDEX(Calc_EnviroVEU_1[[Ausnet]:[United Energy]],MATCH($D51,Calc_EnviroVEU_1[Cost item],0),MATCH(I$18,Calc_EnviroVEU_1[[#Headers],[Ausnet]:[United Energy]],0))*$G$9</f>
        <v>47.781547431824464</v>
      </c>
      <c r="J51" s="170">
        <f>INDEX(Calc_EnviroVEU_1[[Ausnet]:[United Energy]],MATCH($D51,Calc_EnviroVEU_1[Cost item],0),MATCH(J$18,Calc_EnviroVEU_1[[#Headers],[Ausnet]:[United Energy]],0))*$G$9</f>
        <v>47.781547431824464</v>
      </c>
      <c r="K51" s="170">
        <f>INDEX(Calc_EnviroVEU_1[[Ausnet]:[United Energy]],MATCH($D51,Calc_EnviroVEU_1[Cost item],0),MATCH(K$18,Calc_EnviroVEU_1[[#Headers],[Ausnet]:[United Energy]],0))*$G$9</f>
        <v>47.781547431824464</v>
      </c>
      <c r="L51" s="170">
        <f>INDEX(Calc_EnviroVEU_1[[Ausnet]:[United Energy]],MATCH($D51,Calc_EnviroVEU_1[Cost item],0),MATCH(L$18,Calc_EnviroVEU_1[[#Headers],[Ausnet]:[United Energy]],0))*$G$9</f>
        <v>47.781547431824464</v>
      </c>
      <c r="N51" s="170">
        <f t="shared" ref="N51:N53" si="96">AVERAGE(O51:S51)</f>
        <v>39.299517472610361</v>
      </c>
      <c r="O51" s="170">
        <f>INDEX(Calc_EnviroVEU_2[[Ausnet]:[United Energy]],MATCH($D51,Calc_EnviroVEU_2[Cost item],0),MATCH(O$18,Calc_EnviroVEU_2[[#Headers],[Ausnet]:[United Energy]],0))*$N$9</f>
        <v>39.299517472610361</v>
      </c>
      <c r="P51" s="170">
        <f>INDEX(Calc_EnviroVEU_2[[Ausnet]:[United Energy]],MATCH($D51,Calc_EnviroVEU_2[Cost item],0),MATCH(P$18,Calc_EnviroVEU_2[[#Headers],[Ausnet]:[United Energy]],0))*$N$9</f>
        <v>39.299517472610361</v>
      </c>
      <c r="Q51" s="170">
        <f>INDEX(Calc_EnviroVEU_2[[Ausnet]:[United Energy]],MATCH($D51,Calc_EnviroVEU_2[Cost item],0),MATCH(Q$18,Calc_EnviroVEU_2[[#Headers],[Ausnet]:[United Energy]],0))*$N$9</f>
        <v>39.299517472610361</v>
      </c>
      <c r="R51" s="170">
        <f>INDEX(Calc_EnviroVEU_2[[Ausnet]:[United Energy]],MATCH($D51,Calc_EnviroVEU_2[Cost item],0),MATCH(R$18,Calc_EnviroVEU_2[[#Headers],[Ausnet]:[United Energy]],0))*$N$9</f>
        <v>39.299517472610361</v>
      </c>
      <c r="S51" s="170">
        <f>INDEX(Calc_EnviroVEU_2[[Ausnet]:[United Energy]],MATCH($D51,Calc_EnviroVEU_2[Cost item],0),MATCH(S$18,Calc_EnviroVEU_2[[#Headers],[Ausnet]:[United Energy]],0))*$N$9</f>
        <v>39.299517472610361</v>
      </c>
      <c r="U51" s="170">
        <f t="shared" ref="U51:Z53" si="97">IFERROR(N51-G51,"-")</f>
        <v>-8.4820299592141026</v>
      </c>
      <c r="V51" s="170">
        <f t="shared" si="97"/>
        <v>-8.4820299592141026</v>
      </c>
      <c r="W51" s="170">
        <f t="shared" si="97"/>
        <v>-8.4820299592141026</v>
      </c>
      <c r="X51" s="170">
        <f t="shared" si="97"/>
        <v>-8.4820299592141026</v>
      </c>
      <c r="Y51" s="170">
        <f t="shared" si="97"/>
        <v>-8.4820299592141026</v>
      </c>
      <c r="Z51" s="170">
        <f t="shared" si="97"/>
        <v>-8.4820299592141026</v>
      </c>
      <c r="AB51" s="268">
        <f>IFERROR(U51/G$20,"-")</f>
        <v>-6.2276284575727625E-3</v>
      </c>
      <c r="AC51" s="268">
        <f t="shared" ref="AB51:AG53" si="98">IFERROR(V51/H$20,"-")</f>
        <v>-5.5510667272343607E-3</v>
      </c>
      <c r="AD51" s="268">
        <f t="shared" si="98"/>
        <v>-6.5905438688532263E-3</v>
      </c>
      <c r="AE51" s="268">
        <f t="shared" si="98"/>
        <v>-6.3774661347474459E-3</v>
      </c>
      <c r="AF51" s="268">
        <f t="shared" si="98"/>
        <v>-6.1463985211696395E-3</v>
      </c>
      <c r="AG51" s="268">
        <f t="shared" si="98"/>
        <v>-6.621412926786965E-3</v>
      </c>
      <c r="AI51" s="268">
        <f>IFERROR(N51/N$20,"-")</f>
        <v>2.9262485087572867E-2</v>
      </c>
      <c r="AJ51" s="268">
        <f t="shared" ref="AJ51:AJ53" si="99">IFERROR(O51/O$20,"-")</f>
        <v>2.6304897906700375E-2</v>
      </c>
      <c r="AK51" s="268">
        <f t="shared" ref="AK51:AK53" si="100">IFERROR(P51/P$20,"-")</f>
        <v>3.0750796144452551E-2</v>
      </c>
      <c r="AL51" s="268">
        <f t="shared" ref="AL51:AL53" si="101">IFERROR(Q51/Q$20,"-")</f>
        <v>2.9885564617954646E-2</v>
      </c>
      <c r="AM51" s="268">
        <f t="shared" ref="AM51:AM53" si="102">IFERROR(R51/R$20,"-")</f>
        <v>2.8939261761863299E-2</v>
      </c>
      <c r="AN51" s="268">
        <f t="shared" ref="AN51:AN53" si="103">IFERROR(S51/S$20,"-")</f>
        <v>3.1042272885158262E-2</v>
      </c>
      <c r="AP51" s="292"/>
      <c r="AQ51" s="292"/>
      <c r="AR51" s="118"/>
    </row>
    <row r="52" spans="3:48" outlineLevel="1" x14ac:dyDescent="0.25">
      <c r="C52" t="s">
        <v>151</v>
      </c>
      <c r="D52" s="44" t="s">
        <v>309</v>
      </c>
      <c r="E52" s="23" t="s">
        <v>130</v>
      </c>
      <c r="G52" s="170">
        <f t="shared" si="95"/>
        <v>30.032767999999997</v>
      </c>
      <c r="H52" s="170">
        <f>INDEX(Calc_EnviroLRET_1[[Ausnet]:[United Energy]],MATCH($D52,Calc_EnviroLRET_1[Cost item],0),MATCH(H$18,Calc_EnviroLRET_1[[#Headers],[Ausnet]:[United Energy]],0))*$G$9</f>
        <v>30.032768000000001</v>
      </c>
      <c r="I52" s="170">
        <f>INDEX(Calc_EnviroLRET_1[[Ausnet]:[United Energy]],MATCH($D52,Calc_EnviroLRET_1[Cost item],0),MATCH(I$18,Calc_EnviroLRET_1[[#Headers],[Ausnet]:[United Energy]],0))*$G$9</f>
        <v>30.032768000000001</v>
      </c>
      <c r="J52" s="170">
        <f>INDEX(Calc_EnviroLRET_1[[Ausnet]:[United Energy]],MATCH($D52,Calc_EnviroLRET_1[Cost item],0),MATCH(J$18,Calc_EnviroLRET_1[[#Headers],[Ausnet]:[United Energy]],0))*$G$9</f>
        <v>30.032768000000001</v>
      </c>
      <c r="K52" s="170">
        <f>INDEX(Calc_EnviroLRET_1[[Ausnet]:[United Energy]],MATCH($D52,Calc_EnviroLRET_1[Cost item],0),MATCH(K$18,Calc_EnviroLRET_1[[#Headers],[Ausnet]:[United Energy]],0))*$G$9</f>
        <v>30.032768000000001</v>
      </c>
      <c r="L52" s="170">
        <f>INDEX(Calc_EnviroLRET_1[[Ausnet]:[United Energy]],MATCH($D52,Calc_EnviroLRET_1[Cost item],0),MATCH(L$18,Calc_EnviroLRET_1[[#Headers],[Ausnet]:[United Energy]],0))*$G$9</f>
        <v>30.032768000000001</v>
      </c>
      <c r="N52" s="170">
        <f t="shared" si="96"/>
        <v>25.540703999999998</v>
      </c>
      <c r="O52" s="170">
        <f>INDEX(Calc_EnviroLRET_2[[Ausnet]:[United Energy]],MATCH($D52,Calc_EnviroLRET_2[Cost item],0),MATCH(O$18,Calc_EnviroLRET_2[[#Headers],[Ausnet]:[United Energy]],0))*$N$9</f>
        <v>25.540703999999998</v>
      </c>
      <c r="P52" s="170">
        <f>INDEX(Calc_EnviroLRET_2[[Ausnet]:[United Energy]],MATCH($D52,Calc_EnviroLRET_2[Cost item],0),MATCH(P$18,Calc_EnviroLRET_2[[#Headers],[Ausnet]:[United Energy]],0))*$N$9</f>
        <v>25.540703999999998</v>
      </c>
      <c r="Q52" s="170">
        <f>INDEX(Calc_EnviroLRET_2[[Ausnet]:[United Energy]],MATCH($D52,Calc_EnviroLRET_2[Cost item],0),MATCH(Q$18,Calc_EnviroLRET_2[[#Headers],[Ausnet]:[United Energy]],0))*$N$9</f>
        <v>25.540703999999998</v>
      </c>
      <c r="R52" s="170">
        <f>INDEX(Calc_EnviroLRET_2[[Ausnet]:[United Energy]],MATCH($D52,Calc_EnviroLRET_2[Cost item],0),MATCH(R$18,Calc_EnviroLRET_2[[#Headers],[Ausnet]:[United Energy]],0))*$N$9</f>
        <v>25.540703999999998</v>
      </c>
      <c r="S52" s="170">
        <f>INDEX(Calc_EnviroLRET_2[[Ausnet]:[United Energy]],MATCH($D52,Calc_EnviroLRET_2[Cost item],0),MATCH(S$18,Calc_EnviroLRET_2[[#Headers],[Ausnet]:[United Energy]],0))*$N$9</f>
        <v>25.540703999999998</v>
      </c>
      <c r="U52" s="170">
        <f t="shared" si="97"/>
        <v>-4.4920639999999992</v>
      </c>
      <c r="V52" s="170">
        <f t="shared" si="97"/>
        <v>-4.4920640000000027</v>
      </c>
      <c r="W52" s="170">
        <f t="shared" si="97"/>
        <v>-4.4920640000000027</v>
      </c>
      <c r="X52" s="170">
        <f t="shared" si="97"/>
        <v>-4.4920640000000027</v>
      </c>
      <c r="Y52" s="170">
        <f t="shared" si="97"/>
        <v>-4.4920640000000027</v>
      </c>
      <c r="Z52" s="170">
        <f t="shared" si="97"/>
        <v>-4.4920640000000027</v>
      </c>
      <c r="AB52" s="268">
        <f t="shared" si="98"/>
        <v>-3.2981380323054326E-3</v>
      </c>
      <c r="AC52" s="268">
        <f t="shared" si="98"/>
        <v>-2.9398324607329859E-3</v>
      </c>
      <c r="AD52" s="268">
        <f t="shared" si="98"/>
        <v>-3.4903372183372203E-3</v>
      </c>
      <c r="AE52" s="268">
        <f t="shared" si="98"/>
        <v>-3.3774917293233103E-3</v>
      </c>
      <c r="AF52" s="268">
        <f t="shared" si="98"/>
        <v>-3.2551188405797122E-3</v>
      </c>
      <c r="AG52" s="268">
        <f t="shared" si="98"/>
        <v>-3.5066854020296663E-3</v>
      </c>
      <c r="AI52" s="268">
        <f t="shared" ref="AI52:AI53" si="104">IFERROR(N52/N$20,"-")</f>
        <v>1.9017650037230081E-2</v>
      </c>
      <c r="AJ52" s="268">
        <f t="shared" si="99"/>
        <v>1.7095518072289154E-2</v>
      </c>
      <c r="AK52" s="268">
        <f t="shared" si="100"/>
        <v>1.9984901408450703E-2</v>
      </c>
      <c r="AL52" s="268">
        <f t="shared" si="101"/>
        <v>1.9422588593155894E-2</v>
      </c>
      <c r="AM52" s="268">
        <f t="shared" si="102"/>
        <v>1.8807587628865977E-2</v>
      </c>
      <c r="AN52" s="268">
        <f t="shared" si="103"/>
        <v>2.01743317535545E-2</v>
      </c>
      <c r="AR52" s="293"/>
    </row>
    <row r="53" spans="3:48" outlineLevel="1" x14ac:dyDescent="0.25">
      <c r="C53" t="s">
        <v>151</v>
      </c>
      <c r="D53" s="23" t="s">
        <v>311</v>
      </c>
      <c r="E53" s="23" t="s">
        <v>130</v>
      </c>
      <c r="G53" s="170">
        <f t="shared" si="95"/>
        <v>39.68</v>
      </c>
      <c r="H53" s="170">
        <f>INDEX(Calc_EnviroSRES_1[[Ausnet]:[United Energy]],MATCH($D53,Calc_EnviroSRES_1[Cost item],0),MATCH(H$18,Calc_EnviroSRES_1[[#Headers],[Ausnet]:[United Energy]],0))*$G$9</f>
        <v>39.68</v>
      </c>
      <c r="I53" s="170">
        <f>INDEX(Calc_EnviroSRES_1[[Ausnet]:[United Energy]],MATCH($D53,Calc_EnviroSRES_1[Cost item],0),MATCH(I$18,Calc_EnviroSRES_1[[#Headers],[Ausnet]:[United Energy]],0))*$G$9</f>
        <v>39.68</v>
      </c>
      <c r="J53" s="170">
        <f>INDEX(Calc_EnviroSRES_1[[Ausnet]:[United Energy]],MATCH($D53,Calc_EnviroSRES_1[Cost item],0),MATCH(J$18,Calc_EnviroSRES_1[[#Headers],[Ausnet]:[United Energy]],0))*$G$9</f>
        <v>39.68</v>
      </c>
      <c r="K53" s="170">
        <f>INDEX(Calc_EnviroSRES_1[[Ausnet]:[United Energy]],MATCH($D53,Calc_EnviroSRES_1[Cost item],0),MATCH(K$18,Calc_EnviroSRES_1[[#Headers],[Ausnet]:[United Energy]],0))*$G$9</f>
        <v>39.68</v>
      </c>
      <c r="L53" s="170">
        <f>INDEX(Calc_EnviroSRES_1[[Ausnet]:[United Energy]],MATCH($D53,Calc_EnviroSRES_1[Cost item],0),MATCH(L$18,Calc_EnviroSRES_1[[#Headers],[Ausnet]:[United Energy]],0))*$G$9</f>
        <v>39.68</v>
      </c>
      <c r="N53" s="170">
        <f t="shared" si="96"/>
        <v>40.96</v>
      </c>
      <c r="O53" s="170">
        <f>INDEX(Calc_EnviroSRES_2[[Ausnet]:[United Energy]],MATCH($D53,Calc_EnviroSRES_2[Cost item],0),MATCH(O$18,Calc_EnviroSRES_2[[#Headers],[Ausnet]:[United Energy]],0))*$N$9</f>
        <v>40.96</v>
      </c>
      <c r="P53" s="170">
        <f>INDEX(Calc_EnviroSRES_2[[Ausnet]:[United Energy]],MATCH($D53,Calc_EnviroSRES_2[Cost item],0),MATCH(P$18,Calc_EnviroSRES_2[[#Headers],[Ausnet]:[United Energy]],0))*$N$9</f>
        <v>40.96</v>
      </c>
      <c r="Q53" s="170">
        <f>INDEX(Calc_EnviroSRES_2[[Ausnet]:[United Energy]],MATCH($D53,Calc_EnviroSRES_2[Cost item],0),MATCH(Q$18,Calc_EnviroSRES_2[[#Headers],[Ausnet]:[United Energy]],0))*$N$9</f>
        <v>40.96</v>
      </c>
      <c r="R53" s="170">
        <f>INDEX(Calc_EnviroSRES_2[[Ausnet]:[United Energy]],MATCH($D53,Calc_EnviroSRES_2[Cost item],0),MATCH(R$18,Calc_EnviroSRES_2[[#Headers],[Ausnet]:[United Energy]],0))*$N$9</f>
        <v>40.96</v>
      </c>
      <c r="S53" s="170">
        <f>INDEX(Calc_EnviroSRES_2[[Ausnet]:[United Energy]],MATCH($D53,Calc_EnviroSRES_2[Cost item],0),MATCH(S$18,Calc_EnviroSRES_2[[#Headers],[Ausnet]:[United Energy]],0))*$N$9</f>
        <v>40.96</v>
      </c>
      <c r="U53" s="170">
        <f t="shared" si="97"/>
        <v>1.2800000000000011</v>
      </c>
      <c r="V53" s="170">
        <f t="shared" si="97"/>
        <v>1.2800000000000011</v>
      </c>
      <c r="W53" s="170">
        <f t="shared" si="97"/>
        <v>1.2800000000000011</v>
      </c>
      <c r="X53" s="170">
        <f t="shared" si="97"/>
        <v>1.2800000000000011</v>
      </c>
      <c r="Y53" s="170">
        <f t="shared" si="97"/>
        <v>1.2800000000000011</v>
      </c>
      <c r="Z53" s="170">
        <f t="shared" si="97"/>
        <v>1.2800000000000011</v>
      </c>
      <c r="AB53" s="268">
        <f t="shared" si="98"/>
        <v>9.3979441997063225E-4</v>
      </c>
      <c r="AC53" s="268">
        <f t="shared" si="98"/>
        <v>8.3769633507853477E-4</v>
      </c>
      <c r="AD53" s="268">
        <f t="shared" si="98"/>
        <v>9.9456099456099543E-4</v>
      </c>
      <c r="AE53" s="268">
        <f t="shared" si="98"/>
        <v>9.6240601503759483E-4</v>
      </c>
      <c r="AF53" s="268">
        <f t="shared" si="98"/>
        <v>9.2753623188405879E-4</v>
      </c>
      <c r="AG53" s="268">
        <f t="shared" si="98"/>
        <v>9.9921935987509845E-4</v>
      </c>
      <c r="AI53" s="268">
        <f t="shared" si="104"/>
        <v>3.0498883097542815E-2</v>
      </c>
      <c r="AJ53" s="268">
        <f t="shared" si="99"/>
        <v>2.7416331994645247E-2</v>
      </c>
      <c r="AK53" s="268">
        <f t="shared" si="100"/>
        <v>3.2050078247261346E-2</v>
      </c>
      <c r="AL53" s="268">
        <f t="shared" si="101"/>
        <v>3.1148288973384033E-2</v>
      </c>
      <c r="AM53" s="268">
        <f t="shared" si="102"/>
        <v>3.0162002945508099E-2</v>
      </c>
      <c r="AN53" s="268">
        <f t="shared" si="103"/>
        <v>3.2353870458135862E-2</v>
      </c>
      <c r="AQ53" s="292"/>
      <c r="AR53" s="118"/>
      <c r="AT53" s="87"/>
      <c r="AU53" s="87"/>
      <c r="AV53" s="118"/>
    </row>
    <row r="54" spans="3:48" outlineLevel="1" x14ac:dyDescent="0.25">
      <c r="AB54" s="122"/>
      <c r="AC54" s="122"/>
      <c r="AD54" s="122"/>
      <c r="AE54" s="122"/>
      <c r="AF54" s="122"/>
      <c r="AG54" s="122"/>
      <c r="AI54" s="122"/>
      <c r="AJ54" s="122"/>
      <c r="AK54" s="122"/>
      <c r="AL54" s="122"/>
      <c r="AM54" s="122"/>
      <c r="AN54" s="122"/>
    </row>
    <row r="55" spans="3:48" outlineLevel="1" x14ac:dyDescent="0.25">
      <c r="AB55" s="122"/>
      <c r="AC55" s="122"/>
      <c r="AD55" s="122"/>
      <c r="AE55" s="122"/>
      <c r="AF55" s="122"/>
      <c r="AG55" s="122"/>
      <c r="AI55" s="122"/>
      <c r="AJ55" s="122"/>
      <c r="AK55" s="122"/>
      <c r="AL55" s="122"/>
      <c r="AM55" s="122"/>
      <c r="AN55" s="122"/>
      <c r="AQ55" s="292"/>
      <c r="AR55" s="118"/>
    </row>
    <row r="56" spans="3:48" outlineLevel="1" x14ac:dyDescent="0.25">
      <c r="C56" t="s">
        <v>121</v>
      </c>
      <c r="D56" t="s">
        <v>707</v>
      </c>
      <c r="E56" s="23" t="s">
        <v>130</v>
      </c>
      <c r="G56" s="170">
        <f>AVERAGE((H57+H58),I59,J59,K59,L59)</f>
        <v>354.48240000000004</v>
      </c>
      <c r="N56" s="170">
        <f>AVERAGE((O57+O58),P59,Q59,R59,S59)</f>
        <v>354.48240000000004</v>
      </c>
      <c r="U56" s="170">
        <f t="shared" ref="U56:Z59" si="105">IFERROR(N56-G56,"-")</f>
        <v>0</v>
      </c>
      <c r="V56" s="170">
        <f t="shared" si="105"/>
        <v>0</v>
      </c>
      <c r="W56" s="170">
        <f t="shared" si="105"/>
        <v>0</v>
      </c>
      <c r="X56" s="170">
        <f t="shared" si="105"/>
        <v>0</v>
      </c>
      <c r="Y56" s="170">
        <f t="shared" si="105"/>
        <v>0</v>
      </c>
      <c r="Z56" s="170">
        <f t="shared" si="105"/>
        <v>0</v>
      </c>
      <c r="AB56" s="268">
        <f t="shared" ref="AB56:AG59" si="106">IFERROR(U56/G$20,"-")</f>
        <v>0</v>
      </c>
      <c r="AC56" s="268">
        <f t="shared" si="106"/>
        <v>0</v>
      </c>
      <c r="AD56" s="268">
        <f t="shared" si="106"/>
        <v>0</v>
      </c>
      <c r="AE56" s="268">
        <f t="shared" si="106"/>
        <v>0</v>
      </c>
      <c r="AF56" s="268">
        <f t="shared" si="106"/>
        <v>0</v>
      </c>
      <c r="AG56" s="268">
        <f t="shared" si="106"/>
        <v>0</v>
      </c>
      <c r="AI56" s="268">
        <f t="shared" ref="AI56:AI59" si="107">IFERROR(N56/N$20,"-")</f>
        <v>0.26394817572598661</v>
      </c>
      <c r="AJ56" s="268">
        <f t="shared" ref="AJ56:AJ59" si="108">IFERROR(O56/O$20,"-")</f>
        <v>0</v>
      </c>
      <c r="AK56" s="268">
        <f t="shared" ref="AK56:AK59" si="109">IFERROR(P56/P$20,"-")</f>
        <v>0</v>
      </c>
      <c r="AL56" s="268">
        <f t="shared" ref="AL56:AL59" si="110">IFERROR(Q56/Q$20,"-")</f>
        <v>0</v>
      </c>
      <c r="AM56" s="268">
        <f t="shared" ref="AM56:AM59" si="111">IFERROR(R56/R$20,"-")</f>
        <v>0</v>
      </c>
      <c r="AN56" s="268">
        <f t="shared" ref="AN56:AN59" si="112">IFERROR(S56/S$20,"-")</f>
        <v>0</v>
      </c>
    </row>
    <row r="57" spans="3:48" outlineLevel="1" x14ac:dyDescent="0.25">
      <c r="D57" s="23" t="s">
        <v>221</v>
      </c>
      <c r="E57" s="23" t="s">
        <v>130</v>
      </c>
      <c r="G57" s="170">
        <f t="shared" ref="G57:G59" si="113">AVERAGE(H57:L57)</f>
        <v>91.602400000000017</v>
      </c>
      <c r="H57" s="170" cm="1">
        <f t="array" ref="H57">IFERROR(
INDEX(Calc_NetworkV_1[[Ausnet]:[United Energy]],
MATCH(1,(Calc_NetworkV_1[Cost item]=$D57)*(Calc_NetworkV_1[Customer type]=$E$7),0),
MATCH(H$18,Calc_NetworkV_1[[#Headers],[Ausnet]:[United Energy]],0))*
INDEX($G$9:$G$12,MATCH(IF($D57="Single rate","Annual",$D57),$F$9:$F$12,0),1),0)</f>
        <v>458.01200000000006</v>
      </c>
      <c r="I57" s="170" cm="1">
        <f t="array" ref="I57">IFERROR(
INDEX(Calc_NetworkV_1[[Ausnet]:[United Energy]],
MATCH(1,(Calc_NetworkV_1[Cost item]=$D57)*(Calc_NetworkV_1[Customer type]=$E$7),0),
MATCH(I$18,Calc_NetworkV_1[[#Headers],[Ausnet]:[United Energy]],0))*
INDEX($G$9:$G$12,MATCH(IF($D57="Single rate","Annual",$D57),$F$9:$F$12,0),1),0)</f>
        <v>0</v>
      </c>
      <c r="J57" s="170" cm="1">
        <f t="array" ref="J57">IFERROR(
INDEX(Calc_NetworkV_1[[Ausnet]:[United Energy]],
MATCH(1,(Calc_NetworkV_1[Cost item]=$D57)*(Calc_NetworkV_1[Customer type]=$E$7),0),
MATCH(J$18,Calc_NetworkV_1[[#Headers],[Ausnet]:[United Energy]],0))*
INDEX($G$9:$G$12,MATCH(IF($D57="Single rate","Annual",$D57),$F$9:$F$12,0),1),0)</f>
        <v>0</v>
      </c>
      <c r="K57" s="170" cm="1">
        <f t="array" ref="K57">IFERROR(
INDEX(Calc_NetworkV_1[[Ausnet]:[United Energy]],
MATCH(1,(Calc_NetworkV_1[Cost item]=$D57)*(Calc_NetworkV_1[Customer type]=$E$7),0),
MATCH(K$18,Calc_NetworkV_1[[#Headers],[Ausnet]:[United Energy]],0))*
INDEX($G$9:$G$12,MATCH(IF($D57="Single rate","Annual",$D57),$F$9:$F$12,0),1),0)</f>
        <v>0</v>
      </c>
      <c r="L57" s="170" cm="1">
        <f t="array" ref="L57">IFERROR(
INDEX(Calc_NetworkV_1[[Ausnet]:[United Energy]],
MATCH(1,(Calc_NetworkV_1[Cost item]=$D57)*(Calc_NetworkV_1[Customer type]=$E$7),0),
MATCH(L$18,Calc_NetworkV_1[[#Headers],[Ausnet]:[United Energy]],0))*
INDEX($G$9:$G$12,MATCH(IF($D57="Single rate","Annual",$D57),$F$9:$F$12,0),1),0)</f>
        <v>0</v>
      </c>
      <c r="N57" s="170">
        <f t="shared" ref="N57:N59" si="114">AVERAGE(O57:S57)</f>
        <v>91.602400000000017</v>
      </c>
      <c r="O57" s="170" cm="1">
        <f t="array" ref="O57">IFERROR(
INDEX(Calc_NetworkV_2[[Ausnet]:[United Energy]],
MATCH(1,(Calc_NetworkV_2[Cost item]=$D57)*(Calc_NetworkV_2[Customer type]=$E$7),0),
MATCH(O$18,Calc_NetworkV_2[[#Headers],[Ausnet]:[United Energy]],0))*
INDEX($G$9:$G$12,MATCH(IF($D57="Single rate","Annual",$D57),$F$9:$F$12,0),1),0)</f>
        <v>458.01200000000006</v>
      </c>
      <c r="P57" s="170" cm="1">
        <f t="array" ref="P57">IFERROR(
INDEX(Calc_NetworkV_2[[Ausnet]:[United Energy]],
MATCH(1,(Calc_NetworkV_2[Cost item]=$D57)*(Calc_NetworkV_2[Customer type]=$E$7),0),
MATCH(P$18,Calc_NetworkV_2[[#Headers],[Ausnet]:[United Energy]],0))*
INDEX($G$9:$G$12,MATCH(IF($D57="Single rate","Annual",$D57),$F$9:$F$12,0),1),0)</f>
        <v>0</v>
      </c>
      <c r="Q57" s="170" cm="1">
        <f t="array" ref="Q57">IFERROR(
INDEX(Calc_NetworkV_2[[Ausnet]:[United Energy]],
MATCH(1,(Calc_NetworkV_2[Cost item]=$D57)*(Calc_NetworkV_2[Customer type]=$E$7),0),
MATCH(Q$18,Calc_NetworkV_2[[#Headers],[Ausnet]:[United Energy]],0))*
INDEX($G$9:$G$12,MATCH(IF($D57="Single rate","Annual",$D57),$F$9:$F$12,0),1),0)</f>
        <v>0</v>
      </c>
      <c r="R57" s="170" cm="1">
        <f t="array" ref="R57">IFERROR(
INDEX(Calc_NetworkV_2[[Ausnet]:[United Energy]],
MATCH(1,(Calc_NetworkV_2[Cost item]=$D57)*(Calc_NetworkV_2[Customer type]=$E$7),0),
MATCH(R$18,Calc_NetworkV_2[[#Headers],[Ausnet]:[United Energy]],0))*
INDEX($G$9:$G$12,MATCH(IF($D57="Single rate","Annual",$D57),$F$9:$F$12,0),1),0)</f>
        <v>0</v>
      </c>
      <c r="S57" s="170" cm="1">
        <f t="array" ref="S57">IFERROR(
INDEX(Calc_NetworkV_2[[Ausnet]:[United Energy]],
MATCH(1,(Calc_NetworkV_2[Cost item]=$D57)*(Calc_NetworkV_2[Customer type]=$E$7),0),
MATCH(S$18,Calc_NetworkV_2[[#Headers],[Ausnet]:[United Energy]],0))*
INDEX($G$9:$G$12,MATCH(IF($D57="Single rate","Annual",$D57),$F$9:$F$12,0),1),0)</f>
        <v>0</v>
      </c>
      <c r="U57" s="170">
        <f t="shared" si="105"/>
        <v>0</v>
      </c>
      <c r="V57" s="170">
        <f t="shared" si="105"/>
        <v>0</v>
      </c>
      <c r="W57" s="170">
        <f t="shared" si="105"/>
        <v>0</v>
      </c>
      <c r="X57" s="170">
        <f t="shared" si="105"/>
        <v>0</v>
      </c>
      <c r="Y57" s="170">
        <f t="shared" si="105"/>
        <v>0</v>
      </c>
      <c r="Z57" s="170">
        <f t="shared" si="105"/>
        <v>0</v>
      </c>
      <c r="AB57" s="268">
        <f t="shared" si="106"/>
        <v>0</v>
      </c>
      <c r="AC57" s="268">
        <f t="shared" si="106"/>
        <v>0</v>
      </c>
      <c r="AD57" s="268">
        <f t="shared" si="106"/>
        <v>0</v>
      </c>
      <c r="AE57" s="268">
        <f t="shared" si="106"/>
        <v>0</v>
      </c>
      <c r="AF57" s="268">
        <f>IFERROR(Y57/K$20,"-")</f>
        <v>0</v>
      </c>
      <c r="AG57" s="268">
        <f t="shared" si="106"/>
        <v>0</v>
      </c>
      <c r="AI57" s="268">
        <f t="shared" si="107"/>
        <v>6.8207297096053623E-2</v>
      </c>
      <c r="AJ57" s="268">
        <f t="shared" si="108"/>
        <v>0.3065676037483267</v>
      </c>
      <c r="AK57" s="268">
        <f t="shared" si="109"/>
        <v>0</v>
      </c>
      <c r="AL57" s="268">
        <f t="shared" si="110"/>
        <v>0</v>
      </c>
      <c r="AM57" s="268">
        <f t="shared" si="111"/>
        <v>0</v>
      </c>
      <c r="AN57" s="268">
        <f t="shared" si="112"/>
        <v>0</v>
      </c>
      <c r="AR57" s="118"/>
    </row>
    <row r="58" spans="3:48" outlineLevel="1" x14ac:dyDescent="0.25">
      <c r="D58" s="23" t="s">
        <v>228</v>
      </c>
      <c r="E58" s="23" t="s">
        <v>130</v>
      </c>
      <c r="G58" s="170">
        <f t="shared" si="113"/>
        <v>0</v>
      </c>
      <c r="H58" s="170" cm="1">
        <f t="array" ref="H58">IFERROR(
INDEX(Calc_NetworkV_1[[Ausnet]:[United Energy]],
MATCH(1,(Calc_NetworkV_1[Cost item]=$D58)*(Calc_NetworkV_1[Customer type]=$E$7),0),
MATCH(H$18,Calc_NetworkV_1[[#Headers],[Ausnet]:[United Energy]],0))*
INDEX($G$9:$G$12,MATCH(IF($D58="Single rate","Annual",$D58),$F$9:$F$12,0),1),0)</f>
        <v>0</v>
      </c>
      <c r="I58" s="170" cm="1">
        <f t="array" ref="I58">IFERROR(
INDEX(Calc_NetworkV_1[[Ausnet]:[United Energy]],
MATCH(1,(Calc_NetworkV_1[Cost item]=$D58)*(Calc_NetworkV_1[Customer type]=$E$7),0),
MATCH(I$18,Calc_NetworkV_1[[#Headers],[Ausnet]:[United Energy]],0))*
INDEX($G$9:$G$12,MATCH(IF($D58="Single rate","Annual",$D58),$F$9:$F$12,0),1),0)</f>
        <v>0</v>
      </c>
      <c r="J58" s="170" cm="1">
        <f t="array" ref="J58">IFERROR(
INDEX(Calc_NetworkV_1[[Ausnet]:[United Energy]],
MATCH(1,(Calc_NetworkV_1[Cost item]=$D58)*(Calc_NetworkV_1[Customer type]=$E$7),0),
MATCH(J$18,Calc_NetworkV_1[[#Headers],[Ausnet]:[United Energy]],0))*
INDEX($G$9:$G$12,MATCH(IF($D58="Single rate","Annual",$D58),$F$9:$F$12,0),1),0)</f>
        <v>0</v>
      </c>
      <c r="K58" s="170" cm="1">
        <f t="array" ref="K58">IFERROR(
INDEX(Calc_NetworkV_1[[Ausnet]:[United Energy]],
MATCH(1,(Calc_NetworkV_1[Cost item]=$D58)*(Calc_NetworkV_1[Customer type]=$E$7),0),
MATCH(K$18,Calc_NetworkV_1[[#Headers],[Ausnet]:[United Energy]],0))*
INDEX($G$9:$G$12,MATCH(IF($D58="Single rate","Annual",$D58),$F$9:$F$12,0),1),0)</f>
        <v>0</v>
      </c>
      <c r="L58" s="170" cm="1">
        <f t="array" ref="L58">IFERROR(
INDEX(Calc_NetworkV_1[[Ausnet]:[United Energy]],
MATCH(1,(Calc_NetworkV_1[Cost item]=$D58)*(Calc_NetworkV_1[Customer type]=$E$7),0),
MATCH(L$18,Calc_NetworkV_1[[#Headers],[Ausnet]:[United Energy]],0))*
INDEX($G$9:$G$12,MATCH(IF($D58="Single rate","Annual",$D58),$F$9:$F$12,0),1),0)</f>
        <v>0</v>
      </c>
      <c r="N58" s="170">
        <f t="shared" si="114"/>
        <v>0</v>
      </c>
      <c r="O58" s="170" cm="1">
        <f t="array" ref="O58">IFERROR(
INDEX(Calc_NetworkV_2[[Ausnet]:[United Energy]],
MATCH(1,(Calc_NetworkV_2[Cost item]=$D58)*(Calc_NetworkV_2[Customer type]=$E$7),0),
MATCH(O$18,Calc_NetworkV_2[[#Headers],[Ausnet]:[United Energy]],0))*
INDEX($G$9:$G$12,MATCH(IF($D58="Single rate","Annual",$D58),$F$9:$F$12,0),1),0)</f>
        <v>0</v>
      </c>
      <c r="P58" s="170" cm="1">
        <f t="array" ref="P58">IFERROR(
INDEX(Calc_NetworkV_2[[Ausnet]:[United Energy]],
MATCH(1,(Calc_NetworkV_2[Cost item]=$D58)*(Calc_NetworkV_2[Customer type]=$E$7),0),
MATCH(P$18,Calc_NetworkV_2[[#Headers],[Ausnet]:[United Energy]],0))*
INDEX($G$9:$G$12,MATCH(IF($D58="Single rate","Annual",$D58),$F$9:$F$12,0),1),0)</f>
        <v>0</v>
      </c>
      <c r="Q58" s="170" cm="1">
        <f t="array" ref="Q58">IFERROR(
INDEX(Calc_NetworkV_2[[Ausnet]:[United Energy]],
MATCH(1,(Calc_NetworkV_2[Cost item]=$D58)*(Calc_NetworkV_2[Customer type]=$E$7),0),
MATCH(Q$18,Calc_NetworkV_2[[#Headers],[Ausnet]:[United Energy]],0))*
INDEX($G$9:$G$12,MATCH(IF($D58="Single rate","Annual",$D58),$F$9:$F$12,0),1),0)</f>
        <v>0</v>
      </c>
      <c r="R58" s="170" cm="1">
        <f t="array" ref="R58">IFERROR(
INDEX(Calc_NetworkV_2[[Ausnet]:[United Energy]],
MATCH(1,(Calc_NetworkV_2[Cost item]=$D58)*(Calc_NetworkV_2[Customer type]=$E$7),0),
MATCH(R$18,Calc_NetworkV_2[[#Headers],[Ausnet]:[United Energy]],0))*
INDEX($G$9:$G$12,MATCH(IF($D58="Single rate","Annual",$D58),$F$9:$F$12,0),1),0)</f>
        <v>0</v>
      </c>
      <c r="S58" s="170" cm="1">
        <f t="array" ref="S58">IFERROR(
INDEX(Calc_NetworkV_2[[Ausnet]:[United Energy]],
MATCH(1,(Calc_NetworkV_2[Cost item]=$D58)*(Calc_NetworkV_2[Customer type]=$E$7),0),
MATCH(S$18,Calc_NetworkV_2[[#Headers],[Ausnet]:[United Energy]],0))*
INDEX($G$9:$G$12,MATCH(IF($D58="Single rate","Annual",$D58),$F$9:$F$12,0),1),0)</f>
        <v>0</v>
      </c>
      <c r="U58" s="170">
        <f t="shared" si="105"/>
        <v>0</v>
      </c>
      <c r="V58" s="170">
        <f t="shared" si="105"/>
        <v>0</v>
      </c>
      <c r="W58" s="170">
        <f t="shared" si="105"/>
        <v>0</v>
      </c>
      <c r="X58" s="170">
        <f t="shared" si="105"/>
        <v>0</v>
      </c>
      <c r="Y58" s="170">
        <f t="shared" si="105"/>
        <v>0</v>
      </c>
      <c r="Z58" s="170">
        <f t="shared" si="105"/>
        <v>0</v>
      </c>
      <c r="AB58" s="268">
        <f t="shared" si="106"/>
        <v>0</v>
      </c>
      <c r="AC58" s="268">
        <f t="shared" si="106"/>
        <v>0</v>
      </c>
      <c r="AD58" s="268">
        <f t="shared" si="106"/>
        <v>0</v>
      </c>
      <c r="AE58" s="268">
        <f t="shared" si="106"/>
        <v>0</v>
      </c>
      <c r="AF58" s="268">
        <f t="shared" si="106"/>
        <v>0</v>
      </c>
      <c r="AG58" s="268">
        <f t="shared" si="106"/>
        <v>0</v>
      </c>
      <c r="AI58" s="268">
        <f t="shared" si="107"/>
        <v>0</v>
      </c>
      <c r="AJ58" s="268">
        <f t="shared" si="108"/>
        <v>0</v>
      </c>
      <c r="AK58" s="268">
        <f t="shared" si="109"/>
        <v>0</v>
      </c>
      <c r="AL58" s="268">
        <f t="shared" si="110"/>
        <v>0</v>
      </c>
      <c r="AM58" s="268">
        <f t="shared" si="111"/>
        <v>0</v>
      </c>
      <c r="AN58" s="268">
        <f t="shared" si="112"/>
        <v>0</v>
      </c>
    </row>
    <row r="59" spans="3:48" outlineLevel="1" x14ac:dyDescent="0.25">
      <c r="D59" s="23" t="s">
        <v>549</v>
      </c>
      <c r="E59" s="23" t="s">
        <v>130</v>
      </c>
      <c r="G59" s="170">
        <f t="shared" si="113"/>
        <v>262.88</v>
      </c>
      <c r="H59" s="170" cm="1">
        <f t="array" ref="H59">IFERROR(
INDEX(Calc_NetworkV_1[[Ausnet]:[United Energy]],
MATCH(1,(Calc_NetworkV_1[Cost item]=$D59)*(Calc_NetworkV_1[Customer type]=$E$7),0),
MATCH(H$18,Calc_NetworkV_1[[#Headers],[Ausnet]:[United Energy]],0))*
INDEX($G$9:$G$12,MATCH(IF($D59="Single rate","Annual",$D59),$F$9:$F$12,0),1),0)</f>
        <v>0</v>
      </c>
      <c r="I59" s="170" cm="1">
        <f t="array" ref="I59">IFERROR(
INDEX(Calc_NetworkV_1[[Ausnet]:[United Energy]],
MATCH(1,(Calc_NetworkV_1[Cost item]=$D59)*(Calc_NetworkV_1[Customer type]=$E$7),0),
MATCH(I$18,Calc_NetworkV_1[[#Headers],[Ausnet]:[United Energy]],0))*
INDEX($G$9:$G$12,MATCH(IF($D59="Single rate","Annual",$D59),$F$9:$F$12,0),1),0)</f>
        <v>322</v>
      </c>
      <c r="J59" s="170" cm="1">
        <f t="array" ref="J59">IFERROR(
INDEX(Calc_NetworkV_1[[Ausnet]:[United Energy]],
MATCH(1,(Calc_NetworkV_1[Cost item]=$D59)*(Calc_NetworkV_1[Customer type]=$E$7),0),
MATCH(J$18,Calc_NetworkV_1[[#Headers],[Ausnet]:[United Energy]],0))*
INDEX($G$9:$G$12,MATCH(IF($D59="Single rate","Annual",$D59),$F$9:$F$12,0),1),0)</f>
        <v>346.8</v>
      </c>
      <c r="K59" s="170" cm="1">
        <f t="array" ref="K59">IFERROR(
INDEX(Calc_NetworkV_1[[Ausnet]:[United Energy]],
MATCH(1,(Calc_NetworkV_1[Cost item]=$D59)*(Calc_NetworkV_1[Customer type]=$E$7),0),
MATCH(K$18,Calc_NetworkV_1[[#Headers],[Ausnet]:[United Energy]],0))*
INDEX($G$9:$G$12,MATCH(IF($D59="Single rate","Annual",$D59),$F$9:$F$12,0),1),0)</f>
        <v>326</v>
      </c>
      <c r="L59" s="170" cm="1">
        <f t="array" ref="L59">IFERROR(
INDEX(Calc_NetworkV_1[[Ausnet]:[United Energy]],
MATCH(1,(Calc_NetworkV_1[Cost item]=$D59)*(Calc_NetworkV_1[Customer type]=$E$7),0),
MATCH(L$18,Calc_NetworkV_1[[#Headers],[Ausnet]:[United Energy]],0))*
INDEX($G$9:$G$12,MATCH(IF($D59="Single rate","Annual",$D59),$F$9:$F$12,0),1),0)</f>
        <v>319.60000000000002</v>
      </c>
      <c r="N59" s="170">
        <f t="shared" si="114"/>
        <v>262.88</v>
      </c>
      <c r="O59" s="170" cm="1">
        <f t="array" ref="O59">IFERROR(
INDEX(Calc_NetworkV_2[[Ausnet]:[United Energy]],
MATCH(1,(Calc_NetworkV_2[Cost item]=$D59)*(Calc_NetworkV_2[Customer type]=$E$7),0),
MATCH(O$18,Calc_NetworkV_2[[#Headers],[Ausnet]:[United Energy]],0))*
INDEX($G$9:$G$12,MATCH(IF($D59="Single rate","Annual",$D59),$F$9:$F$12,0),1),0)</f>
        <v>0</v>
      </c>
      <c r="P59" s="170" cm="1">
        <f t="array" ref="P59">IFERROR(
INDEX(Calc_NetworkV_2[[Ausnet]:[United Energy]],
MATCH(1,(Calc_NetworkV_2[Cost item]=$D59)*(Calc_NetworkV_2[Customer type]=$E$7),0),
MATCH(P$18,Calc_NetworkV_2[[#Headers],[Ausnet]:[United Energy]],0))*
INDEX($G$9:$G$12,MATCH(IF($D59="Single rate","Annual",$D59),$F$9:$F$12,0),1),0)</f>
        <v>322</v>
      </c>
      <c r="Q59" s="170" cm="1">
        <f t="array" ref="Q59">IFERROR(
INDEX(Calc_NetworkV_2[[Ausnet]:[United Energy]],
MATCH(1,(Calc_NetworkV_2[Cost item]=$D59)*(Calc_NetworkV_2[Customer type]=$E$7),0),
MATCH(Q$18,Calc_NetworkV_2[[#Headers],[Ausnet]:[United Energy]],0))*
INDEX($G$9:$G$12,MATCH(IF($D59="Single rate","Annual",$D59),$F$9:$F$12,0),1),0)</f>
        <v>346.8</v>
      </c>
      <c r="R59" s="170" cm="1">
        <f t="array" ref="R59">IFERROR(
INDEX(Calc_NetworkV_2[[Ausnet]:[United Energy]],
MATCH(1,(Calc_NetworkV_2[Cost item]=$D59)*(Calc_NetworkV_2[Customer type]=$E$7),0),
MATCH(R$18,Calc_NetworkV_2[[#Headers],[Ausnet]:[United Energy]],0))*
INDEX($G$9:$G$12,MATCH(IF($D59="Single rate","Annual",$D59),$F$9:$F$12,0),1),0)</f>
        <v>326</v>
      </c>
      <c r="S59" s="170" cm="1">
        <f t="array" ref="S59">IFERROR(
INDEX(Calc_NetworkV_2[[Ausnet]:[United Energy]],
MATCH(1,(Calc_NetworkV_2[Cost item]=$D59)*(Calc_NetworkV_2[Customer type]=$E$7),0),
MATCH(S$18,Calc_NetworkV_2[[#Headers],[Ausnet]:[United Energy]],0))*
INDEX($G$9:$G$12,MATCH(IF($D59="Single rate","Annual",$D59),$F$9:$F$12,0),1),0)</f>
        <v>319.60000000000002</v>
      </c>
      <c r="U59" s="170">
        <f t="shared" si="105"/>
        <v>0</v>
      </c>
      <c r="V59" s="170">
        <f t="shared" si="105"/>
        <v>0</v>
      </c>
      <c r="W59" s="170">
        <f t="shared" si="105"/>
        <v>0</v>
      </c>
      <c r="X59" s="170">
        <f t="shared" si="105"/>
        <v>0</v>
      </c>
      <c r="Y59" s="170">
        <f t="shared" si="105"/>
        <v>0</v>
      </c>
      <c r="Z59" s="170">
        <f t="shared" si="105"/>
        <v>0</v>
      </c>
      <c r="AB59" s="268">
        <f t="shared" si="106"/>
        <v>0</v>
      </c>
      <c r="AC59" s="268">
        <f t="shared" si="106"/>
        <v>0</v>
      </c>
      <c r="AD59" s="268">
        <f t="shared" si="106"/>
        <v>0</v>
      </c>
      <c r="AE59" s="268">
        <f t="shared" si="106"/>
        <v>0</v>
      </c>
      <c r="AF59" s="268">
        <f t="shared" si="106"/>
        <v>0</v>
      </c>
      <c r="AG59" s="268">
        <f t="shared" si="106"/>
        <v>0</v>
      </c>
      <c r="AI59" s="268">
        <f t="shared" si="107"/>
        <v>0.19574087862993297</v>
      </c>
      <c r="AJ59" s="268">
        <f t="shared" si="108"/>
        <v>0</v>
      </c>
      <c r="AK59" s="268">
        <f t="shared" si="109"/>
        <v>0.2519561815336463</v>
      </c>
      <c r="AL59" s="268">
        <f t="shared" si="110"/>
        <v>0.26372623574144488</v>
      </c>
      <c r="AM59" s="268">
        <f t="shared" si="111"/>
        <v>0.24005891016200295</v>
      </c>
      <c r="AN59" s="268">
        <f t="shared" si="112"/>
        <v>0.2524486571879937</v>
      </c>
    </row>
    <row r="60" spans="3:48" outlineLevel="1" x14ac:dyDescent="0.25">
      <c r="AB60" s="122"/>
      <c r="AC60" s="122"/>
      <c r="AD60" s="122"/>
      <c r="AE60" s="122"/>
      <c r="AF60" s="122"/>
      <c r="AG60" s="122"/>
      <c r="AI60" s="122"/>
      <c r="AJ60" s="122"/>
      <c r="AK60" s="122"/>
      <c r="AL60" s="122"/>
      <c r="AM60" s="122"/>
      <c r="AN60" s="122"/>
    </row>
    <row r="61" spans="3:48" outlineLevel="1" x14ac:dyDescent="0.25">
      <c r="C61" t="s">
        <v>284</v>
      </c>
      <c r="D61" s="23" t="s">
        <v>814</v>
      </c>
      <c r="E61" s="23" t="s">
        <v>130</v>
      </c>
      <c r="G61" s="291">
        <f t="shared" ref="G61:G62" si="115">AVERAGE(H61:L61)</f>
        <v>17.519639361543163</v>
      </c>
      <c r="H61" s="373">
        <f>(H$71)*
((INDEX(Input_ForRateCalc[[F-PreviousVDO_InputDate]:[D-NextVDO_Input]],MATCH("Distribution loss factor - "&amp;H$18,Input_ForRateCalc[[Cost item]:[Cost item]],0),MATCH($G$17,Inputs!$H$8:$S$8,0))*
INDEX(Input_ForRateCalc[[F-PreviousVDO_InputDate]:[D-NextVDO_Input]],MATCH("Marginal loss factor - "&amp;H$18,Input_ForRateCalc[[Cost item]:[Cost item]],0),MATCH($G$17,Inputs!$H$8:$S$8,0)))-1)</f>
        <v>24.496910093116931</v>
      </c>
      <c r="I61" s="373">
        <f>(I$71)*
((INDEX(Input_ForRateCalc[[F-PreviousVDO_InputDate]:[D-NextVDO_Input]],MATCH("Distribution loss factor - "&amp;I$18,Input_ForRateCalc[[Cost item]:[Cost item]],0),MATCH($G$17,Inputs!$H$8:$S$8,0))*
INDEX(Input_ForRateCalc[[F-PreviousVDO_InputDate]:[D-NextVDO_Input]],MATCH("Marginal loss factor - "&amp;I$18,Input_ForRateCalc[[Cost item]:[Cost item]],0),MATCH($G$17,Inputs!$H$8:$S$8,0)))-1)</f>
        <v>13.55759900000003</v>
      </c>
      <c r="J61" s="373">
        <f>(J$71)*
((INDEX(Input_ForRateCalc[[F-PreviousVDO_InputDate]:[D-NextVDO_Input]],MATCH("Distribution loss factor - "&amp;J$18,Input_ForRateCalc[[Cost item]:[Cost item]],0),MATCH($G$17,Inputs!$H$8:$S$8,0))*
INDEX(Input_ForRateCalc[[F-PreviousVDO_InputDate]:[D-NextVDO_Input]],MATCH("Marginal loss factor - "&amp;J$18,Input_ForRateCalc[[Cost item]:[Cost item]],0),MATCH($G$17,Inputs!$H$8:$S$8,0)))-1)</f>
        <v>13.169274776000014</v>
      </c>
      <c r="K61" s="373">
        <f>(K$71)*
((INDEX(Input_ForRateCalc[[F-PreviousVDO_InputDate]:[D-NextVDO_Input]],MATCH("Distribution loss factor - "&amp;K$18,Input_ForRateCalc[[Cost item]:[Cost item]],0),MATCH($G$17,Inputs!$H$8:$S$8,0))*
INDEX(Input_ForRateCalc[[F-PreviousVDO_InputDate]:[D-NextVDO_Input]],MATCH("Marginal loss factor - "&amp;K$18,Input_ForRateCalc[[Cost item]:[Cost item]],0),MATCH($G$17,Inputs!$H$8:$S$8,0)))-1)</f>
        <v>21.569865717689744</v>
      </c>
      <c r="L61" s="373">
        <f>(L$71)*
((INDEX(Input_ForRateCalc[[F-PreviousVDO_InputDate]:[D-NextVDO_Input]],MATCH("Distribution loss factor - "&amp;L$18,Input_ForRateCalc[[Cost item]:[Cost item]],0),MATCH($G$17,Inputs!$H$8:$S$8,0))*
INDEX(Input_ForRateCalc[[F-PreviousVDO_InputDate]:[D-NextVDO_Input]],MATCH("Marginal loss factor - "&amp;L$18,Input_ForRateCalc[[Cost item]:[Cost item]],0),MATCH($G$17,Inputs!$H$8:$S$8,0)))-1)</f>
        <v>14.804547220909084</v>
      </c>
      <c r="N61" s="291">
        <f t="shared" ref="N61:N62" si="116">AVERAGE(O61:S61)</f>
        <v>16.52642733766687</v>
      </c>
      <c r="O61" s="291">
        <f>(O$71)*
((INDEX(Input_ForRateCalc[[F-PreviousVDO_InputDate]:[F-CurrentVDO_Input]],MATCH("Distribution loss factor - "&amp;O$18,Input_ForRateCalc[[Cost item]:[Cost item]],0),MATCH($N$17,Inputs!$H$8:$Q$8,0))*
INDEX(Input_ForRateCalc[[F-PreviousVDO_InputDate]:[F-CurrentVDO_Input]],MATCH("Marginal loss factor - "&amp;O$18,Input_ForRateCalc[[Cost item]:[Cost item]],0),MATCH($N$17,Inputs!$H$8:$Q$8,0)))-1)</f>
        <v>22.783906130974991</v>
      </c>
      <c r="P61" s="291">
        <f>(P$71)*
((INDEX(Input_ForRateCalc[[F-PreviousVDO_InputDate]:[F-CurrentVDO_Input]],MATCH("Distribution loss factor - "&amp;P$18,Input_ForRateCalc[[Cost item]:[Cost item]],0),MATCH($N$17,Inputs!$H$8:$Q$8,0))*
INDEX(Input_ForRateCalc[[F-PreviousVDO_InputDate]:[F-CurrentVDO_Input]],MATCH("Marginal loss factor - "&amp;P$18,Input_ForRateCalc[[Cost item]:[Cost item]],0),MATCH($N$17,Inputs!$H$8:$Q$8,0)))-1)</f>
        <v>13.009180266666695</v>
      </c>
      <c r="Q61" s="291">
        <f>(Q$71)*
((INDEX(Input_ForRateCalc[[F-PreviousVDO_InputDate]:[F-CurrentVDO_Input]],MATCH("Distribution loss factor - "&amp;Q$18,Input_ForRateCalc[[Cost item]:[Cost item]],0),MATCH($N$17,Inputs!$H$8:$Q$8,0))*
INDEX(Input_ForRateCalc[[F-PreviousVDO_InputDate]:[F-CurrentVDO_Input]],MATCH("Marginal loss factor - "&amp;Q$18,Input_ForRateCalc[[Cost item]:[Cost item]],0),MATCH($N$17,Inputs!$H$8:$Q$8,0)))-1)</f>
        <v>12.511149405000015</v>
      </c>
      <c r="R61" s="291">
        <f>(R$71)*
((INDEX(Input_ForRateCalc[[F-PreviousVDO_InputDate]:[F-CurrentVDO_Input]],MATCH("Distribution loss factor - "&amp;R$18,Input_ForRateCalc[[Cost item]:[Cost item]],0),MATCH($N$17,Inputs!$H$8:$Q$8,0))*
INDEX(Input_ForRateCalc[[F-PreviousVDO_InputDate]:[F-CurrentVDO_Input]],MATCH("Marginal loss factor - "&amp;R$18,Input_ForRateCalc[[Cost item]:[Cost item]],0),MATCH($N$17,Inputs!$H$8:$Q$8,0)))-1)</f>
        <v>20.044897097510855</v>
      </c>
      <c r="S61" s="291">
        <f>(S$71)*
((INDEX(Input_ForRateCalc[[F-PreviousVDO_InputDate]:[F-CurrentVDO_Input]],MATCH("Distribution loss factor - "&amp;S$18,Input_ForRateCalc[[Cost item]:[Cost item]],0),MATCH($N$17,Inputs!$H$8:$Q$8,0))*
INDEX(Input_ForRateCalc[[F-PreviousVDO_InputDate]:[F-CurrentVDO_Input]],MATCH("Marginal loss factor - "&amp;S$18,Input_ForRateCalc[[Cost item]:[Cost item]],0),MATCH($N$17,Inputs!$H$8:$Q$8,0)))-1)</f>
        <v>14.283003788181807</v>
      </c>
      <c r="U61" s="291">
        <f t="shared" ref="U61:U62" si="117">IFERROR(N61-G61,"-")</f>
        <v>-0.9932120238762927</v>
      </c>
      <c r="V61" s="291">
        <f t="shared" ref="V61:V62" si="118">IFERROR(O61-H61,"-")</f>
        <v>-1.71300396214194</v>
      </c>
      <c r="W61" s="291">
        <f t="shared" ref="W61:W62" si="119">IFERROR(P61-I61,"-")</f>
        <v>-0.54841873333333524</v>
      </c>
      <c r="X61" s="291">
        <f t="shared" ref="X61:X62" si="120">IFERROR(Q61-J61,"-")</f>
        <v>-0.65812537099999879</v>
      </c>
      <c r="Y61" s="291">
        <f t="shared" ref="Y61:Y62" si="121">IFERROR(R61-K61,"-")</f>
        <v>-1.524968620178889</v>
      </c>
      <c r="Z61" s="291">
        <f t="shared" ref="Z61:Z62" si="122">IFERROR(S61-L61,"-")</f>
        <v>-0.52154343272727743</v>
      </c>
      <c r="AB61" s="268">
        <f t="shared" ref="AB61:AB62" si="123">IFERROR(U61/G$20,"-")</f>
        <v>-7.2923056084896675E-4</v>
      </c>
      <c r="AC61" s="268">
        <f t="shared" ref="AC61:AC62" si="124">IFERROR(V61/H$20,"-")</f>
        <v>-1.1210758914541492E-3</v>
      </c>
      <c r="AD61" s="268">
        <f t="shared" ref="AD61:AD62" si="125">IFERROR(W61/I$20,"-")</f>
        <v>-4.2612178192178341E-4</v>
      </c>
      <c r="AE61" s="268">
        <f t="shared" ref="AE61:AE62" si="126">IFERROR(X61/J$20,"-")</f>
        <v>-4.9483110601503664E-4</v>
      </c>
      <c r="AF61" s="268">
        <f t="shared" ref="AF61:AF62" si="127">IFERROR(Y61/K$20,"-")</f>
        <v>-1.1050497247673109E-3</v>
      </c>
      <c r="AG61" s="268">
        <f t="shared" ref="AG61:AG62" si="128">IFERROR(Z61/L$20,"-")</f>
        <v>-4.0713773046625873E-4</v>
      </c>
      <c r="AI61" s="268">
        <f t="shared" ref="AI61:AI62" si="129">IFERROR(N61/N$20,"-")</f>
        <v>1.2305604867957461E-2</v>
      </c>
      <c r="AJ61" s="268">
        <f t="shared" ref="AJ61:AJ62" si="130">IFERROR(O61/O$20,"-")</f>
        <v>1.5250271841348723E-2</v>
      </c>
      <c r="AK61" s="268">
        <f t="shared" ref="AK61:AK62" si="131">IFERROR(P61/P$20,"-")</f>
        <v>1.0179327282211811E-2</v>
      </c>
      <c r="AL61" s="268">
        <f t="shared" ref="AL61:AL62" si="132">IFERROR(Q61/Q$20,"-")</f>
        <v>9.5141820570342327E-3</v>
      </c>
      <c r="AM61" s="268">
        <f t="shared" ref="AM61:AM62" si="133">IFERROR(R61/R$20,"-")</f>
        <v>1.4760601691834208E-2</v>
      </c>
      <c r="AN61" s="268">
        <f t="shared" ref="AN61:AN62" si="134">IFERROR(S61/S$20,"-")</f>
        <v>1.1281993513571727E-2</v>
      </c>
    </row>
    <row r="62" spans="3:48" outlineLevel="1" x14ac:dyDescent="0.25">
      <c r="C62" t="s">
        <v>284</v>
      </c>
      <c r="D62" s="23" t="s">
        <v>815</v>
      </c>
      <c r="E62" s="23" t="s">
        <v>130</v>
      </c>
      <c r="G62" s="291">
        <f t="shared" si="115"/>
        <v>6.7907978401157774</v>
      </c>
      <c r="H62" s="373">
        <f>(H$51+H$52+H$53)*
((INDEX(Input_ForRateCalc[[F-PreviousVDO_InputDate]:[D-NextVDO_Input]],MATCH("Distribution loss factor - "&amp;H$18,Input_ForRateCalc[[Cost item]:[Cost item]],0),MATCH($G$17,Inputs!$H$8:$S$8,0))*
INDEX(Input_ForRateCalc[[F-PreviousVDO_InputDate]:[D-NextVDO_Input]],MATCH("Marginal loss factor - "&amp;H$18,Input_ForRateCalc[[Cost item]:[Cost item]],0),MATCH($G$17,Inputs!$H$8:$S$8,0)))-1)</f>
        <v>9.335261032647006</v>
      </c>
      <c r="I62" s="373">
        <f>(I$51+I$52+I$53)*
((INDEX(Input_ForRateCalc[[F-PreviousVDO_InputDate]:[D-NextVDO_Input]],MATCH("Distribution loss factor - "&amp;I$18,Input_ForRateCalc[[Cost item]:[Cost item]],0),MATCH($G$17,Inputs!$H$8:$S$8,0))*
INDEX(Input_ForRateCalc[[F-PreviousVDO_InputDate]:[D-NextVDO_Input]],MATCH("Marginal loss factor - "&amp;I$18,Input_ForRateCalc[[Cost item]:[Cost item]],0),MATCH($G$17,Inputs!$H$8:$S$8,0)))-1)</f>
        <v>5.6128992720373203</v>
      </c>
      <c r="J62" s="373">
        <f>(J$51+J$52+J$53)*
((INDEX(Input_ForRateCalc[[F-PreviousVDO_InputDate]:[D-NextVDO_Input]],MATCH("Distribution loss factor - "&amp;J$18,Input_ForRateCalc[[Cost item]:[Cost item]],0),MATCH($G$17,Inputs!$H$8:$S$8,0))*
INDEX(Input_ForRateCalc[[F-PreviousVDO_InputDate]:[D-NextVDO_Input]],MATCH("Marginal loss factor - "&amp;J$18,Input_ForRateCalc[[Cost item]:[Cost item]],0),MATCH($G$17,Inputs!$H$8:$S$8,0)))-1)</f>
        <v>4.9695366281465674</v>
      </c>
      <c r="K62" s="373">
        <f>(K$51+K$52+K$53)*
((INDEX(Input_ForRateCalc[[F-PreviousVDO_InputDate]:[D-NextVDO_Input]],MATCH("Distribution loss factor - "&amp;K$18,Input_ForRateCalc[[Cost item]:[Cost item]],0),MATCH($G$17,Inputs!$H$8:$S$8,0))*
INDEX(Input_ForRateCalc[[F-PreviousVDO_InputDate]:[D-NextVDO_Input]],MATCH("Marginal loss factor - "&amp;K$18,Input_ForRateCalc[[Cost item]:[Cost item]],0),MATCH($G$17,Inputs!$H$8:$S$8,0)))-1)</f>
        <v>8.4040874335334124</v>
      </c>
      <c r="L62" s="373">
        <f>(L$51+L$52+L$53)*
((INDEX(Input_ForRateCalc[[F-PreviousVDO_InputDate]:[D-NextVDO_Input]],MATCH("Distribution loss factor - "&amp;L$18,Input_ForRateCalc[[Cost item]:[Cost item]],0),MATCH($G$17,Inputs!$H$8:$S$8,0))*
INDEX(Input_ForRateCalc[[F-PreviousVDO_InputDate]:[D-NextVDO_Input]],MATCH("Marginal loss factor - "&amp;L$18,Input_ForRateCalc[[Cost item]:[Cost item]],0),MATCH($G$17,Inputs!$H$8:$S$8,0)))-1)</f>
        <v>5.6322048342145843</v>
      </c>
      <c r="N62" s="291">
        <f t="shared" si="116"/>
        <v>6.1149163925029297</v>
      </c>
      <c r="O62" s="291">
        <f>(O$51+O$52+O$53)*
((INDEX(Input_ForRateCalc[[F-PreviousVDO_InputDate]:[F-CurrentVDO_Input]],MATCH("Distribution loss factor - "&amp;O$18,Input_ForRateCalc[[Cost item]:[Cost item]],0),MATCH($N$17,Inputs!$H$8:$Q$8,0))*
INDEX(Input_ForRateCalc[[F-PreviousVDO_InputDate]:[F-CurrentVDO_Input]],MATCH("Marginal loss factor - "&amp;O$18,Input_ForRateCalc[[Cost item]:[Cost item]],0),MATCH($N$17,Inputs!$H$8:$Q$8,0)))-1)</f>
        <v>8.4061316594654745</v>
      </c>
      <c r="P62" s="291">
        <f>(P$51+P$52+P$53)*
((INDEX(Input_ForRateCalc[[F-PreviousVDO_InputDate]:[F-CurrentVDO_Input]],MATCH("Distribution loss factor - "&amp;P$18,Input_ForRateCalc[[Cost item]:[Cost item]],0),MATCH($N$17,Inputs!$H$8:$Q$8,0))*
INDEX(Input_ForRateCalc[[F-PreviousVDO_InputDate]:[F-CurrentVDO_Input]],MATCH("Marginal loss factor - "&amp;P$18,Input_ForRateCalc[[Cost item]:[Cost item]],0),MATCH($N$17,Inputs!$H$8:$Q$8,0)))-1)</f>
        <v>5.0542529134490621</v>
      </c>
      <c r="Q62" s="291">
        <f>(Q$51+Q$52+Q$53)*
((INDEX(Input_ForRateCalc[[F-PreviousVDO_InputDate]:[F-CurrentVDO_Input]],MATCH("Distribution loss factor - "&amp;Q$18,Input_ForRateCalc[[Cost item]:[Cost item]],0),MATCH($N$17,Inputs!$H$8:$Q$8,0))*
INDEX(Input_ForRateCalc[[F-PreviousVDO_InputDate]:[F-CurrentVDO_Input]],MATCH("Marginal loss factor - "&amp;Q$18,Input_ForRateCalc[[Cost item]:[Cost item]],0),MATCH($N$17,Inputs!$H$8:$Q$8,0)))-1)</f>
        <v>4.4749235223999957</v>
      </c>
      <c r="R62" s="291">
        <f>(R$51+R$52+R$53)*
((INDEX(Input_ForRateCalc[[F-PreviousVDO_InputDate]:[F-CurrentVDO_Input]],MATCH("Distribution loss factor - "&amp;R$18,Input_ForRateCalc[[Cost item]:[Cost item]],0),MATCH($N$17,Inputs!$H$8:$Q$8,0))*
INDEX(Input_ForRateCalc[[F-PreviousVDO_InputDate]:[F-CurrentVDO_Input]],MATCH("Marginal loss factor - "&amp;R$18,Input_ForRateCalc[[Cost item]:[Cost item]],0),MATCH($N$17,Inputs!$H$8:$Q$8,0)))-1)</f>
        <v>7.5676368552395559</v>
      </c>
      <c r="S62" s="291">
        <f>(S$51+S$52+S$53)*
((INDEX(Input_ForRateCalc[[F-PreviousVDO_InputDate]:[F-CurrentVDO_Input]],MATCH("Distribution loss factor - "&amp;S$18,Input_ForRateCalc[[Cost item]:[Cost item]],0),MATCH($N$17,Inputs!$H$8:$Q$8,0))*
INDEX(Input_ForRateCalc[[F-PreviousVDO_InputDate]:[F-CurrentVDO_Input]],MATCH("Marginal loss factor - "&amp;S$18,Input_ForRateCalc[[Cost item]:[Cost item]],0),MATCH($N$17,Inputs!$H$8:$Q$8,0)))-1)</f>
        <v>5.0716370119605596</v>
      </c>
      <c r="U62" s="291">
        <f t="shared" si="117"/>
        <v>-0.67588144761284763</v>
      </c>
      <c r="V62" s="291">
        <f t="shared" si="118"/>
        <v>-0.92912937318153155</v>
      </c>
      <c r="W62" s="291">
        <f t="shared" si="119"/>
        <v>-0.55864635858825817</v>
      </c>
      <c r="X62" s="291">
        <f t="shared" si="120"/>
        <v>-0.49461310574657169</v>
      </c>
      <c r="Y62" s="291">
        <f t="shared" si="121"/>
        <v>-0.83645057829385649</v>
      </c>
      <c r="Z62" s="291">
        <f t="shared" si="122"/>
        <v>-0.56056782225402468</v>
      </c>
      <c r="AB62" s="268">
        <f t="shared" si="123"/>
        <v>-4.9624188517830221E-4</v>
      </c>
      <c r="AC62" s="268">
        <f t="shared" si="124"/>
        <v>-6.0806896150623793E-4</v>
      </c>
      <c r="AD62" s="268">
        <f t="shared" si="125"/>
        <v>-4.3406865469173129E-4</v>
      </c>
      <c r="AE62" s="268">
        <f t="shared" si="126"/>
        <v>-3.7188955319291105E-4</v>
      </c>
      <c r="AF62" s="268">
        <f t="shared" si="127"/>
        <v>-6.0612360745931633E-4</v>
      </c>
      <c r="AG62" s="268">
        <f t="shared" si="128"/>
        <v>-4.3760173478065941E-4</v>
      </c>
      <c r="AI62" s="268">
        <f t="shared" si="129"/>
        <v>4.5531767628465602E-3</v>
      </c>
      <c r="AJ62" s="268">
        <f t="shared" si="130"/>
        <v>5.626594149575284E-3</v>
      </c>
      <c r="AK62" s="268">
        <f t="shared" si="131"/>
        <v>3.9548144862668715E-3</v>
      </c>
      <c r="AL62" s="268">
        <f t="shared" si="132"/>
        <v>3.4029836672243314E-3</v>
      </c>
      <c r="AM62" s="268">
        <f t="shared" si="133"/>
        <v>5.5726339140202913E-3</v>
      </c>
      <c r="AN62" s="268">
        <f t="shared" si="134"/>
        <v>4.0060323949135538E-3</v>
      </c>
    </row>
    <row r="63" spans="3:48" outlineLevel="1" x14ac:dyDescent="0.25">
      <c r="C63" t="s">
        <v>284</v>
      </c>
      <c r="D63" s="23" t="s">
        <v>816</v>
      </c>
      <c r="E63" s="23" t="s">
        <v>130</v>
      </c>
      <c r="G63" s="170">
        <f>AVERAGE(H63:L63)</f>
        <v>0.17462446775418164</v>
      </c>
      <c r="H63" s="373">
        <f>(H$65+H$66+H69)*
((INDEX(Input_ForRateCalc[[F-PreviousVDO_InputDate]:[D-NextVDO_Input]],MATCH("Distribution loss factor - "&amp;H$18,Input_ForRateCalc[[Cost item]:[Cost item]],0),MATCH($G$17,Inputs!$H$8:$S$8,0))*
INDEX(Input_ForRateCalc[[F-PreviousVDO_InputDate]:[D-NextVDO_Input]],MATCH("Marginal loss factor - "&amp;H$18,Input_ForRateCalc[[Cost item]:[Cost item]],0),MATCH($G$17,Inputs!$H$8:$S$8,0)))-1)</f>
        <v>0.24005500201203789</v>
      </c>
      <c r="I63" s="373">
        <f>(I$65+I$66+I69)*
((INDEX(Input_ForRateCalc[[F-PreviousVDO_InputDate]:[D-NextVDO_Input]],MATCH("Distribution loss factor - "&amp;I$18,Input_ForRateCalc[[Cost item]:[Cost item]],0),MATCH($G$17,Inputs!$H$8:$S$8,0))*
INDEX(Input_ForRateCalc[[F-PreviousVDO_InputDate]:[D-NextVDO_Input]],MATCH("Marginal loss factor - "&amp;I$18,Input_ForRateCalc[[Cost item]:[Cost item]],0),MATCH($G$17,Inputs!$H$8:$S$8,0)))-1)</f>
        <v>0.1443349619609115</v>
      </c>
      <c r="J63" s="373">
        <f>(J$65+J$66+J69)*
((INDEX(Input_ForRateCalc[[F-PreviousVDO_InputDate]:[D-NextVDO_Input]],MATCH("Distribution loss factor - "&amp;J$18,Input_ForRateCalc[[Cost item]:[Cost item]],0),MATCH($G$17,Inputs!$H$8:$S$8,0))*
INDEX(Input_ForRateCalc[[F-PreviousVDO_InputDate]:[D-NextVDO_Input]],MATCH("Marginal loss factor - "&amp;J$18,Input_ForRateCalc[[Cost item]:[Cost item]],0),MATCH($G$17,Inputs!$H$8:$S$8,0)))-1)</f>
        <v>0.12779097671684031</v>
      </c>
      <c r="K63" s="373">
        <f>(K$65+K$66+K69)*
((INDEX(Input_ForRateCalc[[F-PreviousVDO_InputDate]:[D-NextVDO_Input]],MATCH("Distribution loss factor - "&amp;K$18,Input_ForRateCalc[[Cost item]:[Cost item]],0),MATCH($G$17,Inputs!$H$8:$S$8,0))*
INDEX(Input_ForRateCalc[[F-PreviousVDO_InputDate]:[D-NextVDO_Input]],MATCH("Marginal loss factor - "&amp;K$18,Input_ForRateCalc[[Cost item]:[Cost item]],0),MATCH($G$17,Inputs!$H$8:$S$8,0)))-1)</f>
        <v>0.21610999614374587</v>
      </c>
      <c r="L63" s="373">
        <f>(L$65+L$66+L69)*
((INDEX(Input_ForRateCalc[[F-PreviousVDO_InputDate]:[D-NextVDO_Input]],MATCH("Distribution loss factor - "&amp;L$18,Input_ForRateCalc[[Cost item]:[Cost item]],0),MATCH($G$17,Inputs!$H$8:$S$8,0))*
INDEX(Input_ForRateCalc[[F-PreviousVDO_InputDate]:[D-NextVDO_Input]],MATCH("Marginal loss factor - "&amp;L$18,Input_ForRateCalc[[Cost item]:[Cost item]],0),MATCH($G$17,Inputs!$H$8:$S$8,0)))-1)</f>
        <v>0.14483140193737271</v>
      </c>
      <c r="N63" s="170">
        <f>AVERAGE(O63:S63)</f>
        <v>0.20239977232017345</v>
      </c>
      <c r="O63" s="170">
        <f>(O$65+O$66+O67+O68+O69)*
((INDEX(Input_ForRateCalc[[F-PreviousVDO_InputDate]:[F-CurrentVDO_Input]],MATCH("Distribution loss factor - "&amp;O$18,Input_ForRateCalc[[Cost item]:[Cost item]],0),MATCH($N$17,Inputs!$H$8:$Q$8,0))*
INDEX(Input_ForRateCalc[[F-PreviousVDO_InputDate]:[F-CurrentVDO_Input]],MATCH("Marginal loss factor - "&amp;O$18,Input_ForRateCalc[[Cost item]:[Cost item]],0),MATCH($N$17,Inputs!$H$8:$Q$8,0)))-1)</f>
        <v>0.27823751377127248</v>
      </c>
      <c r="P63" s="291">
        <f>(P$65+P$66+P67+P68+P69)*
((INDEX(Input_ForRateCalc[[F-PreviousVDO_InputDate]:[F-CurrentVDO_Input]],MATCH("Distribution loss factor - "&amp;P$18,Input_ForRateCalc[[Cost item]:[Cost item]],0),MATCH($N$17,Inputs!$H$8:$Q$8,0))*
INDEX(Input_ForRateCalc[[F-PreviousVDO_InputDate]:[F-CurrentVDO_Input]],MATCH("Marginal loss factor - "&amp;P$18,Input_ForRateCalc[[Cost item]:[Cost item]],0),MATCH($N$17,Inputs!$H$8:$Q$8,0)))-1)</f>
        <v>0.16729249809283855</v>
      </c>
      <c r="Q63" s="291">
        <f>(Q$65+Q$66+Q67+Q68+Q69)*
((INDEX(Input_ForRateCalc[[F-PreviousVDO_InputDate]:[F-CurrentVDO_Input]],MATCH("Distribution loss factor - "&amp;Q$18,Input_ForRateCalc[[Cost item]:[Cost item]],0),MATCH($N$17,Inputs!$H$8:$Q$8,0))*
INDEX(Input_ForRateCalc[[F-PreviousVDO_InputDate]:[F-CurrentVDO_Input]],MATCH("Marginal loss factor - "&amp;Q$18,Input_ForRateCalc[[Cost item]:[Cost item]],0),MATCH($N$17,Inputs!$H$8:$Q$8,0)))-1)</f>
        <v>0.14811707044668537</v>
      </c>
      <c r="R63" s="291">
        <f>(R$65+R$66+R67+R68+R69)*
((INDEX(Input_ForRateCalc[[F-PreviousVDO_InputDate]:[F-CurrentVDO_Input]],MATCH("Distribution loss factor - "&amp;R$18,Input_ForRateCalc[[Cost item]:[Cost item]],0),MATCH($N$17,Inputs!$H$8:$Q$8,0))*
INDEX(Input_ForRateCalc[[F-PreviousVDO_InputDate]:[F-CurrentVDO_Input]],MATCH("Marginal loss factor - "&amp;R$18,Input_ForRateCalc[[Cost item]:[Cost item]],0),MATCH($N$17,Inputs!$H$8:$Q$8,0)))-1)</f>
        <v>0.25048387879515976</v>
      </c>
      <c r="S63" s="291">
        <f>(S$65+S$66+S67+S68+S69)*
((INDEX(Input_ForRateCalc[[F-PreviousVDO_InputDate]:[F-CurrentVDO_Input]],MATCH("Distribution loss factor - "&amp;S$18,Input_ForRateCalc[[Cost item]:[Cost item]],0),MATCH($N$17,Inputs!$H$8:$Q$8,0))*
INDEX(Input_ForRateCalc[[F-PreviousVDO_InputDate]:[F-CurrentVDO_Input]],MATCH("Marginal loss factor - "&amp;S$18,Input_ForRateCalc[[Cost item]:[Cost item]],0),MATCH($N$17,Inputs!$H$8:$Q$8,0)))-1)</f>
        <v>0.16786790049491102</v>
      </c>
      <c r="U63" s="170">
        <f>IFERROR(N63-G63,"-")</f>
        <v>2.777530456599181E-2</v>
      </c>
      <c r="V63" s="170">
        <f t="shared" ref="V63:Z63" si="135">IFERROR(O63-H63,"-")</f>
        <v>3.8182511759234594E-2</v>
      </c>
      <c r="W63" s="170">
        <f t="shared" si="135"/>
        <v>2.2957536131927053E-2</v>
      </c>
      <c r="X63" s="170">
        <f t="shared" si="135"/>
        <v>2.0326093729845063E-2</v>
      </c>
      <c r="Y63" s="170">
        <f t="shared" si="135"/>
        <v>3.437388265141389E-2</v>
      </c>
      <c r="Z63" s="170">
        <f t="shared" si="135"/>
        <v>2.303649855753831E-2</v>
      </c>
      <c r="AB63" s="268">
        <f>IFERROR(U63/G$20,"-")</f>
        <v>2.0393028315706174E-5</v>
      </c>
      <c r="AC63" s="268">
        <f t="shared" ref="AC63:AD63" si="136">IFERROR(V63/H$20,"-")</f>
        <v>2.4988554816253007E-5</v>
      </c>
      <c r="AD63" s="268">
        <f t="shared" si="136"/>
        <v>1.7838023412530731E-5</v>
      </c>
      <c r="AE63" s="268">
        <f>IFERROR(X63/J$20,"-")</f>
        <v>1.5282777240485009E-5</v>
      </c>
      <c r="AF63" s="268">
        <f t="shared" ref="AF63:AG63" si="137">IFERROR(Y63/K$20,"-")</f>
        <v>2.4908610616966586E-5</v>
      </c>
      <c r="AG63" s="268">
        <f t="shared" si="137"/>
        <v>1.7983215111271125E-5</v>
      </c>
      <c r="AI63" s="268">
        <f>IFERROR(N63/N$20,"-")</f>
        <v>1.5070720202544561E-4</v>
      </c>
      <c r="AJ63" s="268">
        <f t="shared" ref="AJ63" si="138">IFERROR(O63/O$20,"-")</f>
        <v>1.8623662233686243E-4</v>
      </c>
      <c r="AK63" s="268">
        <f t="shared" ref="AK63" si="139">IFERROR(P63/P$20,"-")</f>
        <v>1.3090179819470936E-4</v>
      </c>
      <c r="AL63" s="268">
        <f t="shared" ref="AL63" si="140">IFERROR(Q63/Q$20,"-")</f>
        <v>1.1263655547276454E-4</v>
      </c>
      <c r="AM63" s="268">
        <f t="shared" ref="AM63" si="141">IFERROR(R63/R$20,"-")</f>
        <v>1.8445057348686285E-4</v>
      </c>
      <c r="AN63" s="268">
        <f t="shared" ref="AN63" si="142">IFERROR(S63/S$20,"-")</f>
        <v>1.3259707780008769E-4</v>
      </c>
    </row>
    <row r="64" spans="3:48" outlineLevel="1" x14ac:dyDescent="0.25">
      <c r="AB64" s="122"/>
      <c r="AC64" s="122"/>
      <c r="AD64" s="122"/>
      <c r="AE64" s="122"/>
      <c r="AF64" s="122"/>
      <c r="AG64" s="122"/>
      <c r="AI64" s="122"/>
      <c r="AJ64" s="122"/>
      <c r="AK64" s="122"/>
      <c r="AL64" s="122"/>
      <c r="AM64" s="122"/>
      <c r="AN64" s="122"/>
    </row>
    <row r="65" spans="2:45" outlineLevel="1" x14ac:dyDescent="0.25">
      <c r="C65" t="s">
        <v>273</v>
      </c>
      <c r="D65" s="23" t="s">
        <v>160</v>
      </c>
      <c r="E65" s="23" t="s">
        <v>130</v>
      </c>
      <c r="G65" s="170">
        <f>IFERROR(AVERAGE(H65:L65),"-")</f>
        <v>1.6337517171717171</v>
      </c>
      <c r="H65" s="170">
        <f>IFERROR(INDEX(Calc_OtherCosts_1[[Ausnet]:[United Energy]],MATCH($D65,Calc_OtherCosts_1[Cost item],0),MATCH(H$18,Calc_OtherCosts_1[[#Headers],[Ausnet]:[United Energy]],0))*$G$9,"-")</f>
        <v>1.6337517171717171</v>
      </c>
      <c r="I65" s="170">
        <f>IFERROR(INDEX(Calc_OtherCosts_1[[Ausnet]:[United Energy]],MATCH($D65,Calc_OtherCosts_1[Cost item],0),MATCH(I$18,Calc_OtherCosts_1[[#Headers],[Ausnet]:[United Energy]],0))*$G$9,"-")</f>
        <v>1.6337517171717171</v>
      </c>
      <c r="J65" s="170">
        <f>IFERROR(INDEX(Calc_OtherCosts_1[[Ausnet]:[United Energy]],MATCH($D65,Calc_OtherCosts_1[Cost item],0),MATCH(J$18,Calc_OtherCosts_1[[#Headers],[Ausnet]:[United Energy]],0))*$G$9,"-")</f>
        <v>1.6337517171717171</v>
      </c>
      <c r="K65" s="170">
        <f>IFERROR(INDEX(Calc_OtherCosts_1[[Ausnet]:[United Energy]],MATCH($D65,Calc_OtherCosts_1[Cost item],0),MATCH(K$18,Calc_OtherCosts_1[[#Headers],[Ausnet]:[United Energy]],0))*$G$9,"-")</f>
        <v>1.6337517171717171</v>
      </c>
      <c r="L65" s="170">
        <f>IFERROR(INDEX(Calc_OtherCosts_1[[Ausnet]:[United Energy]],MATCH($D65,Calc_OtherCosts_1[Cost item],0),MATCH(L$18,Calc_OtherCosts_1[[#Headers],[Ausnet]:[United Energy]],0))*$G$9,"-")</f>
        <v>1.6337517171717171</v>
      </c>
      <c r="N65" s="170">
        <f t="shared" ref="N65" si="143">AVERAGE(O65:S65)</f>
        <v>1.6000799999999997</v>
      </c>
      <c r="O65" s="170">
        <f>INDEX(Calc_OtherCosts_2[[Ausnet]:[United Energy]],MATCH($D65,Calc_OtherCosts_2[Cost item],0),MATCH(O$18,Calc_OtherCosts_2[[#Headers],[Ausnet]:[United Energy]],0))*$N$9</f>
        <v>1.6000799999999999</v>
      </c>
      <c r="P65" s="170">
        <f>INDEX(Calc_OtherCosts_2[[Ausnet]:[United Energy]],MATCH($D65,Calc_OtherCosts_2[Cost item],0),MATCH(P$18,Calc_OtherCosts_2[[#Headers],[Ausnet]:[United Energy]],0))*$N$9</f>
        <v>1.6000799999999999</v>
      </c>
      <c r="Q65" s="170">
        <f>INDEX(Calc_OtherCosts_2[[Ausnet]:[United Energy]],MATCH($D65,Calc_OtherCosts_2[Cost item],0),MATCH(Q$18,Calc_OtherCosts_2[[#Headers],[Ausnet]:[United Energy]],0))*$N$9</f>
        <v>1.6000799999999999</v>
      </c>
      <c r="R65" s="170">
        <f>INDEX(Calc_OtherCosts_2[[Ausnet]:[United Energy]],MATCH($D65,Calc_OtherCosts_2[Cost item],0),MATCH(R$18,Calc_OtherCosts_2[[#Headers],[Ausnet]:[United Energy]],0))*$N$9</f>
        <v>1.6000799999999999</v>
      </c>
      <c r="S65" s="170">
        <f>INDEX(Calc_OtherCosts_2[[Ausnet]:[United Energy]],MATCH($D65,Calc_OtherCosts_2[Cost item],0),MATCH(S$18,Calc_OtherCosts_2[[#Headers],[Ausnet]:[United Energy]],0))*$N$9</f>
        <v>1.6000799999999999</v>
      </c>
      <c r="U65" s="170">
        <f t="shared" ref="U65:Z69" si="144">IFERROR(N65-G65,"-")</f>
        <v>-3.3671717171717352E-2</v>
      </c>
      <c r="V65" s="170">
        <f t="shared" si="144"/>
        <v>-3.367171717171713E-2</v>
      </c>
      <c r="W65" s="170">
        <f t="shared" si="144"/>
        <v>-3.367171717171713E-2</v>
      </c>
      <c r="X65" s="170">
        <f t="shared" si="144"/>
        <v>-3.367171717171713E-2</v>
      </c>
      <c r="Y65" s="170">
        <f t="shared" si="144"/>
        <v>-3.367171717171713E-2</v>
      </c>
      <c r="Z65" s="170">
        <f t="shared" si="144"/>
        <v>-3.367171717171713E-2</v>
      </c>
      <c r="AB65" s="268">
        <f t="shared" ref="AB65:AG69" si="145">IFERROR(U65/G$20,"-")</f>
        <v>-2.4722259303757233E-5</v>
      </c>
      <c r="AC65" s="268">
        <f t="shared" si="145"/>
        <v>-2.2036464117615922E-5</v>
      </c>
      <c r="AD65" s="268">
        <f t="shared" si="145"/>
        <v>-2.6162950405374617E-5</v>
      </c>
      <c r="AE65" s="268">
        <f t="shared" si="145"/>
        <v>-2.5317080580238444E-5</v>
      </c>
      <c r="AF65" s="268">
        <f t="shared" si="145"/>
        <v>-2.4399795051968937E-5</v>
      </c>
      <c r="AG65" s="268">
        <f t="shared" si="145"/>
        <v>-2.628549349860822E-5</v>
      </c>
      <c r="AI65" s="268">
        <f t="shared" ref="AI65:AI69" si="146">IFERROR(N65/N$20,"-")</f>
        <v>1.1914221891288158E-3</v>
      </c>
      <c r="AJ65" s="268">
        <f t="shared" ref="AJ65:AJ69" si="147">IFERROR(O65/O$20,"-")</f>
        <v>1.0710040160642571E-3</v>
      </c>
      <c r="AK65" s="268">
        <f t="shared" ref="AK65:AK69" si="148">IFERROR(P65/P$20,"-")</f>
        <v>1.2520187793427229E-3</v>
      </c>
      <c r="AL65" s="268">
        <f t="shared" ref="AL65:AL69" si="149">IFERROR(Q65/Q$20,"-")</f>
        <v>1.2167908745247147E-3</v>
      </c>
      <c r="AM65" s="268">
        <f t="shared" ref="AM65:AM69" si="150">IFERROR(R65/R$20,"-")</f>
        <v>1.178262150220913E-3</v>
      </c>
      <c r="AN65" s="268">
        <f t="shared" ref="AN65:AN69" si="151">IFERROR(S65/S$20,"-")</f>
        <v>1.2638862559241706E-3</v>
      </c>
    </row>
    <row r="66" spans="2:45" outlineLevel="1" x14ac:dyDescent="0.25">
      <c r="C66" t="s">
        <v>273</v>
      </c>
      <c r="D66" s="23" t="s">
        <v>162</v>
      </c>
      <c r="E66" s="23" t="s">
        <v>130</v>
      </c>
      <c r="G66" s="170">
        <f t="shared" ref="G66:G69" si="152">IFERROR(AVERAGE(H66:L66),"-")</f>
        <v>0</v>
      </c>
      <c r="H66" s="170">
        <f>IFERROR(INDEX(Calc_OtherCosts_1[[Ausnet]:[United Energy]],MATCH($D66,Calc_OtherCosts_1[Cost item],0),MATCH(H$18,Calc_OtherCosts_1[[#Headers],[Ausnet]:[United Energy]],0))*$G$9,"-")</f>
        <v>0</v>
      </c>
      <c r="I66" s="170">
        <f>IFERROR(INDEX(Calc_OtherCosts_1[[Ausnet]:[United Energy]],MATCH($D66,Calc_OtherCosts_1[Cost item],0),MATCH(I$18,Calc_OtherCosts_1[[#Headers],[Ausnet]:[United Energy]],0))*$G$9,"-")</f>
        <v>0</v>
      </c>
      <c r="J66" s="170">
        <f>IFERROR(INDEX(Calc_OtherCosts_1[[Ausnet]:[United Energy]],MATCH($D66,Calc_OtherCosts_1[Cost item],0),MATCH(J$18,Calc_OtherCosts_1[[#Headers],[Ausnet]:[United Energy]],0))*$G$9,"-")</f>
        <v>0</v>
      </c>
      <c r="K66" s="170">
        <f>IFERROR(INDEX(Calc_OtherCosts_1[[Ausnet]:[United Energy]],MATCH($D66,Calc_OtherCosts_1[Cost item],0),MATCH(K$18,Calc_OtherCosts_1[[#Headers],[Ausnet]:[United Energy]],0))*$G$9,"-")</f>
        <v>0</v>
      </c>
      <c r="L66" s="170">
        <f>IFERROR(INDEX(Calc_OtherCosts_1[[Ausnet]:[United Energy]],MATCH($D66,Calc_OtherCosts_1[Cost item],0),MATCH(L$18,Calc_OtherCosts_1[[#Headers],[Ausnet]:[United Energy]],0))*$G$9,"-")</f>
        <v>0</v>
      </c>
      <c r="N66" s="170">
        <f t="shared" ref="N66:N69" si="153">AVERAGE(O66:S66)</f>
        <v>0</v>
      </c>
      <c r="O66" s="170">
        <f>INDEX(Calc_OtherCosts_2[[Ausnet]:[United Energy]],MATCH($D66,Calc_OtherCosts_2[Cost item],0),MATCH(O$18,Calc_OtherCosts_2[[#Headers],[Ausnet]:[United Energy]],0))*$N$9</f>
        <v>0</v>
      </c>
      <c r="P66" s="170">
        <f>INDEX(Calc_OtherCosts_2[[Ausnet]:[United Energy]],MATCH($D66,Calc_OtherCosts_2[Cost item],0),MATCH(P$18,Calc_OtherCosts_2[[#Headers],[Ausnet]:[United Energy]],0))*$N$9</f>
        <v>0</v>
      </c>
      <c r="Q66" s="170">
        <f>INDEX(Calc_OtherCosts_2[[Ausnet]:[United Energy]],MATCH($D66,Calc_OtherCosts_2[Cost item],0),MATCH(Q$18,Calc_OtherCosts_2[[#Headers],[Ausnet]:[United Energy]],0))*$N$9</f>
        <v>0</v>
      </c>
      <c r="R66" s="170">
        <f>INDEX(Calc_OtherCosts_2[[Ausnet]:[United Energy]],MATCH($D66,Calc_OtherCosts_2[Cost item],0),MATCH(R$18,Calc_OtherCosts_2[[#Headers],[Ausnet]:[United Energy]],0))*$N$9</f>
        <v>0</v>
      </c>
      <c r="S66" s="170">
        <f>INDEX(Calc_OtherCosts_2[[Ausnet]:[United Energy]],MATCH($D66,Calc_OtherCosts_2[Cost item],0),MATCH(S$18,Calc_OtherCosts_2[[#Headers],[Ausnet]:[United Energy]],0))*$N$9</f>
        <v>0</v>
      </c>
      <c r="U66" s="170">
        <f t="shared" si="144"/>
        <v>0</v>
      </c>
      <c r="V66" s="170">
        <f t="shared" si="144"/>
        <v>0</v>
      </c>
      <c r="W66" s="170">
        <f t="shared" si="144"/>
        <v>0</v>
      </c>
      <c r="X66" s="170">
        <f t="shared" si="144"/>
        <v>0</v>
      </c>
      <c r="Y66" s="170">
        <f t="shared" si="144"/>
        <v>0</v>
      </c>
      <c r="Z66" s="170">
        <f t="shared" si="144"/>
        <v>0</v>
      </c>
      <c r="AB66" s="268">
        <f t="shared" si="145"/>
        <v>0</v>
      </c>
      <c r="AC66" s="268">
        <f t="shared" si="145"/>
        <v>0</v>
      </c>
      <c r="AD66" s="268">
        <f t="shared" si="145"/>
        <v>0</v>
      </c>
      <c r="AE66" s="268">
        <f t="shared" si="145"/>
        <v>0</v>
      </c>
      <c r="AF66" s="268">
        <f t="shared" si="145"/>
        <v>0</v>
      </c>
      <c r="AG66" s="268">
        <f t="shared" si="145"/>
        <v>0</v>
      </c>
      <c r="AI66" s="268">
        <f t="shared" si="146"/>
        <v>0</v>
      </c>
      <c r="AJ66" s="268">
        <f t="shared" si="147"/>
        <v>0</v>
      </c>
      <c r="AK66" s="268">
        <f t="shared" si="148"/>
        <v>0</v>
      </c>
      <c r="AL66" s="268">
        <f t="shared" si="149"/>
        <v>0</v>
      </c>
      <c r="AM66" s="268">
        <f t="shared" si="150"/>
        <v>0</v>
      </c>
      <c r="AN66" s="268">
        <f t="shared" si="151"/>
        <v>0</v>
      </c>
    </row>
    <row r="67" spans="2:45" outlineLevel="1" x14ac:dyDescent="0.25">
      <c r="C67" t="s">
        <v>273</v>
      </c>
      <c r="D67" s="23" t="s">
        <v>758</v>
      </c>
      <c r="E67" s="59" t="s">
        <v>130</v>
      </c>
      <c r="G67" s="170">
        <f t="shared" si="152"/>
        <v>0.50337457912457917</v>
      </c>
      <c r="H67" s="170">
        <f>IFERROR(INDEX(Calc_OtherCosts_1[[Ausnet]:[United Energy]],MATCH($D67,Calc_OtherCosts_1[Cost item],0),MATCH(H$18,Calc_OtherCosts_1[[#Headers],[Ausnet]:[United Energy]],0))*$G$9,"-")</f>
        <v>0.50337457912457917</v>
      </c>
      <c r="I67" s="170">
        <f>IFERROR(INDEX(Calc_OtherCosts_1[[Ausnet]:[United Energy]],MATCH($D67,Calc_OtherCosts_1[Cost item],0),MATCH(I$18,Calc_OtherCosts_1[[#Headers],[Ausnet]:[United Energy]],0))*$G$9,"-")</f>
        <v>0.50337457912457917</v>
      </c>
      <c r="J67" s="170">
        <f>IFERROR(INDEX(Calc_OtherCosts_1[[Ausnet]:[United Energy]],MATCH($D67,Calc_OtherCosts_1[Cost item],0),MATCH(J$18,Calc_OtherCosts_1[[#Headers],[Ausnet]:[United Energy]],0))*$G$9,"-")</f>
        <v>0.50337457912457917</v>
      </c>
      <c r="K67" s="170">
        <f>IFERROR(INDEX(Calc_OtherCosts_1[[Ausnet]:[United Energy]],MATCH($D67,Calc_OtherCosts_1[Cost item],0),MATCH(K$18,Calc_OtherCosts_1[[#Headers],[Ausnet]:[United Energy]],0))*$G$9,"-")</f>
        <v>0.50337457912457917</v>
      </c>
      <c r="L67" s="170">
        <f>IFERROR(INDEX(Calc_OtherCosts_1[[Ausnet]:[United Energy]],MATCH($D67,Calc_OtherCosts_1[Cost item],0),MATCH(L$18,Calc_OtherCosts_1[[#Headers],[Ausnet]:[United Energy]],0))*$G$9,"-")</f>
        <v>0.50337457912457917</v>
      </c>
      <c r="N67" s="170">
        <f t="shared" si="153"/>
        <v>0.49299999999999999</v>
      </c>
      <c r="O67" s="170">
        <f>INDEX(Calc_OtherCosts_2[[Ausnet]:[United Energy]],MATCH($D67,Calc_OtherCosts_2[Cost item],0),MATCH(O$18,Calc_OtherCosts_2[[#Headers],[Ausnet]:[United Energy]],0))*$N$9</f>
        <v>0.49299999999999994</v>
      </c>
      <c r="P67" s="170">
        <f>INDEX(Calc_OtherCosts_2[[Ausnet]:[United Energy]],MATCH($D67,Calc_OtherCosts_2[Cost item],0),MATCH(P$18,Calc_OtherCosts_2[[#Headers],[Ausnet]:[United Energy]],0))*$N$9</f>
        <v>0.49299999999999994</v>
      </c>
      <c r="Q67" s="170">
        <f>INDEX(Calc_OtherCosts_2[[Ausnet]:[United Energy]],MATCH($D67,Calc_OtherCosts_2[Cost item],0),MATCH(Q$18,Calc_OtherCosts_2[[#Headers],[Ausnet]:[United Energy]],0))*$N$9</f>
        <v>0.49299999999999994</v>
      </c>
      <c r="R67" s="170">
        <f>INDEX(Calc_OtherCosts_2[[Ausnet]:[United Energy]],MATCH($D67,Calc_OtherCosts_2[Cost item],0),MATCH(R$18,Calc_OtherCosts_2[[#Headers],[Ausnet]:[United Energy]],0))*$N$9</f>
        <v>0.49299999999999994</v>
      </c>
      <c r="S67" s="170">
        <f>INDEX(Calc_OtherCosts_2[[Ausnet]:[United Energy]],MATCH($D67,Calc_OtherCosts_2[Cost item],0),MATCH(S$18,Calc_OtherCosts_2[[#Headers],[Ausnet]:[United Energy]],0))*$N$9</f>
        <v>0.49299999999999994</v>
      </c>
      <c r="U67" s="170">
        <f t="shared" ref="U67:U68" si="154">IFERROR(N67-G67,"-")</f>
        <v>-1.0374579124579175E-2</v>
      </c>
      <c r="V67" s="170">
        <f t="shared" ref="V67:V68" si="155">IFERROR(O67-H67,"-")</f>
        <v>-1.0374579124579231E-2</v>
      </c>
      <c r="W67" s="170">
        <f t="shared" ref="W67:W68" si="156">IFERROR(P67-I67,"-")</f>
        <v>-1.0374579124579231E-2</v>
      </c>
      <c r="X67" s="170">
        <f t="shared" ref="X67:X68" si="157">IFERROR(Q67-J67,"-")</f>
        <v>-1.0374579124579231E-2</v>
      </c>
      <c r="Y67" s="170">
        <f t="shared" ref="Y67:Y68" si="158">IFERROR(R67-K67,"-")</f>
        <v>-1.0374579124579231E-2</v>
      </c>
      <c r="Z67" s="170">
        <f t="shared" ref="Z67:Z68" si="159">IFERROR(S67-L67,"-")</f>
        <v>-1.0374579124579231E-2</v>
      </c>
      <c r="AB67" s="268">
        <f>IFERROR(U67/G$20,"-")</f>
        <v>-7.6171652897057083E-6</v>
      </c>
      <c r="AC67" s="268">
        <f t="shared" si="145"/>
        <v>-6.7896460239392875E-6</v>
      </c>
      <c r="AD67" s="268">
        <f t="shared" si="145"/>
        <v>-8.0610560408541027E-6</v>
      </c>
      <c r="AE67" s="268">
        <f t="shared" si="145"/>
        <v>-7.8004354320144585E-6</v>
      </c>
      <c r="AF67" s="268">
        <f t="shared" si="145"/>
        <v>-7.5178109598400219E-6</v>
      </c>
      <c r="AG67" s="268">
        <f t="shared" si="145"/>
        <v>-8.0988127436215702E-6</v>
      </c>
      <c r="AI67" s="268">
        <f>IFERROR(N67/N$20,"-")</f>
        <v>3.6708860759493672E-4</v>
      </c>
      <c r="AJ67" s="268">
        <f t="shared" si="147"/>
        <v>3.2998661311914318E-4</v>
      </c>
      <c r="AK67" s="268">
        <f t="shared" si="148"/>
        <v>3.8575899843505473E-4</v>
      </c>
      <c r="AL67" s="268">
        <f t="shared" si="149"/>
        <v>3.7490494296577942E-4</v>
      </c>
      <c r="AM67" s="268">
        <f t="shared" si="150"/>
        <v>3.6303387334315167E-4</v>
      </c>
      <c r="AN67" s="268">
        <f>IFERROR(S67/S$20,"-")</f>
        <v>3.8941548183254337E-4</v>
      </c>
    </row>
    <row r="68" spans="2:45" outlineLevel="1" x14ac:dyDescent="0.25">
      <c r="C68" t="s">
        <v>273</v>
      </c>
      <c r="D68" s="23" t="s">
        <v>757</v>
      </c>
      <c r="E68" s="59" t="s">
        <v>130</v>
      </c>
      <c r="G68" s="170">
        <f t="shared" si="152"/>
        <v>0.10712791245791246</v>
      </c>
      <c r="H68" s="170">
        <f>IFERROR(INDEX(Calc_OtherCosts_1[[Ausnet]:[United Energy]],MATCH($D68,Calc_OtherCosts_1[Cost item],0),MATCH(H$18,Calc_OtherCosts_1[[#Headers],[Ausnet]:[United Energy]],0))*$G$9,"-")</f>
        <v>0.10712791245791246</v>
      </c>
      <c r="I68" s="170">
        <f>IFERROR(INDEX(Calc_OtherCosts_1[[Ausnet]:[United Energy]],MATCH($D68,Calc_OtherCosts_1[Cost item],0),MATCH(I$18,Calc_OtherCosts_1[[#Headers],[Ausnet]:[United Energy]],0))*$G$9,"-")</f>
        <v>0.10712791245791246</v>
      </c>
      <c r="J68" s="170">
        <f>IFERROR(INDEX(Calc_OtherCosts_1[[Ausnet]:[United Energy]],MATCH($D68,Calc_OtherCosts_1[Cost item],0),MATCH(J$18,Calc_OtherCosts_1[[#Headers],[Ausnet]:[United Energy]],0))*$G$9,"-")</f>
        <v>0.10712791245791246</v>
      </c>
      <c r="K68" s="170">
        <f>IFERROR(INDEX(Calc_OtherCosts_1[[Ausnet]:[United Energy]],MATCH($D68,Calc_OtherCosts_1[Cost item],0),MATCH(K$18,Calc_OtherCosts_1[[#Headers],[Ausnet]:[United Energy]],0))*$G$9,"-")</f>
        <v>0.10712791245791246</v>
      </c>
      <c r="L68" s="170">
        <f>IFERROR(INDEX(Calc_OtherCosts_1[[Ausnet]:[United Energy]],MATCH($D68,Calc_OtherCosts_1[Cost item],0),MATCH(L$18,Calc_OtherCosts_1[[#Headers],[Ausnet]:[United Energy]],0))*$G$9,"-")</f>
        <v>0.10712791245791246</v>
      </c>
      <c r="N68" s="170">
        <f t="shared" si="153"/>
        <v>0.10491999999999999</v>
      </c>
      <c r="O68" s="170">
        <f>INDEX(Calc_OtherCosts_2[[Ausnet]:[United Energy]],MATCH($D68,Calc_OtherCosts_2[Cost item],0),MATCH(O$18,Calc_OtherCosts_2[[#Headers],[Ausnet]:[United Energy]],0))*$N$9</f>
        <v>0.10492</v>
      </c>
      <c r="P68" s="170">
        <f>INDEX(Calc_OtherCosts_2[[Ausnet]:[United Energy]],MATCH($D68,Calc_OtherCosts_2[Cost item],0),MATCH(P$18,Calc_OtherCosts_2[[#Headers],[Ausnet]:[United Energy]],0))*$N$9</f>
        <v>0.10492</v>
      </c>
      <c r="Q68" s="170">
        <f>INDEX(Calc_OtherCosts_2[[Ausnet]:[United Energy]],MATCH($D68,Calc_OtherCosts_2[Cost item],0),MATCH(Q$18,Calc_OtherCosts_2[[#Headers],[Ausnet]:[United Energy]],0))*$N$9</f>
        <v>0.10492</v>
      </c>
      <c r="R68" s="170">
        <f>INDEX(Calc_OtherCosts_2[[Ausnet]:[United Energy]],MATCH($D68,Calc_OtherCosts_2[Cost item],0),MATCH(R$18,Calc_OtherCosts_2[[#Headers],[Ausnet]:[United Energy]],0))*$N$9</f>
        <v>0.10492</v>
      </c>
      <c r="S68" s="170">
        <f>INDEX(Calc_OtherCosts_2[[Ausnet]:[United Energy]],MATCH($D68,Calc_OtherCosts_2[Cost item],0),MATCH(S$18,Calc_OtherCosts_2[[#Headers],[Ausnet]:[United Energy]],0))*$N$9</f>
        <v>0.10492</v>
      </c>
      <c r="U68" s="170">
        <f t="shared" si="154"/>
        <v>-2.2079124579124781E-3</v>
      </c>
      <c r="V68" s="170">
        <f t="shared" si="155"/>
        <v>-2.2079124579124643E-3</v>
      </c>
      <c r="W68" s="170">
        <f t="shared" si="156"/>
        <v>-2.2079124579124643E-3</v>
      </c>
      <c r="X68" s="170">
        <f t="shared" si="157"/>
        <v>-2.2079124579124643E-3</v>
      </c>
      <c r="Y68" s="170">
        <f t="shared" si="158"/>
        <v>-2.2079124579124643E-3</v>
      </c>
      <c r="Z68" s="170">
        <f t="shared" si="159"/>
        <v>-2.2079124579124643E-3</v>
      </c>
      <c r="AB68" s="268">
        <f t="shared" ref="AB68" si="160">IFERROR(U68/G$20,"-")</f>
        <v>-1.6210810997888972E-6</v>
      </c>
      <c r="AC68" s="268">
        <f t="shared" si="145"/>
        <v>-1.4449688860683667E-6</v>
      </c>
      <c r="AD68" s="268">
        <f t="shared" si="145"/>
        <v>-1.71554969534768E-6</v>
      </c>
      <c r="AE68" s="268">
        <f t="shared" si="145"/>
        <v>-1.6600845548214016E-6</v>
      </c>
      <c r="AF68" s="268">
        <f t="shared" si="145"/>
        <v>-1.5999365637046843E-6</v>
      </c>
      <c r="AG68" s="268">
        <f t="shared" si="145"/>
        <v>-1.7235850569183952E-6</v>
      </c>
      <c r="AI68" s="268">
        <f>IFERROR(N68/N$20,"-")</f>
        <v>7.8123603871928506E-5</v>
      </c>
      <c r="AJ68" s="268">
        <f t="shared" si="147"/>
        <v>7.0227576974564931E-5</v>
      </c>
      <c r="AK68" s="268">
        <f t="shared" si="148"/>
        <v>8.2097026604068852E-5</v>
      </c>
      <c r="AL68" s="268">
        <f t="shared" si="149"/>
        <v>7.9787072243346004E-5</v>
      </c>
      <c r="AM68" s="268">
        <f t="shared" si="150"/>
        <v>7.7260677466863033E-5</v>
      </c>
      <c r="AN68" s="268">
        <f t="shared" si="151"/>
        <v>8.2875197472353867E-5</v>
      </c>
    </row>
    <row r="69" spans="2:45" outlineLevel="1" x14ac:dyDescent="0.25">
      <c r="C69" t="s">
        <v>273</v>
      </c>
      <c r="D69" s="59" t="s">
        <v>163</v>
      </c>
      <c r="E69" s="59" t="s">
        <v>130</v>
      </c>
      <c r="G69" s="170">
        <f t="shared" si="152"/>
        <v>1.3875990547833017</v>
      </c>
      <c r="H69" s="170">
        <f>IFERROR(INDEX(Calc_OtherCosts_1[[Ausnet]:[United Energy]],MATCH($D69,Calc_OtherCosts_1[Cost item],0),MATCH(H$18,Calc_OtherCosts_1[[#Headers],[Ausnet]:[United Energy]],0))*$G$9,"-")</f>
        <v>1.3875990547833017</v>
      </c>
      <c r="I69" s="170">
        <f>IFERROR(INDEX(Calc_OtherCosts_1[[Ausnet]:[United Energy]],MATCH($D69,Calc_OtherCosts_1[Cost item],0),MATCH(I$18,Calc_OtherCosts_1[[#Headers],[Ausnet]:[United Energy]],0))*$G$9,"-")</f>
        <v>1.3875990547833017</v>
      </c>
      <c r="J69" s="170">
        <f>IFERROR(INDEX(Calc_OtherCosts_1[[Ausnet]:[United Energy]],MATCH($D69,Calc_OtherCosts_1[Cost item],0),MATCH(J$18,Calc_OtherCosts_1[[#Headers],[Ausnet]:[United Energy]],0))*$G$9,"-")</f>
        <v>1.3875990547833017</v>
      </c>
      <c r="K69" s="170">
        <f>IFERROR(INDEX(Calc_OtherCosts_1[[Ausnet]:[United Energy]],MATCH($D69,Calc_OtherCosts_1[Cost item],0),MATCH(K$18,Calc_OtherCosts_1[[#Headers],[Ausnet]:[United Energy]],0))*$G$9,"-")</f>
        <v>1.3875990547833017</v>
      </c>
      <c r="L69" s="170">
        <f>IFERROR(INDEX(Calc_OtherCosts_1[[Ausnet]:[United Energy]],MATCH($D69,Calc_OtherCosts_1[Cost item],0),MATCH(L$18,Calc_OtherCosts_1[[#Headers],[Ausnet]:[United Energy]],0))*$G$9,"-")</f>
        <v>1.3875990547833017</v>
      </c>
      <c r="N69" s="170">
        <f t="shared" si="153"/>
        <v>1.3039188101630295</v>
      </c>
      <c r="O69" s="170">
        <f>INDEX(Calc_OtherCosts_2[[Ausnet]:[United Energy]],MATCH($D69,Calc_OtherCosts_2[Cost item],0),MATCH(O$18,Calc_OtherCosts_2[[#Headers],[Ausnet]:[United Energy]],0))*$N$9</f>
        <v>1.3039188101630295</v>
      </c>
      <c r="P69" s="170">
        <f>INDEX(Calc_OtherCosts_2[[Ausnet]:[United Energy]],MATCH($D69,Calc_OtherCosts_2[Cost item],0),MATCH(P$18,Calc_OtherCosts_2[[#Headers],[Ausnet]:[United Energy]],0))*$N$9</f>
        <v>1.3039188101630295</v>
      </c>
      <c r="Q69" s="170">
        <f>INDEX(Calc_OtherCosts_2[[Ausnet]:[United Energy]],MATCH($D69,Calc_OtherCosts_2[Cost item],0),MATCH(Q$18,Calc_OtherCosts_2[[#Headers],[Ausnet]:[United Energy]],0))*$N$9</f>
        <v>1.3039188101630295</v>
      </c>
      <c r="R69" s="170">
        <f>INDEX(Calc_OtherCosts_2[[Ausnet]:[United Energy]],MATCH($D69,Calc_OtherCosts_2[Cost item],0),MATCH(R$18,Calc_OtherCosts_2[[#Headers],[Ausnet]:[United Energy]],0))*$N$9</f>
        <v>1.3039188101630295</v>
      </c>
      <c r="S69" s="170">
        <f>INDEX(Calc_OtherCosts_2[[Ausnet]:[United Energy]],MATCH($D69,Calc_OtherCosts_2[Cost item],0),MATCH(S$18,Calc_OtherCosts_2[[#Headers],[Ausnet]:[United Energy]],0))*$N$9</f>
        <v>1.3039188101630295</v>
      </c>
      <c r="U69" s="170">
        <f t="shared" si="144"/>
        <v>-8.3680244620272237E-2</v>
      </c>
      <c r="V69" s="170">
        <f t="shared" si="144"/>
        <v>-8.3680244620272237E-2</v>
      </c>
      <c r="W69" s="170">
        <f t="shared" si="144"/>
        <v>-8.3680244620272237E-2</v>
      </c>
      <c r="X69" s="170">
        <f t="shared" si="144"/>
        <v>-8.3680244620272237E-2</v>
      </c>
      <c r="Y69" s="170">
        <f t="shared" si="144"/>
        <v>-8.3680244620272237E-2</v>
      </c>
      <c r="Z69" s="170">
        <f t="shared" si="144"/>
        <v>-8.3680244620272237E-2</v>
      </c>
      <c r="AB69" s="268">
        <f t="shared" si="145"/>
        <v>-6.1439239809304134E-5</v>
      </c>
      <c r="AC69" s="268">
        <f t="shared" si="145"/>
        <v>-5.4764557997560361E-5</v>
      </c>
      <c r="AD69" s="268">
        <f t="shared" si="145"/>
        <v>-6.5019615089566624E-5</v>
      </c>
      <c r="AE69" s="268">
        <f t="shared" si="145"/>
        <v>-6.291747715809943E-5</v>
      </c>
      <c r="AF69" s="268">
        <f t="shared" si="145"/>
        <v>-6.0637858420487127E-5</v>
      </c>
      <c r="AG69" s="268">
        <f t="shared" si="145"/>
        <v>-6.5324156612234371E-5</v>
      </c>
      <c r="AI69" s="268">
        <f t="shared" si="146"/>
        <v>9.7090008202757214E-4</v>
      </c>
      <c r="AJ69" s="268">
        <f t="shared" si="147"/>
        <v>8.7277028792706124E-4</v>
      </c>
      <c r="AK69" s="268">
        <f t="shared" si="148"/>
        <v>1.0202807591260011E-3</v>
      </c>
      <c r="AL69" s="268">
        <f t="shared" si="149"/>
        <v>9.9157323966770293E-4</v>
      </c>
      <c r="AM69" s="268">
        <f t="shared" si="150"/>
        <v>9.601758543174002E-4</v>
      </c>
      <c r="AN69" s="268">
        <f t="shared" si="151"/>
        <v>1.0299516667954419E-3</v>
      </c>
    </row>
    <row r="70" spans="2:45" outlineLevel="1" x14ac:dyDescent="0.25">
      <c r="AB70" s="122"/>
      <c r="AC70" s="122"/>
      <c r="AD70" s="122"/>
      <c r="AE70" s="122"/>
      <c r="AF70" s="122"/>
      <c r="AG70" s="122"/>
      <c r="AI70" s="122"/>
      <c r="AJ70" s="122"/>
      <c r="AK70" s="122"/>
      <c r="AL70" s="122"/>
      <c r="AM70" s="122"/>
      <c r="AN70" s="122"/>
    </row>
    <row r="71" spans="2:45" outlineLevel="1" x14ac:dyDescent="0.25">
      <c r="C71" t="s">
        <v>128</v>
      </c>
      <c r="D71" s="59" t="s">
        <v>283</v>
      </c>
      <c r="E71" s="23" t="s">
        <v>130</v>
      </c>
      <c r="G71" s="170">
        <f>AVERAGE(H71:L71)</f>
        <v>302.77600000000001</v>
      </c>
      <c r="H71" s="170">
        <f>INDEX(Calc_WholesaleRES_1[[Ausnet]:[United Energy]],MATCH($D71,Calc_WholesaleRES_1[Cost item],0),MATCH(H$18,Calc_WholesaleRES_1[[#Headers],[Ausnet]:[United Energy]],0))*$G$9</f>
        <v>308.32000000000005</v>
      </c>
      <c r="I71" s="170">
        <f>INDEX(Calc_WholesaleRES_1[[Ausnet]:[United Energy]],MATCH($D71,Calc_WholesaleRES_1[Cost item],0),MATCH(I$18,Calc_WholesaleRES_1[[#Headers],[Ausnet]:[United Energy]],0))*$G$9</f>
        <v>283.8</v>
      </c>
      <c r="J71" s="170">
        <f>INDEX(Calc_WholesaleRES_1[[Ausnet]:[United Energy]],MATCH($D71,Calc_WholesaleRES_1[Cost item],0),MATCH(J$18,Calc_WholesaleRES_1[[#Headers],[Ausnet]:[United Energy]],0))*$G$9</f>
        <v>311.36</v>
      </c>
      <c r="K71" s="170">
        <f>INDEX(Calc_WholesaleRES_1[[Ausnet]:[United Energy]],MATCH($D71,Calc_WholesaleRES_1[Cost item],0),MATCH(K$18,Calc_WholesaleRES_1[[#Headers],[Ausnet]:[United Energy]],0))*$G$9</f>
        <v>301.56</v>
      </c>
      <c r="L71" s="170">
        <f>INDEX(Calc_WholesaleRES_1[[Ausnet]:[United Energy]],MATCH($D71,Calc_WholesaleRES_1[Cost item],0),MATCH(L$18,Calc_WholesaleRES_1[[#Headers],[Ausnet]:[United Energy]],0))*$G$9</f>
        <v>308.84000000000003</v>
      </c>
      <c r="N71" s="170">
        <f>AVERAGE(O71:S71)</f>
        <v>286.61599999999999</v>
      </c>
      <c r="O71" s="170">
        <f>INDEX(Calc_WholesaleRES_2[[Ausnet]:[United Energy]],MATCH($D71,Calc_WholesaleRES_2[Cost item],0),MATCH(O$18,Calc_WholesaleRES_2[[#Headers],[Ausnet]:[United Energy]],0))*$N$9</f>
        <v>286.76</v>
      </c>
      <c r="P71" s="170">
        <f>INDEX(Calc_WholesaleRES_2[[Ausnet]:[United Energy]],MATCH($D71,Calc_WholesaleRES_2[Cost item],0),MATCH(P$18,Calc_WholesaleRES_2[[#Headers],[Ausnet]:[United Energy]],0))*$N$9</f>
        <v>272.32</v>
      </c>
      <c r="Q71" s="170">
        <f>INDEX(Calc_WholesaleRES_2[[Ausnet]:[United Energy]],MATCH($D71,Calc_WholesaleRES_2[Cost item],0),MATCH(Q$18,Calc_WholesaleRES_2[[#Headers],[Ausnet]:[United Energy]],0))*$N$9</f>
        <v>295.80000000000007</v>
      </c>
      <c r="R71" s="170">
        <f>INDEX(Calc_WholesaleRES_2[[Ausnet]:[United Energy]],MATCH($D71,Calc_WholesaleRES_2[Cost item],0),MATCH(R$18,Calc_WholesaleRES_2[[#Headers],[Ausnet]:[United Energy]],0))*$N$9</f>
        <v>280.24</v>
      </c>
      <c r="S71" s="170">
        <f>INDEX(Calc_WholesaleRES_2[[Ausnet]:[United Energy]],MATCH($D71,Calc_WholesaleRES_2[Cost item],0),MATCH(S$18,Calc_WholesaleRES_2[[#Headers],[Ausnet]:[United Energy]],0))*$N$9</f>
        <v>297.95999999999992</v>
      </c>
      <c r="U71" s="170">
        <f>IFERROR(N71-G71,"-")</f>
        <v>-16.160000000000025</v>
      </c>
      <c r="V71" s="170">
        <f t="shared" ref="V71:Z71" si="161">IFERROR(O71-H71,"-")</f>
        <v>-21.560000000000059</v>
      </c>
      <c r="W71" s="170">
        <f t="shared" si="161"/>
        <v>-11.480000000000018</v>
      </c>
      <c r="X71" s="170">
        <f t="shared" si="161"/>
        <v>-15.559999999999945</v>
      </c>
      <c r="Y71" s="170">
        <f t="shared" si="161"/>
        <v>-21.319999999999993</v>
      </c>
      <c r="Z71" s="170">
        <f t="shared" si="161"/>
        <v>-10.880000000000109</v>
      </c>
      <c r="AB71" s="268">
        <f>IFERROR(U71/G$20,"-")</f>
        <v>-1.1864904552129241E-2</v>
      </c>
      <c r="AC71" s="268">
        <f t="shared" ref="AC71:AD71" si="162">IFERROR(V71/H$20,"-")</f>
        <v>-1.4109947643979097E-2</v>
      </c>
      <c r="AD71" s="268">
        <f t="shared" si="162"/>
        <v>-8.9199689199689347E-3</v>
      </c>
      <c r="AE71" s="268">
        <f>IFERROR(X71/J$20,"-")</f>
        <v>-1.1699248120300711E-2</v>
      </c>
      <c r="AF71" s="268">
        <f t="shared" ref="AF71:AG71" si="163">IFERROR(Y71/K$20,"-")</f>
        <v>-1.5449275362318835E-2</v>
      </c>
      <c r="AG71" s="268">
        <f t="shared" si="163"/>
        <v>-8.4933645589384144E-3</v>
      </c>
      <c r="AI71" s="268">
        <f>IFERROR(N71/N$20,"-")</f>
        <v>0.21341474311243483</v>
      </c>
      <c r="AJ71" s="268">
        <f t="shared" ref="AJ71" si="164">IFERROR(O71/O$20,"-")</f>
        <v>0.19194109772423024</v>
      </c>
      <c r="AK71" s="268">
        <f t="shared" ref="AK71" si="165">IFERROR(P71/P$20,"-")</f>
        <v>0.21308294209702661</v>
      </c>
      <c r="AL71" s="268">
        <f t="shared" ref="AL71" si="166">IFERROR(Q71/Q$20,"-")</f>
        <v>0.22494296577946774</v>
      </c>
      <c r="AM71" s="268">
        <f t="shared" ref="AM71" si="167">IFERROR(R71/R$20,"-")</f>
        <v>0.20636229749631813</v>
      </c>
      <c r="AN71" s="268">
        <f t="shared" ref="AN71" si="168">IFERROR(S71/S$20,"-")</f>
        <v>0.23535545023696677</v>
      </c>
    </row>
    <row r="72" spans="2:45" outlineLevel="1" x14ac:dyDescent="0.25"/>
    <row r="73" spans="2:45" outlineLevel="1" x14ac:dyDescent="0.25">
      <c r="D73" s="252" t="s">
        <v>710</v>
      </c>
      <c r="E73" s="57" t="s">
        <v>130</v>
      </c>
      <c r="F73" s="252"/>
      <c r="G73" s="205">
        <f>AVERAGE(H73:L73)</f>
        <v>802.86963036477505</v>
      </c>
      <c r="H73" s="205">
        <f t="shared" ref="H73:K73" si="169">H51+H52+H53+H57+H58+H59+H61+H62+H63+SUM(H65:H69)+H71</f>
        <v>921.53039482313818</v>
      </c>
      <c r="I73" s="205">
        <f t="shared" si="169"/>
        <v>746.24100192936021</v>
      </c>
      <c r="J73" s="205">
        <f t="shared" si="169"/>
        <v>797.55277107622533</v>
      </c>
      <c r="K73" s="205">
        <f t="shared" si="169"/>
        <v>778.87623184272888</v>
      </c>
      <c r="L73" s="205">
        <f>L51+L52+L53+L57+L58+L59+L61+L62+L63+SUM(L65:L69)+L71</f>
        <v>770.14775215242298</v>
      </c>
      <c r="M73" s="252"/>
      <c r="N73" s="205">
        <f>AVERAGE(O73:S73)</f>
        <v>773.24428378526341</v>
      </c>
      <c r="O73" s="205">
        <f t="shared" ref="O73:R73" si="170">O51+O52+O53+O57+O58+O59+O61+O62+O63+SUM(O65:O69)+O71</f>
        <v>885.54241558698516</v>
      </c>
      <c r="P73" s="205">
        <f t="shared" si="170"/>
        <v>721.85286596098194</v>
      </c>
      <c r="Q73" s="205">
        <f t="shared" si="170"/>
        <v>769.03633028062018</v>
      </c>
      <c r="R73" s="205">
        <f t="shared" si="170"/>
        <v>743.40515811431897</v>
      </c>
      <c r="S73" s="205">
        <f>S51+S52+S53+S57+S58+S59+S61+S62+S63+SUM(S65:S69)+S71</f>
        <v>746.38464898341067</v>
      </c>
      <c r="U73" s="170">
        <f>IFERROR(N73-G73,"-")</f>
        <v>-29.625346579511643</v>
      </c>
      <c r="V73" s="170">
        <f t="shared" ref="V73" si="171">IFERROR(O73-H73,"-")</f>
        <v>-35.987979236153024</v>
      </c>
      <c r="W73" s="170">
        <f>IFERROR(P73-I73,"-")</f>
        <v>-24.388135968378265</v>
      </c>
      <c r="X73" s="170">
        <f t="shared" ref="X73:Z73" si="172">IFERROR(Q73-J73,"-")</f>
        <v>-28.516440795605149</v>
      </c>
      <c r="Y73" s="170">
        <f t="shared" si="172"/>
        <v>-35.47107372840992</v>
      </c>
      <c r="Z73" s="170">
        <f t="shared" si="172"/>
        <v>-23.763103169012311</v>
      </c>
      <c r="AB73" s="268">
        <f>IFERROR(U73/G$20,"-")</f>
        <v>-2.175135578525084E-2</v>
      </c>
      <c r="AC73" s="268">
        <f t="shared" ref="AC73:AG73" si="173">IFERROR(V73/H$20,"-")</f>
        <v>-2.355234243203732E-2</v>
      </c>
      <c r="AD73" s="268">
        <f t="shared" si="173"/>
        <v>-1.8949600597030509E-2</v>
      </c>
      <c r="AE73" s="268">
        <f t="shared" si="173"/>
        <v>-2.1440932929026428E-2</v>
      </c>
      <c r="AF73" s="268">
        <f t="shared" si="173"/>
        <v>-2.5703676614789797E-2</v>
      </c>
      <c r="AG73" s="268">
        <f t="shared" si="173"/>
        <v>-1.8550431825926861E-2</v>
      </c>
      <c r="AI73" s="288">
        <f>AVERAGE(AJ73:AN73)</f>
        <v>0.57542672132160133</v>
      </c>
      <c r="AJ73" s="288">
        <f>AJ51+AJ52+AJ53+AJ57+AJ58+AJ59+AJ61+AJ62+AJ63+AJ65+AJ66+AJ69+AJ71</f>
        <v>0.59233232636344391</v>
      </c>
      <c r="AK73" s="288">
        <f t="shared" ref="AK73:AM73" si="174">AK51+AK52+AK53+AK57+AK58+AK59+AK61+AK62+AK63+AK65+AK66+AK69+AK71</f>
        <v>0.56436224253597966</v>
      </c>
      <c r="AL73" s="288">
        <f t="shared" si="174"/>
        <v>0.58436381009933103</v>
      </c>
      <c r="AM73" s="288">
        <f t="shared" si="174"/>
        <v>0.54698618417843814</v>
      </c>
      <c r="AN73" s="288">
        <f>AN51+AN52+AN53+AN57+AN58+AN59+AN61+AN62+AN63+AN65+AN66+AN69+AN71</f>
        <v>0.58908904343081403</v>
      </c>
    </row>
    <row r="74" spans="2:45" outlineLevel="1" x14ac:dyDescent="0.25"/>
    <row r="76" spans="2:45" x14ac:dyDescent="0.25">
      <c r="N76" s="292"/>
    </row>
    <row r="77" spans="2:45" ht="16.5" thickBot="1" x14ac:dyDescent="0.3">
      <c r="B77" s="9">
        <f ca="1">MAX(B$3:B76)+0.1</f>
        <v>26.200000000000003</v>
      </c>
      <c r="C77" s="28" t="s">
        <v>93</v>
      </c>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row>
    <row r="78" spans="2:45" outlineLevel="1" x14ac:dyDescent="0.25">
      <c r="B78"/>
    </row>
    <row r="79" spans="2:45" ht="15.75" outlineLevel="1" x14ac:dyDescent="0.25">
      <c r="D79" s="54" t="s">
        <v>91</v>
      </c>
      <c r="E79" s="270" t="s">
        <v>93</v>
      </c>
      <c r="N79" s="153"/>
      <c r="O79" s="153"/>
      <c r="P79" s="153"/>
      <c r="Q79" s="153"/>
      <c r="R79" s="153"/>
      <c r="S79" s="153"/>
    </row>
    <row r="80" spans="2:45" outlineLevel="1" x14ac:dyDescent="0.25">
      <c r="G80" s="153"/>
      <c r="H80" s="153"/>
      <c r="I80" s="153"/>
      <c r="J80" s="153"/>
      <c r="K80" s="153"/>
      <c r="L80" s="153"/>
      <c r="N80" s="153"/>
      <c r="O80" s="153"/>
      <c r="P80" s="153"/>
      <c r="Q80" s="153"/>
      <c r="R80" s="153"/>
      <c r="S80" s="153"/>
    </row>
    <row r="81" spans="4:47" ht="15.75" outlineLevel="1" x14ac:dyDescent="0.25">
      <c r="D81" s="54" t="s">
        <v>705</v>
      </c>
      <c r="F81" s="107" t="s">
        <v>229</v>
      </c>
      <c r="G81" s="374" cm="1">
        <f t="array" ref="G81">INDEX(Input_Usage[[F-PreviousVDO_Input]:[D-NextVDO_Input]],MATCH(1,(Input_Usage[[Profile name]:[Profile name]]=$E$79&amp;" - medium")*(Input_Usage[[Usage type]:[Usage type]]=$F81),0),MATCH($G$89,Inputs!$I$134:$O$134,0))</f>
        <v>20000</v>
      </c>
      <c r="I81" s="54" t="s">
        <v>554</v>
      </c>
      <c r="J81" s="82" t="str">
        <f>INDEX(Inputs!$H$10:$S$10,1,MATCH($G$89,Inputs!$H$8:$S$8,0))</f>
        <v>D-NextVDO_Input</v>
      </c>
      <c r="K81" s="227" t="str">
        <f>INDEX(Input_TUNet_Dates[[F-PreviousVDO_Input]:[D-NextVDO_Input]],MATCH(I81,Input_TUNet_Dates[Item],0),MATCH(J81,Input_TUNet_Dates[[#Headers],[F-PreviousVDO_Input]:[D-NextVDO_Input]],0))</f>
        <v>-</v>
      </c>
      <c r="N81" s="270" cm="1">
        <f t="array" ref="N81">INDEX(Input_Usage[[F-PreviousVDO_Input]:[F-CurrentVDO_Input]],MATCH(1,(Input_Usage[[Profile name]:[Profile name]]=$E$79&amp;" - medium")*(Input_Usage[[Usage type]:[Usage type]]=$F81),0),MATCH($N$89,Inputs!$I$134:$M$134,0))</f>
        <v>20000</v>
      </c>
      <c r="P81" s="54" t="s">
        <v>554</v>
      </c>
      <c r="Q81" s="82" t="str">
        <f>INDEX(Inputs!$H$10:$Q$10,1,MATCH($N$89,Inputs!$H$8:$Q$8,0))</f>
        <v>F-CurrentVDO_Input</v>
      </c>
      <c r="R81" s="227">
        <f>INDEX(Input_TUNet_Dates[[F-PreviousVDO_Input]:[F-CurrentVDO_Input]],MATCH(P81,Input_TUNet_Dates[Item],0),MATCH(Q81,Input_TUNet_Dates[[#Headers],[F-PreviousVDO_Input]:[F-CurrentVDO_Input]],0))</f>
        <v>44562</v>
      </c>
    </row>
    <row r="82" spans="4:47" ht="15.75" outlineLevel="1" x14ac:dyDescent="0.25">
      <c r="F82" s="107" t="s">
        <v>221</v>
      </c>
      <c r="G82" s="374" cm="1">
        <f t="array" ref="G82">INDEX(Input_Usage[[F-PreviousVDO_Input]:[D-NextVDO_Input]],MATCH(1,(Input_Usage[[Profile name]:[Profile name]]=$E$79&amp;" - medium")*(Input_Usage[[Usage type]:[Usage type]]=$F82),0),MATCH($G$89,Inputs!$I$134:$O$134,0))</f>
        <v>4080</v>
      </c>
      <c r="I82" s="54" t="s">
        <v>555</v>
      </c>
      <c r="J82" s="82" t="str">
        <f>INDEX(Inputs!$H$10:$S$10,1,MATCH($G$89,Inputs!$H$8:$S$8,0))</f>
        <v>D-NextVDO_Input</v>
      </c>
      <c r="K82" s="227" t="str">
        <f>INDEX(Input_TUNet_Dates[[F-PreviousVDO_Input]:[D-NextVDO_Input]],MATCH(I81,Input_TUNet_Dates[Item],0),MATCH(J82,Input_TUNet_Dates[[#Headers],[F-PreviousVDO_Input]:[D-NextVDO_Input]],0))</f>
        <v>-</v>
      </c>
      <c r="N82" s="270" cm="1">
        <f t="array" ref="N82">INDEX(Input_Usage[[F-PreviousVDO_Input]:[F-CurrentVDO_Input]],MATCH(1,(Input_Usage[[Profile name]:[Profile name]]=$E$79&amp;" - medium")*(Input_Usage[[Usage type]:[Usage type]]=$F82),0),MATCH($N$89,Inputs!$I$134:$M$134,0))</f>
        <v>4080</v>
      </c>
      <c r="P82" s="54" t="s">
        <v>555</v>
      </c>
      <c r="Q82" s="82" t="str">
        <f>INDEX(Inputs!$H$10:$Q$10,1,MATCH($N$89,Inputs!$H$8:$Q$8,0))</f>
        <v>F-CurrentVDO_Input</v>
      </c>
      <c r="R82" s="227">
        <f>INDEX(Input_TUNet_Dates[[F-PreviousVDO_Input]:[F-CurrentVDO_Input]],MATCH(P82,Input_TUNet_Dates[Item],0),MATCH(Q82,Input_TUNet_Dates[[#Headers],[F-PreviousVDO_Input]:[F-CurrentVDO_Input]],0))</f>
        <v>44742</v>
      </c>
    </row>
    <row r="83" spans="4:47" ht="15.75" outlineLevel="1" x14ac:dyDescent="0.25">
      <c r="F83" s="107" t="s">
        <v>228</v>
      </c>
      <c r="G83" s="374" cm="1">
        <f t="array" ref="G83">INDEX(Input_Usage[[F-PreviousVDO_Input]:[D-NextVDO_Input]],MATCH(1,(Input_Usage[[Profile name]:[Profile name]]=$E$79&amp;" - medium")*(Input_Usage[[Usage type]:[Usage type]]=$F83),0),MATCH($G$89,Inputs!$I$134:$O$134,0))</f>
        <v>15920</v>
      </c>
      <c r="I83" s="29"/>
      <c r="N83" s="270" cm="1">
        <f t="array" ref="N83">INDEX(Input_Usage[[F-PreviousVDO_Input]:[F-CurrentVDO_Input]],MATCH(1,(Input_Usage[[Profile name]:[Profile name]]=$E$79&amp;" - medium")*(Input_Usage[[Usage type]:[Usage type]]=$F83),0),MATCH($N$89,Inputs!$I$134:$M$134,0))</f>
        <v>15920</v>
      </c>
      <c r="P83" s="29"/>
      <c r="AB83" s="113"/>
    </row>
    <row r="84" spans="4:47" ht="15.75" outlineLevel="1" x14ac:dyDescent="0.25">
      <c r="F84" s="107" t="s">
        <v>287</v>
      </c>
      <c r="G84" s="270"/>
      <c r="I84" s="54" t="s">
        <v>643</v>
      </c>
      <c r="K84" s="284" t="str">
        <f>IFERROR(_xlfn.DAYS(K82,K81)+1,"-")</f>
        <v>-</v>
      </c>
      <c r="N84" s="270"/>
      <c r="P84" s="54" t="s">
        <v>643</v>
      </c>
      <c r="R84" s="284">
        <f>IFERROR(_xlfn.DAYS(R82,R81)+1,"-")</f>
        <v>181</v>
      </c>
    </row>
    <row r="85" spans="4:47" outlineLevel="1" x14ac:dyDescent="0.25"/>
    <row r="86" spans="4:47" ht="15.75" outlineLevel="1" x14ac:dyDescent="0.25">
      <c r="I86" s="54" t="s">
        <v>756</v>
      </c>
      <c r="J86" t="s">
        <v>587</v>
      </c>
      <c r="K86" s="82" t="str">
        <f>INDEX(Input_DecisionActual[Decision],MATCH(K87,Input_DecisionActual[Actual],0),1)</f>
        <v>VDO 2022 - Final</v>
      </c>
      <c r="L86" s="76">
        <f>INDEX(Input_TU_Periods[[F-PreviousVDO_Input]:[F-CurrentVDO_Input]],1,MATCH(K86,Inputs!$F$238:$J$238,0))</f>
        <v>181</v>
      </c>
      <c r="P86" s="54" t="s">
        <v>756</v>
      </c>
      <c r="Q86" t="s">
        <v>587</v>
      </c>
      <c r="R86" s="82" t="str">
        <f>INDEX(Input_DecisionActual[Decision],MATCH(R87,Input_DecisionActual[Actual],0),1)</f>
        <v>VDO 2021 - Final</v>
      </c>
      <c r="S86" s="76">
        <f>INDEX(Input_TU_Periods[[F-PreviousVDO_Input]:[F-CurrentVDO_Input]],1,MATCH(R86,Inputs!$F$238:$J$238,0))</f>
        <v>365</v>
      </c>
    </row>
    <row r="87" spans="4:47" ht="15.75" outlineLevel="1" x14ac:dyDescent="0.25">
      <c r="I87" s="54" t="s">
        <v>756</v>
      </c>
      <c r="J87" t="s">
        <v>586</v>
      </c>
      <c r="K87" s="82" t="str">
        <f>G89</f>
        <v>VDO 2022-23 - Draft</v>
      </c>
      <c r="L87" s="76">
        <f>INDEX(Input_TU_Periods[[F-PreviousVDO_Input]:[D-NextVDO_Input]],1,MATCH(K87,Inputs!$F$238:$L$238,0))</f>
        <v>365</v>
      </c>
      <c r="P87" s="54" t="s">
        <v>756</v>
      </c>
      <c r="Q87" t="s">
        <v>586</v>
      </c>
      <c r="R87" s="82" t="str">
        <f>N89</f>
        <v>VDO 2022 - Final</v>
      </c>
      <c r="S87" s="76">
        <f>INDEX(Input_TU_Periods[[F-PreviousVDO_Input]:[F-CurrentVDO_Input]],1,MATCH(R87,Inputs!$F$238:$J$238,0))</f>
        <v>181</v>
      </c>
    </row>
    <row r="88" spans="4:47" ht="15.75" outlineLevel="1" x14ac:dyDescent="0.25">
      <c r="I88" s="54" t="s">
        <v>755</v>
      </c>
      <c r="L88" s="299">
        <f>L86/L87</f>
        <v>0.49589041095890413</v>
      </c>
      <c r="P88" s="54" t="s">
        <v>755</v>
      </c>
      <c r="S88" s="299">
        <f>S86/S87</f>
        <v>2.0165745856353592</v>
      </c>
    </row>
    <row r="89" spans="4:47" ht="30" outlineLevel="1" x14ac:dyDescent="0.25">
      <c r="G89" s="240" t="str">
        <f>Calc_Rates!$D$5</f>
        <v>VDO 2022-23 - Draft</v>
      </c>
      <c r="N89" s="240" t="str">
        <f>Calc_Rates!$D$254</f>
        <v>VDO 2022 - Final</v>
      </c>
      <c r="U89" s="29" t="s">
        <v>319</v>
      </c>
      <c r="AB89" s="29" t="s">
        <v>704</v>
      </c>
    </row>
    <row r="90" spans="4:47" ht="15.75" outlineLevel="1" x14ac:dyDescent="0.25">
      <c r="G90" s="50" t="s">
        <v>374</v>
      </c>
      <c r="H90" s="269" t="s">
        <v>268</v>
      </c>
      <c r="I90" s="269" t="s">
        <v>269</v>
      </c>
      <c r="J90" s="269" t="s">
        <v>270</v>
      </c>
      <c r="K90" s="269" t="s">
        <v>271</v>
      </c>
      <c r="L90" s="269" t="s">
        <v>272</v>
      </c>
      <c r="N90" s="50" t="s">
        <v>374</v>
      </c>
      <c r="O90" s="269" t="s">
        <v>268</v>
      </c>
      <c r="P90" s="269" t="s">
        <v>269</v>
      </c>
      <c r="Q90" s="269" t="s">
        <v>270</v>
      </c>
      <c r="R90" s="269" t="s">
        <v>271</v>
      </c>
      <c r="S90" s="269" t="s">
        <v>272</v>
      </c>
      <c r="U90" s="50" t="s">
        <v>374</v>
      </c>
      <c r="V90" s="269" t="s">
        <v>268</v>
      </c>
      <c r="W90" s="269" t="s">
        <v>269</v>
      </c>
      <c r="X90" s="269" t="s">
        <v>270</v>
      </c>
      <c r="Y90" s="269" t="s">
        <v>271</v>
      </c>
      <c r="Z90" s="269" t="s">
        <v>272</v>
      </c>
      <c r="AB90" s="50" t="s">
        <v>374</v>
      </c>
      <c r="AC90" s="269" t="s">
        <v>268</v>
      </c>
      <c r="AD90" s="269" t="s">
        <v>269</v>
      </c>
      <c r="AE90" s="269" t="s">
        <v>270</v>
      </c>
      <c r="AF90" s="269" t="s">
        <v>271</v>
      </c>
      <c r="AG90" s="269" t="s">
        <v>272</v>
      </c>
    </row>
    <row r="91" spans="4:47" outlineLevel="1" x14ac:dyDescent="0.25">
      <c r="AP91" s="300"/>
      <c r="AQ91" s="319"/>
      <c r="AS91" s="300"/>
    </row>
    <row r="92" spans="4:47" outlineLevel="1" x14ac:dyDescent="0.25">
      <c r="D92" t="s">
        <v>741</v>
      </c>
      <c r="G92" s="170">
        <f>ROUNDUP(AVERAGE(H92:L92),0)</f>
        <v>5423</v>
      </c>
      <c r="H92" s="170">
        <f>IF($E$79="Residential",
INDEX(CostStackCalcs_RES_1[[Ausnet]:[Average]],MATCH("Total",CostStackCalcs_RES_1[[Labels]:[Labels]],0),MATCH(H$90,CostStackCalcs_RES_1[[#Headers],[Ausnet]:[Average]],0)),
IF($E$79="Small business",
INDEX(CostStackCalcs_SME_1[[Ausnet]:[Average]],MATCH("Total",CostStackCalcs_SME_1[[Labels]:[Labels]],0),MATCH(H$90,CostStackCalcs_SME_1[[#Headers],[Ausnet]:[Average]],0)),"-"))</f>
        <v>7003</v>
      </c>
      <c r="I92" s="170">
        <f>IF($E$79="Residential",
INDEX(CostStackCalcs_RES_1[[Ausnet]:[Average]],MATCH("Total",CostStackCalcs_RES_1[[Labels]:[Labels]],0),MATCH(I$90,CostStackCalcs_RES_1[[#Headers],[Ausnet]:[Average]],0)),
IF($E$79="Small business",
INDEX(CostStackCalcs_SME_1[[Ausnet]:[Average]],MATCH("Total",CostStackCalcs_SME_1[[Labels]:[Labels]],0),MATCH(I$90,CostStackCalcs_SME_1[[#Headers],[Ausnet]:[Average]],0)),"-"))</f>
        <v>4804</v>
      </c>
      <c r="J92" s="170">
        <f>IF($E$79="Residential",
INDEX(CostStackCalcs_RES_1[[Ausnet]:[Average]],MATCH("Total",CostStackCalcs_RES_1[[Labels]:[Labels]],0),MATCH(J$90,CostStackCalcs_RES_1[[#Headers],[Ausnet]:[Average]],0)),
IF($E$79="Small business",
INDEX(CostStackCalcs_SME_1[[Ausnet]:[Average]],MATCH("Total",CostStackCalcs_SME_1[[Labels]:[Labels]],0),MATCH(J$90,CostStackCalcs_SME_1[[#Headers],[Ausnet]:[Average]],0)),"-"))</f>
        <v>5378</v>
      </c>
      <c r="K92" s="170">
        <f>IF($E$79="Residential",
INDEX(CostStackCalcs_RES_1[[Ausnet]:[Average]],MATCH("Total",CostStackCalcs_RES_1[[Labels]:[Labels]],0),MATCH(K$90,CostStackCalcs_RES_1[[#Headers],[Ausnet]:[Average]],0)),
IF($E$79="Small business",
INDEX(CostStackCalcs_SME_1[[Ausnet]:[Average]],MATCH("Total",CostStackCalcs_SME_1[[Labels]:[Labels]],0),MATCH(K$90,CostStackCalcs_SME_1[[#Headers],[Ausnet]:[Average]],0)),"-"))</f>
        <v>5056</v>
      </c>
      <c r="L92" s="170">
        <f>IF($E$79="Residential",
INDEX(CostStackCalcs_RES_1[[Ausnet]:[Average]],MATCH("Total",CostStackCalcs_RES_1[[Labels]:[Labels]],0),MATCH(L$90,CostStackCalcs_RES_1[[#Headers],[Ausnet]:[Average]],0)),
IF($E$79="Small business",
INDEX(CostStackCalcs_SME_1[[Ausnet]:[Average]],MATCH("Total",CostStackCalcs_SME_1[[Labels]:[Labels]],0),MATCH(L$90,CostStackCalcs_SME_1[[#Headers],[Ausnet]:[Average]],0)),"-"))</f>
        <v>4872</v>
      </c>
      <c r="N92" s="170">
        <f>ROUNDUP(AVERAGE(O92:S92),0)</f>
        <v>5350</v>
      </c>
      <c r="O92" s="170">
        <f>IF($E$79="Residential",
INDEX(CostStackCalcs_RES_2[[Ausnet]:[Average]],MATCH("Total",CostStackCalcs_RES_2[[Labels]:[Labels]],0),MATCH(O$90,CostStackCalcs_RES_2[[#Headers],[Ausnet]:[Average]],0)),
IF($E$79="Small business",
INDEX(CostStackCalcs_SME_2[[Ausnet]:[Average]],MATCH("Total",CostStackCalcs_SME_2[[Labels]:[Labels]],0),MATCH(O$90,CostStackCalcs_SME_2[[#Headers],[Ausnet]:[Average]],0)),"-"))</f>
        <v>6934</v>
      </c>
      <c r="P92" s="170">
        <f>IF($E$79="Residential",
INDEX(CostStackCalcs_RES_2[[Ausnet]:[Average]],MATCH("Total",CostStackCalcs_RES_2[[Labels]:[Labels]],0),MATCH(P$90,CostStackCalcs_RES_2[[#Headers],[Ausnet]:[Average]],0)),
IF($E$79="Small business",
INDEX(CostStackCalcs_SME_2[[Ausnet]:[Average]],MATCH("Total",CostStackCalcs_SME_2[[Labels]:[Labels]],0),MATCH(P$90,CostStackCalcs_SME_2[[#Headers],[Ausnet]:[Average]],0)),"-"))</f>
        <v>4713</v>
      </c>
      <c r="Q92" s="170">
        <f>IF($E$79="Residential",
INDEX(CostStackCalcs_RES_2[[Ausnet]:[Average]],MATCH("Total",CostStackCalcs_RES_2[[Labels]:[Labels]],0),MATCH(Q$90,CostStackCalcs_RES_2[[#Headers],[Ausnet]:[Average]],0)),
IF($E$79="Small business",
INDEX(CostStackCalcs_SME_2[[Ausnet]:[Average]],MATCH("Total",CostStackCalcs_SME_2[[Labels]:[Labels]],0),MATCH(Q$90,CostStackCalcs_SME_2[[#Headers],[Ausnet]:[Average]],0)),"-"))</f>
        <v>5328</v>
      </c>
      <c r="R92" s="170">
        <f>IF($E$79="Residential",
INDEX(CostStackCalcs_RES_2[[Ausnet]:[Average]],MATCH("Total",CostStackCalcs_RES_2[[Labels]:[Labels]],0),MATCH(R$90,CostStackCalcs_RES_2[[#Headers],[Ausnet]:[Average]],0)),
IF($E$79="Small business",
INDEX(CostStackCalcs_SME_2[[Ausnet]:[Average]],MATCH("Total",CostStackCalcs_SME_2[[Labels]:[Labels]],0),MATCH(R$90,CostStackCalcs_SME_2[[#Headers],[Ausnet]:[Average]],0)),"-"))</f>
        <v>4969</v>
      </c>
      <c r="S92" s="170">
        <f>IF($E$79="Residential",
INDEX(CostStackCalcs_RES_2[[Ausnet]:[Average]],MATCH("Total",CostStackCalcs_RES_2[[Labels]:[Labels]],0),MATCH(S$90,CostStackCalcs_RES_2[[#Headers],[Ausnet]:[Average]],0)),
IF($E$79="Small business",
INDEX(CostStackCalcs_SME_2[[Ausnet]:[Average]],MATCH("Total",CostStackCalcs_SME_2[[Labels]:[Labels]],0),MATCH(S$90,CostStackCalcs_SME_2[[#Headers],[Ausnet]:[Average]],0)),"-"))</f>
        <v>4806</v>
      </c>
      <c r="U92" s="170">
        <f>IFERROR(N92-G92,"-")</f>
        <v>-73</v>
      </c>
      <c r="V92" s="170">
        <f t="shared" ref="V92:Z92" si="175">IFERROR(O92-H92,"-")</f>
        <v>-69</v>
      </c>
      <c r="W92" s="170">
        <f t="shared" si="175"/>
        <v>-91</v>
      </c>
      <c r="X92" s="170">
        <f t="shared" si="175"/>
        <v>-50</v>
      </c>
      <c r="Y92" s="170">
        <f t="shared" si="175"/>
        <v>-87</v>
      </c>
      <c r="Z92" s="170">
        <f t="shared" si="175"/>
        <v>-66</v>
      </c>
      <c r="AB92" s="268">
        <f>IFERROR(U92/G$92,"-")</f>
        <v>-1.3461183846579385E-2</v>
      </c>
      <c r="AC92" s="268">
        <f t="shared" ref="AC92:AG92" si="176">IFERROR(V92/H$92,"-")</f>
        <v>-9.8529201770669716E-3</v>
      </c>
      <c r="AD92" s="268">
        <f t="shared" si="176"/>
        <v>-1.8942547876769359E-2</v>
      </c>
      <c r="AE92" s="268">
        <f t="shared" si="176"/>
        <v>-9.2971364819635551E-3</v>
      </c>
      <c r="AF92" s="268">
        <f t="shared" si="176"/>
        <v>-1.720727848101266E-2</v>
      </c>
      <c r="AG92" s="268">
        <f t="shared" si="176"/>
        <v>-1.3546798029556651E-2</v>
      </c>
      <c r="AP92" s="300"/>
      <c r="AQ92" s="319"/>
      <c r="AU92" s="113"/>
    </row>
    <row r="93" spans="4:47" outlineLevel="1" x14ac:dyDescent="0.25">
      <c r="D93" t="s">
        <v>742</v>
      </c>
      <c r="G93" s="170">
        <f>ROUNDUP(G96+G97+G120+G145+G102+G103+G104+G99,0)</f>
        <v>5422</v>
      </c>
      <c r="H93" s="170">
        <f t="shared" ref="H93:L93" si="177">ROUNDUP(H96+H97+H120+H145+H102+H103+H104+H99,0)</f>
        <v>7003</v>
      </c>
      <c r="I93" s="170">
        <f t="shared" si="177"/>
        <v>4804</v>
      </c>
      <c r="J93" s="170">
        <f t="shared" si="177"/>
        <v>5378</v>
      </c>
      <c r="K93" s="170">
        <f t="shared" si="177"/>
        <v>5055</v>
      </c>
      <c r="L93" s="170">
        <f t="shared" si="177"/>
        <v>4872</v>
      </c>
      <c r="N93" s="170">
        <f t="shared" ref="N93:S93" si="178">ROUNDUP(N96+N97+N120+N145+N102+N103+N104+N99,0)</f>
        <v>5350</v>
      </c>
      <c r="O93" s="170">
        <f>ROUNDUP(O96+O97+O120+O145+O102+O103+O104+O99,0)</f>
        <v>6934</v>
      </c>
      <c r="P93" s="170">
        <f t="shared" si="178"/>
        <v>4713</v>
      </c>
      <c r="Q93" s="170">
        <f t="shared" si="178"/>
        <v>5328</v>
      </c>
      <c r="R93" s="170">
        <f t="shared" si="178"/>
        <v>4969</v>
      </c>
      <c r="S93" s="170">
        <f t="shared" si="178"/>
        <v>4806</v>
      </c>
      <c r="U93" s="170">
        <f>ROUNDUP(U96+U97+U120+U145+U102+U103+U104+U99,0)</f>
        <v>-73</v>
      </c>
      <c r="V93" s="170">
        <f t="shared" ref="V93:Z93" si="179">ROUNDUP(V96+V97+V120+V145+V102+V103+V104+V99,0)</f>
        <v>-69</v>
      </c>
      <c r="W93" s="170">
        <f t="shared" si="179"/>
        <v>-92</v>
      </c>
      <c r="X93" s="170">
        <f t="shared" si="179"/>
        <v>-50</v>
      </c>
      <c r="Y93" s="170">
        <f t="shared" si="179"/>
        <v>-87</v>
      </c>
      <c r="Z93" s="170">
        <f t="shared" si="179"/>
        <v>-67</v>
      </c>
      <c r="AB93" s="170"/>
      <c r="AC93" s="170"/>
      <c r="AD93" s="170"/>
      <c r="AE93" s="170"/>
      <c r="AF93" s="170"/>
      <c r="AG93" s="170"/>
      <c r="AP93" s="300"/>
      <c r="AQ93" s="319"/>
      <c r="AU93" s="113"/>
    </row>
    <row r="94" spans="4:47" ht="15.75" outlineLevel="1" x14ac:dyDescent="0.25">
      <c r="G94" s="93">
        <f>IF(AND(G93-G92&lt;=1,G93-G92&gt;=-1),0,1)</f>
        <v>0</v>
      </c>
      <c r="H94" s="93">
        <f t="shared" ref="H94" si="180">IF(AND(H93-H92&lt;=1,H93-H92&gt;=-1),0,1)</f>
        <v>0</v>
      </c>
      <c r="I94" s="93">
        <f t="shared" ref="I94" si="181">IF(AND(I93-I92&lt;=1,I93-I92&gt;=-1),0,1)</f>
        <v>0</v>
      </c>
      <c r="J94" s="93">
        <f t="shared" ref="J94" si="182">IF(AND(J93-J92&lt;=1,J93-J92&gt;=-1),0,1)</f>
        <v>0</v>
      </c>
      <c r="K94" s="93">
        <f t="shared" ref="K94" si="183">IF(AND(K93-K92&lt;=1,K93-K92&gt;=-1),0,1)</f>
        <v>0</v>
      </c>
      <c r="L94" s="93">
        <f t="shared" ref="L94" si="184">IF(AND(L93-L92&lt;=1,L93-L92&gt;=-1),0,1)</f>
        <v>0</v>
      </c>
      <c r="N94" s="93">
        <f>IF(AND(N93-N92&lt;=1,N93-N92&gt;=-1),0,1)</f>
        <v>0</v>
      </c>
      <c r="O94" s="93">
        <f>IF(AND(O93-O92&lt;=1,O93-O92&gt;=-1),0,1)</f>
        <v>0</v>
      </c>
      <c r="P94" s="93">
        <f t="shared" ref="P94" si="185">IF(AND(P93-P92&lt;=1,P93-P92&gt;=-1),0,1)</f>
        <v>0</v>
      </c>
      <c r="Q94" s="93">
        <f t="shared" ref="Q94" si="186">IF(AND(Q93-Q92&lt;=1,Q93-Q92&gt;=-1),0,1)</f>
        <v>0</v>
      </c>
      <c r="R94" s="93">
        <f t="shared" ref="R94" si="187">IF(AND(R93-R92&lt;=1,R93-R92&gt;=-1),0,1)</f>
        <v>0</v>
      </c>
      <c r="S94" s="93">
        <f t="shared" ref="S94" si="188">IF(AND(S93-S92&lt;=1,S93-S92&gt;=-1),0,1)</f>
        <v>0</v>
      </c>
      <c r="U94" s="93">
        <f>IF(AND(U93-U92&lt;=1,U93-U92&gt;=-1),0,1)</f>
        <v>0</v>
      </c>
      <c r="V94" s="93">
        <f t="shared" ref="V94" si="189">IF(AND(V93-V92&lt;=1,V93-V92&gt;=-1),0,1)</f>
        <v>0</v>
      </c>
      <c r="W94" s="93">
        <f t="shared" ref="W94" si="190">IF(AND(W93-W92&lt;=1,W93-W92&gt;=-1),0,1)</f>
        <v>0</v>
      </c>
      <c r="X94" s="93">
        <f t="shared" ref="X94" si="191">IF(AND(X93-X92&lt;=1,X93-X92&gt;=-1),0,1)</f>
        <v>0</v>
      </c>
      <c r="Y94" s="93">
        <f t="shared" ref="Y94" si="192">IF(AND(Y93-Y92&lt;=1,Y93-Y92&gt;=-1),0,1)</f>
        <v>0</v>
      </c>
      <c r="Z94" s="93">
        <f t="shared" ref="Z94" si="193">IF(AND(Z93-Z92&lt;=1,Z93-Z92&gt;=-1),0,1)</f>
        <v>0</v>
      </c>
      <c r="AB94" s="93">
        <f>IF(AND(AB93-AB92&lt;=1,AB93-AB92&gt;=-1),0,1)</f>
        <v>0</v>
      </c>
      <c r="AC94" s="93">
        <f t="shared" ref="AC94" si="194">IF(AND(AC93-AC92&lt;=1,AC93-AC92&gt;=-1),0,1)</f>
        <v>0</v>
      </c>
      <c r="AD94" s="93">
        <f t="shared" ref="AD94" si="195">IF(AND(AD93-AD92&lt;=1,AD93-AD92&gt;=-1),0,1)</f>
        <v>0</v>
      </c>
      <c r="AE94" s="93">
        <f t="shared" ref="AE94" si="196">IF(AND(AE93-AE92&lt;=1,AE93-AE92&gt;=-1),0,1)</f>
        <v>0</v>
      </c>
      <c r="AF94" s="93">
        <f t="shared" ref="AF94" si="197">IF(AND(AF93-AF92&lt;=1,AF93-AF92&gt;=-1),0,1)</f>
        <v>0</v>
      </c>
      <c r="AG94" s="93">
        <f t="shared" ref="AG94" si="198">IF(AND(AG93-AG92&lt;=1,AG93-AG92&gt;=-1),0,1)</f>
        <v>0</v>
      </c>
      <c r="AP94" s="300"/>
      <c r="AQ94" s="319"/>
      <c r="AS94" s="300"/>
    </row>
    <row r="95" spans="4:47" outlineLevel="1" x14ac:dyDescent="0.25">
      <c r="AP95" s="300"/>
      <c r="AQ95" s="319"/>
      <c r="AS95" s="300"/>
    </row>
    <row r="96" spans="4:47" outlineLevel="1" x14ac:dyDescent="0.25">
      <c r="D96" t="s">
        <v>708</v>
      </c>
      <c r="G96" s="170">
        <f>AVERAGE(H96:L96)</f>
        <v>491.33729635606721</v>
      </c>
      <c r="H96" s="170">
        <f>((H120+H145)+H$97)*GST</f>
        <v>634.9809211314938</v>
      </c>
      <c r="I96" s="170">
        <f>((I120+I145)+I$97)*GST</f>
        <v>435.1589532340879</v>
      </c>
      <c r="J96" s="170">
        <f>((J120+J145)+J$97)*GST</f>
        <v>487.2869708328783</v>
      </c>
      <c r="K96" s="170">
        <f>((K120+K145)+K$97)*GST</f>
        <v>457.94732372822</v>
      </c>
      <c r="L96" s="170">
        <f>((L120+L145)+L$97)*GST</f>
        <v>441.31231285365584</v>
      </c>
      <c r="N96" s="170">
        <f t="shared" ref="N96:N97" si="199">AVERAGE(O96:S96)</f>
        <v>479.05184954876495</v>
      </c>
      <c r="O96" s="170">
        <f>((O120+O145)+O$97)*GST</f>
        <v>621.97805397622278</v>
      </c>
      <c r="P96" s="170">
        <f>((P120+P145)+P$97)*GST</f>
        <v>421.64903156451732</v>
      </c>
      <c r="Q96" s="170">
        <f>((Q120+Q145)+Q$97)*GST</f>
        <v>476.07785338700546</v>
      </c>
      <c r="R96" s="170">
        <f>((R120+R145)+R$97)*GST</f>
        <v>444.58423816514772</v>
      </c>
      <c r="S96" s="170">
        <f>((S120+S145)+S$97)*GST</f>
        <v>430.97007065093152</v>
      </c>
      <c r="U96" s="170">
        <f>IFERROR(N96-G96,"-")</f>
        <v>-12.285446807302264</v>
      </c>
      <c r="V96" s="170">
        <f t="shared" ref="V96:Z97" si="200">IFERROR(O96-H96,"-")</f>
        <v>-13.002867155271019</v>
      </c>
      <c r="W96" s="170">
        <f t="shared" si="200"/>
        <v>-13.509921669570588</v>
      </c>
      <c r="X96" s="170">
        <f t="shared" si="200"/>
        <v>-11.209117445872835</v>
      </c>
      <c r="Y96" s="170">
        <f t="shared" si="200"/>
        <v>-13.363085563072275</v>
      </c>
      <c r="Z96" s="170">
        <f t="shared" si="200"/>
        <v>-10.342242202724321</v>
      </c>
      <c r="AB96" s="268">
        <f>IFERROR(U96/G$92,"-")</f>
        <v>-2.2654336727461304E-3</v>
      </c>
      <c r="AC96" s="268">
        <f t="shared" ref="AC96:AG97" si="201">IFERROR(V96/H$92,"-")</f>
        <v>-1.8567566978824816E-3</v>
      </c>
      <c r="AD96" s="268">
        <f t="shared" si="201"/>
        <v>-2.8122234949147767E-3</v>
      </c>
      <c r="AE96" s="268">
        <f t="shared" si="201"/>
        <v>-2.0842538947327695E-3</v>
      </c>
      <c r="AF96" s="268">
        <f t="shared" si="201"/>
        <v>-2.6430153407975229E-3</v>
      </c>
      <c r="AG96" s="268">
        <f t="shared" si="201"/>
        <v>-2.1227919135312647E-3</v>
      </c>
      <c r="AI96" s="300"/>
      <c r="AP96" s="300"/>
      <c r="AQ96" s="319"/>
    </row>
    <row r="97" spans="3:45" outlineLevel="1" x14ac:dyDescent="0.25">
      <c r="D97" t="s">
        <v>709</v>
      </c>
      <c r="G97" s="170">
        <f>AVERAGE(H97:L97)</f>
        <v>279.86394473695265</v>
      </c>
      <c r="H97" s="373">
        <f>(H120+H145)*
INDEX(Input_ForRateCalc[[F-PreviousVDO_InputDate]:[D-NextVDO_Input]],
MATCH("Retail operating margin",Input_ForRateCalc[[Cost item]:[Cost item]],0),
MATCH($G$89,Inputs!$H$8:$S$8,0))</f>
        <v>361.68283323596967</v>
      </c>
      <c r="I97" s="373">
        <f>(I120+I145)*
INDEX(Input_ForRateCalc[[F-PreviousVDO_InputDate]:[D-NextVDO_Input]],
MATCH("Retail operating margin",Input_ForRateCalc[[Cost item]:[Cost item]],0),
MATCH($G$89,Inputs!$H$8:$S$8,0))</f>
        <v>247.8649639319022</v>
      </c>
      <c r="J97" s="373">
        <f>(J120+J145)*
INDEX(Input_ForRateCalc[[F-PreviousVDO_InputDate]:[D-NextVDO_Input]],
MATCH("Retail operating margin",Input_ForRateCalc[[Cost item]:[Cost item]],0),
MATCH($G$89,Inputs!$H$8:$S$8,0))</f>
        <v>277.55689398628675</v>
      </c>
      <c r="K97" s="373">
        <f>(K120+K145)*
INDEX(Input_ForRateCalc[[F-PreviousVDO_InputDate]:[D-NextVDO_Input]],
MATCH("Retail operating margin",Input_ForRateCalc[[Cost item]:[Cost item]],0),
MATCH($G$89,Inputs!$H$8:$S$8,0))</f>
        <v>260.84513724240372</v>
      </c>
      <c r="L97" s="373">
        <f>(L120+L145)*
INDEX(Input_ForRateCalc[[F-PreviousVDO_InputDate]:[D-NextVDO_Input]],
MATCH("Retail operating margin",Input_ForRateCalc[[Cost item]:[Cost item]],0),
MATCH($G$89,Inputs!$H$8:$S$8,0))</f>
        <v>251.36989528820084</v>
      </c>
      <c r="N97" s="170">
        <f t="shared" si="199"/>
        <v>272.86619872449455</v>
      </c>
      <c r="O97" s="170">
        <f>(O120+O145)*
INDEX(Input_ForRateCalc[[F-PreviousVDO_InputDate]:[F-CurrentVDO_Input]],
MATCH("Retail operating margin",Input_ForRateCalc[[Cost item]:[Cost item]],0),
MATCH($N$89,Inputs!$H$8:$Q$8,0))</f>
        <v>354.27644719128489</v>
      </c>
      <c r="P97" s="170">
        <f>(P120+P145)*
INDEX(Input_ForRateCalc[[F-PreviousVDO_InputDate]:[F-CurrentVDO_Input]],
MATCH("Retail operating margin",Input_ForRateCalc[[Cost item]:[Cost item]],0),
MATCH($N$89,Inputs!$H$8:$Q$8,0))</f>
        <v>240.16976147205625</v>
      </c>
      <c r="Q97" s="170">
        <f>(Q120+Q145)*
INDEX(Input_ForRateCalc[[F-PreviousVDO_InputDate]:[F-CurrentVDO_Input]],
MATCH("Retail operating margin",Input_ForRateCalc[[Cost item]:[Cost item]],0),
MATCH($N$89,Inputs!$H$8:$Q$8,0))</f>
        <v>271.17222128041425</v>
      </c>
      <c r="R97" s="170">
        <f>(R120+R145)*
INDEX(Input_ForRateCalc[[F-PreviousVDO_InputDate]:[F-CurrentVDO_Input]],
MATCH("Retail operating margin",Input_ForRateCalc[[Cost item]:[Cost item]],0),
MATCH($N$89,Inputs!$H$8:$Q$8,0))</f>
        <v>253.23357209708527</v>
      </c>
      <c r="S97" s="170">
        <f>(S120+S145)*
INDEX(Input_ForRateCalc[[F-PreviousVDO_InputDate]:[F-CurrentVDO_Input]],
MATCH("Retail operating margin",Input_ForRateCalc[[Cost item]:[Cost item]],0),
MATCH($N$89,Inputs!$H$8:$Q$8,0))</f>
        <v>245.47899158163207</v>
      </c>
      <c r="U97" s="170">
        <f>IFERROR(N97-G97,"-")</f>
        <v>-6.9977460124580944</v>
      </c>
      <c r="V97" s="170">
        <f t="shared" si="200"/>
        <v>-7.4063860446847798</v>
      </c>
      <c r="W97" s="170">
        <f t="shared" si="200"/>
        <v>-7.6952024598459445</v>
      </c>
      <c r="X97" s="170">
        <f t="shared" si="200"/>
        <v>-6.3846727058725037</v>
      </c>
      <c r="Y97" s="170">
        <f t="shared" si="200"/>
        <v>-7.6115651453184512</v>
      </c>
      <c r="Z97" s="170">
        <f t="shared" si="200"/>
        <v>-5.8909037065687642</v>
      </c>
      <c r="AB97" s="268">
        <f>IFERROR(U97/G$92,"-")</f>
        <v>-1.2903828162378931E-3</v>
      </c>
      <c r="AC97" s="268">
        <f t="shared" si="201"/>
        <v>-1.057601891287274E-3</v>
      </c>
      <c r="AD97" s="268">
        <f t="shared" si="201"/>
        <v>-1.6018323188688476E-3</v>
      </c>
      <c r="AE97" s="268">
        <f t="shared" si="201"/>
        <v>-1.1871834707832844E-3</v>
      </c>
      <c r="AF97" s="268">
        <f t="shared" si="201"/>
        <v>-1.5054519670329215E-3</v>
      </c>
      <c r="AG97" s="268">
        <f t="shared" si="201"/>
        <v>-1.2091345867341469E-3</v>
      </c>
      <c r="AI97" s="300"/>
      <c r="AP97" s="300"/>
      <c r="AQ97" s="319"/>
    </row>
    <row r="98" spans="3:45" outlineLevel="1" x14ac:dyDescent="0.25">
      <c r="AB98" s="122"/>
      <c r="AC98" s="122"/>
      <c r="AD98" s="122"/>
      <c r="AE98" s="122"/>
      <c r="AF98" s="122"/>
      <c r="AG98" s="122"/>
      <c r="AI98" s="300"/>
      <c r="AP98" s="300"/>
      <c r="AQ98" s="319"/>
    </row>
    <row r="99" spans="3:45" outlineLevel="1" x14ac:dyDescent="0.25">
      <c r="C99" t="s">
        <v>313</v>
      </c>
      <c r="D99" s="59" t="s">
        <v>121</v>
      </c>
      <c r="E99" s="59" t="s">
        <v>108</v>
      </c>
      <c r="G99" s="170">
        <f>AVERAGE(H99:L99)</f>
        <v>0</v>
      </c>
      <c r="H99" s="170" cm="1">
        <f t="array" ref="H99">IF(
INDEX(OP_RatesTU_SME_1[[Ausnet]:[United Energy]],
MATCH(1,(OP_RatesTU_SME_1[[Rate name]:[Rate name]]="Anytime")*(OP_RatesTU_SME_1[[Customer type]:[Customer type]]=$E$79),0),
MATCH(H$90,OP_RatesTU_SME_1[[#Headers],[Ausnet]:[United Energy]],0))="-",0,
INDEX(OP_RatesTU_SME_1[[Ausnet]:[United Energy]],
MATCH(1,(OP_RatesTU_SME_1[[Rate name]:[Rate name]]="Anytime")*(OP_RatesTU_SME_1[[Customer type]:[Customer type]]=$E$79),0),
MATCH(H$90,OP_RatesTU_SME_1[[#Headers],[Ausnet]:[United Energy]],0)))*IF($K$84="-",0,$K$84)</f>
        <v>0</v>
      </c>
      <c r="I99" s="170" cm="1">
        <f t="array" ref="I99">IF(
INDEX(OP_RatesTU_SME_1[[Ausnet]:[United Energy]],
MATCH(1,(OP_RatesTU_SME_1[[Rate name]:[Rate name]]="Anytime")*(OP_RatesTU_SME_1[[Customer type]:[Customer type]]=$E$79),0),
MATCH(I$90,OP_RatesTU_SME_1[[#Headers],[Ausnet]:[United Energy]],0))="-",0,
INDEX(OP_RatesTU_SME_1[[Ausnet]:[United Energy]],
MATCH(1,(OP_RatesTU_SME_1[[Rate name]:[Rate name]]="Anytime")*(OP_RatesTU_SME_1[[Customer type]:[Customer type]]=$E$79),0),
MATCH(I$90,OP_RatesTU_SME_1[[#Headers],[Ausnet]:[United Energy]],0)))*IF($K$84="-",0,$K$84)</f>
        <v>0</v>
      </c>
      <c r="J99" s="170" cm="1">
        <f t="array" ref="J99">IF(
INDEX(OP_RatesTU_SME_1[[Ausnet]:[United Energy]],
MATCH(1,(OP_RatesTU_SME_1[[Rate name]:[Rate name]]="Anytime")*(OP_RatesTU_SME_1[[Customer type]:[Customer type]]=$E$79),0),
MATCH(J$90,OP_RatesTU_SME_1[[#Headers],[Ausnet]:[United Energy]],0))="-",0,
INDEX(OP_RatesTU_SME_1[[Ausnet]:[United Energy]],
MATCH(1,(OP_RatesTU_SME_1[[Rate name]:[Rate name]]="Anytime")*(OP_RatesTU_SME_1[[Customer type]:[Customer type]]=$E$79),0),
MATCH(J$90,OP_RatesTU_SME_1[[#Headers],[Ausnet]:[United Energy]],0)))*IF($K$84="-",0,$K$84)</f>
        <v>0</v>
      </c>
      <c r="K99" s="170" cm="1">
        <f t="array" ref="K99">IF(
INDEX(OP_RatesTU_SME_1[[Ausnet]:[United Energy]],
MATCH(1,(OP_RatesTU_SME_1[[Rate name]:[Rate name]]="Anytime")*(OP_RatesTU_SME_1[[Customer type]:[Customer type]]=$E$79),0),
MATCH(K$90,OP_RatesTU_SME_1[[#Headers],[Ausnet]:[United Energy]],0))="-",0,
INDEX(OP_RatesTU_SME_1[[Ausnet]:[United Energy]],
MATCH(1,(OP_RatesTU_SME_1[[Rate name]:[Rate name]]="Anytime")*(OP_RatesTU_SME_1[[Customer type]:[Customer type]]=$E$79),0),
MATCH(K$90,OP_RatesTU_SME_1[[#Headers],[Ausnet]:[United Energy]],0)))*IF($K$84="-",0,$K$84)</f>
        <v>0</v>
      </c>
      <c r="L99" s="170" cm="1">
        <f t="array" ref="L99">IF(
INDEX(OP_RatesTU_SME_1[[Ausnet]:[United Energy]],
MATCH(1,(OP_RatesTU_SME_1[[Rate name]:[Rate name]]="Anytime")*(OP_RatesTU_SME_1[[Customer type]:[Customer type]]=$E$79),0),
MATCH(L$90,OP_RatesTU_SME_1[[#Headers],[Ausnet]:[United Energy]],0))="-",0,
INDEX(OP_RatesTU_SME_1[[Ausnet]:[United Energy]],
MATCH(1,(OP_RatesTU_SME_1[[Rate name]:[Rate name]]="Anytime")*(OP_RatesTU_SME_1[[Customer type]:[Customer type]]=$E$79),0),
MATCH(L$90,OP_RatesTU_SME_1[[#Headers],[Ausnet]:[United Energy]],0)))*IF($K$84="-",0,$K$84)</f>
        <v>0</v>
      </c>
      <c r="N99" s="170">
        <f>AVERAGE(O99:S99)</f>
        <v>14.492942008274076</v>
      </c>
      <c r="O99" s="170" cm="1">
        <f t="array" ref="O99">IF(
INDEX(OP_RatesTU_SME_2[[Ausnet]:[United Energy]],
MATCH(1,(OP_RatesTU_SME_2[[Rate name]:[Rate name]]="Anytime")*(OP_RatesTU_SME_2[[Customer type]:[Customer type]]=$E$79),0),
MATCH(O$90,OP_RatesTU_SME_2[[#Headers],[Ausnet]:[United Energy]],0))="-",0,
INDEX(OP_RatesTU_SME_2[[Ausnet]:[United Energy]],
MATCH(1,(OP_RatesTU_SME_2[[Rate name]:[Rate name]]="Anytime")*(OP_RatesTU_SME_2[[Customer type]:[Customer type]]=$E$79),0),
MATCH(O$90,OP_RatesTU_SME_2[[#Headers],[Ausnet]:[United Energy]],0)))*IF($R$84="-",0,$R$84)</f>
        <v>25.621321611765929</v>
      </c>
      <c r="P99" s="170" cm="1">
        <f t="array" ref="P99">IF(
INDEX(OP_RatesTU_SME_2[[Ausnet]:[United Energy]],
MATCH(1,(OP_RatesTU_SME_2[[Rate name]:[Rate name]]="Anytime")*(OP_RatesTU_SME_2[[Customer type]:[Customer type]]=$E$79),0),
MATCH(P$90,OP_RatesTU_SME_2[[#Headers],[Ausnet]:[United Energy]],0))="-",0,
INDEX(OP_RatesTU_SME_2[[Ausnet]:[United Energy]],
MATCH(1,(OP_RatesTU_SME_2[[Rate name]:[Rate name]]="Anytime")*(OP_RatesTU_SME_2[[Customer type]:[Customer type]]=$E$79),0),
MATCH(P$90,OP_RatesTU_SME_2[[#Headers],[Ausnet]:[United Energy]],0)))*IF($R$84="-",0,$R$84)</f>
        <v>9.2305963444484362</v>
      </c>
      <c r="Q99" s="170" cm="1">
        <f t="array" ref="Q99">IF(
INDEX(OP_RatesTU_SME_2[[Ausnet]:[United Energy]],
MATCH(1,(OP_RatesTU_SME_2[[Rate name]:[Rate name]]="Anytime")*(OP_RatesTU_SME_2[[Customer type]:[Customer type]]=$E$79),0),
MATCH(Q$90,OP_RatesTU_SME_2[[#Headers],[Ausnet]:[United Energy]],0))="-",0,
INDEX(OP_RatesTU_SME_2[[Ausnet]:[United Energy]],
MATCH(1,(OP_RatesTU_SME_2[[Rate name]:[Rate name]]="Anytime")*(OP_RatesTU_SME_2[[Customer type]:[Customer type]]=$E$79),0),
MATCH(Q$90,OP_RatesTU_SME_2[[#Headers],[Ausnet]:[United Energy]],0)))*IF($R$84="-",0,$R$84)</f>
        <v>26.520328950645411</v>
      </c>
      <c r="R99" s="170" cm="1">
        <f t="array" ref="R99">IF(
INDEX(OP_RatesTU_SME_2[[Ausnet]:[United Energy]],
MATCH(1,(OP_RatesTU_SME_2[[Rate name]:[Rate name]]="Anytime")*(OP_RatesTU_SME_2[[Customer type]:[Customer type]]=$E$79),0),
MATCH(R$90,OP_RatesTU_SME_2[[#Headers],[Ausnet]:[United Energy]],0))="-",0,
INDEX(OP_RatesTU_SME_2[[Ausnet]:[United Energy]],
MATCH(1,(OP_RatesTU_SME_2[[Rate name]:[Rate name]]="Anytime")*(OP_RatesTU_SME_2[[Customer type]:[Customer type]]=$E$79),0),
MATCH(R$90,OP_RatesTU_SME_2[[#Headers],[Ausnet]:[United Energy]],0)))*IF($R$84="-",0,$R$84)</f>
        <v>11.825496125052261</v>
      </c>
      <c r="S99" s="170" cm="1">
        <f t="array" ref="S99">IF(
INDEX(OP_RatesTU_SME_2[[Ausnet]:[United Energy]],
MATCH(1,(OP_RatesTU_SME_2[[Rate name]:[Rate name]]="Anytime")*(OP_RatesTU_SME_2[[Customer type]:[Customer type]]=$E$79),0),
MATCH(S$90,OP_RatesTU_SME_2[[#Headers],[Ausnet]:[United Energy]],0))="-",0,
INDEX(OP_RatesTU_SME_2[[Ausnet]:[United Energy]],
MATCH(1,(OP_RatesTU_SME_2[[Rate name]:[Rate name]]="Anytime")*(OP_RatesTU_SME_2[[Customer type]:[Customer type]]=$E$79),0),
MATCH(S$90,OP_RatesTU_SME_2[[#Headers],[Ausnet]:[United Energy]],0)))*IF($R$84="-",0,$R$84)</f>
        <v>-0.7330329905416626</v>
      </c>
      <c r="U99" s="170">
        <f>IFERROR(N99-G99,"-")</f>
        <v>14.492942008274076</v>
      </c>
      <c r="V99" s="170">
        <f t="shared" ref="V99:Z99" si="202">IFERROR(O99-H99,"-")</f>
        <v>25.621321611765929</v>
      </c>
      <c r="W99" s="170">
        <f t="shared" si="202"/>
        <v>9.2305963444484362</v>
      </c>
      <c r="X99" s="170">
        <f t="shared" si="202"/>
        <v>26.520328950645411</v>
      </c>
      <c r="Y99" s="170">
        <f t="shared" si="202"/>
        <v>11.825496125052261</v>
      </c>
      <c r="Z99" s="170">
        <f t="shared" si="202"/>
        <v>-0.7330329905416626</v>
      </c>
      <c r="AB99" s="268">
        <f>IFERROR(U99/G$92,"-")</f>
        <v>2.6724952993313804E-3</v>
      </c>
      <c r="AC99" s="268">
        <f t="shared" ref="AC99:AG99" si="203">IFERROR(V99/H$92,"-")</f>
        <v>3.6586208213288487E-3</v>
      </c>
      <c r="AD99" s="268">
        <f t="shared" si="203"/>
        <v>1.921439705338975E-3</v>
      </c>
      <c r="AE99" s="268">
        <f t="shared" si="203"/>
        <v>4.9312623560143938E-3</v>
      </c>
      <c r="AF99" s="268">
        <f t="shared" si="203"/>
        <v>2.3389035057460959E-3</v>
      </c>
      <c r="AG99" s="268">
        <f t="shared" si="203"/>
        <v>-1.5045833139196686E-4</v>
      </c>
      <c r="AI99" s="300"/>
      <c r="AP99" s="300"/>
      <c r="AQ99" s="319"/>
      <c r="AS99" s="300"/>
    </row>
    <row r="100" spans="3:45" outlineLevel="1" x14ac:dyDescent="0.25">
      <c r="AB100" s="122"/>
      <c r="AC100" s="122"/>
      <c r="AD100" s="122"/>
      <c r="AE100" s="122"/>
      <c r="AF100" s="122"/>
      <c r="AG100" s="122"/>
      <c r="AI100" s="300"/>
      <c r="AP100" s="300"/>
      <c r="AQ100" s="319"/>
    </row>
    <row r="101" spans="3:45" outlineLevel="1" x14ac:dyDescent="0.25">
      <c r="C101" t="s">
        <v>313</v>
      </c>
      <c r="D101" s="59" t="s">
        <v>706</v>
      </c>
      <c r="E101" s="59" t="s">
        <v>130</v>
      </c>
      <c r="G101" s="170">
        <f>AVERAGE((H102+H103),I104,J104,K104,L104)</f>
        <v>17.235495000140403</v>
      </c>
      <c r="N101" s="170">
        <f>AVERAGE((O102+O103),P104,Q104,R104,S104)</f>
        <v>65.399354711290428</v>
      </c>
      <c r="U101" s="170">
        <f>IFERROR(N101-G101,"-")</f>
        <v>48.163859711150025</v>
      </c>
      <c r="V101" s="170">
        <f t="shared" ref="V101:Z104" si="204">IFERROR(O101-H101,"-")</f>
        <v>0</v>
      </c>
      <c r="W101" s="170">
        <f t="shared" si="204"/>
        <v>0</v>
      </c>
      <c r="X101" s="170">
        <f t="shared" si="204"/>
        <v>0</v>
      </c>
      <c r="Y101" s="170">
        <f t="shared" si="204"/>
        <v>0</v>
      </c>
      <c r="Z101" s="170">
        <f t="shared" si="204"/>
        <v>0</v>
      </c>
      <c r="AB101" s="268">
        <f>IFERROR(U101/G$92,"-")</f>
        <v>8.8814050730499777E-3</v>
      </c>
      <c r="AC101" s="268">
        <f t="shared" ref="AC101:AG104" si="205">IFERROR(V101/H$92,"-")</f>
        <v>0</v>
      </c>
      <c r="AD101" s="268">
        <f t="shared" si="205"/>
        <v>0</v>
      </c>
      <c r="AE101" s="268">
        <f t="shared" si="205"/>
        <v>0</v>
      </c>
      <c r="AF101" s="268">
        <f t="shared" si="205"/>
        <v>0</v>
      </c>
      <c r="AG101" s="268">
        <f t="shared" si="205"/>
        <v>0</v>
      </c>
      <c r="AI101" s="300"/>
      <c r="AP101" s="300"/>
      <c r="AQ101" s="319"/>
    </row>
    <row r="102" spans="3:45" outlineLevel="1" x14ac:dyDescent="0.25">
      <c r="D102" s="59" t="s">
        <v>221</v>
      </c>
      <c r="E102" s="59" t="s">
        <v>130</v>
      </c>
      <c r="G102" s="170">
        <f t="shared" ref="G102:G104" si="206">AVERAGE(H102:L102)</f>
        <v>0.71760483068157932</v>
      </c>
      <c r="H102" s="373" cm="1">
        <f t="array" ref="H102">IF(LEFT($G$89)="VDO 2022",0,
IFERROR(
INDEX(OP_RatesTU_SME_1[[Ausnet]:[United Energy]],
MATCH(1,(OP_RatesTU_SME_1[[Cost element]:[Cost element]]="Environmental")*(OP_RatesTU_SME_1[[Rate name]:[Rate name]]=$D102),0),
MATCH(H$90,OP_RatesTU_SME_1[[#Headers],[Ausnet]:[United Energy]],0))*
(INDEX($G$81:$G$85,MATCH(IF($D102="Single rate","Annual",$D102),$F$81:$F$85,0),1)/$L$88),"-"))</f>
        <v>3.5880241534078965</v>
      </c>
      <c r="I102" s="373" cm="1">
        <f t="array" ref="I102">IF(LEFT($G$89)="VDO 2022",0,
IFERROR(
INDEX(OP_RatesTU_SME_1[[Ausnet]:[United Energy]],
MATCH(1,(OP_RatesTU_SME_1[[Cost element]:[Cost element]]="Environmental")*(OP_RatesTU_SME_1[[Rate name]:[Rate name]]=$D102),0),
MATCH(I$90,OP_RatesTU_SME_1[[#Headers],[Ausnet]:[United Energy]],0))*
(INDEX($G$81:$G$85,MATCH(IF($D102="Single rate","Annual",$D102),$F$81:$F$85,0),1)/$L$88),"-"))</f>
        <v>0</v>
      </c>
      <c r="J102" s="373" cm="1">
        <f t="array" ref="J102">IF(LEFT($G$89)="VDO 2022",0,
IFERROR(
INDEX(OP_RatesTU_SME_1[[Ausnet]:[United Energy]],
MATCH(1,(OP_RatesTU_SME_1[[Cost element]:[Cost element]]="Environmental")*(OP_RatesTU_SME_1[[Rate name]:[Rate name]]=$D102),0),
MATCH(J$90,OP_RatesTU_SME_1[[#Headers],[Ausnet]:[United Energy]],0))*
(INDEX($G$81:$G$85,MATCH(IF($D102="Single rate","Annual",$D102),$F$81:$F$85,0),1)/$L$88),"-"))</f>
        <v>0</v>
      </c>
      <c r="K102" s="373" cm="1">
        <f t="array" ref="K102">IF(LEFT($G$89)="VDO 2022",0,
IFERROR(
INDEX(OP_RatesTU_SME_1[[Ausnet]:[United Energy]],
MATCH(1,(OP_RatesTU_SME_1[[Cost element]:[Cost element]]="Environmental")*(OP_RatesTU_SME_1[[Rate name]:[Rate name]]=$D102),0),
MATCH(K$90,OP_RatesTU_SME_1[[#Headers],[Ausnet]:[United Energy]],0))*
(INDEX($G$81:$G$85,MATCH(IF($D102="Single rate","Annual",$D102),$F$81:$F$85,0),1)/$L$88),"-"))</f>
        <v>0</v>
      </c>
      <c r="L102" s="373" cm="1">
        <f t="array" ref="L102">IF(LEFT($G$89)="VDO 2022",0,
IFERROR(
INDEX(OP_RatesTU_SME_1[[Ausnet]:[United Energy]],
MATCH(1,(OP_RatesTU_SME_1[[Cost element]:[Cost element]]="Environmental")*(OP_RatesTU_SME_1[[Rate name]:[Rate name]]=$D102),0),
MATCH(L$90,OP_RatesTU_SME_1[[#Headers],[Ausnet]:[United Energy]],0))*
(INDEX($G$81:$G$85,MATCH(IF($D102="Single rate","Annual",$D102),$F$81:$F$85,0),1)/$L$88),"-"))</f>
        <v>0</v>
      </c>
      <c r="N102" s="170">
        <f t="shared" ref="N102:N104" si="207">AVERAGE(O102:S102)</f>
        <v>2.6978350048822377</v>
      </c>
      <c r="O102" s="170" cm="1">
        <f t="array" ref="O102">IFERROR(
INDEX(OP_RatesTU_RES_2[[Ausnet]:[United Energy]],
MATCH(1,(OP_RatesTU_RES_2[[Cost element]:[Cost element]]="Environmental")*(OP_RatesTU_RES_2[[Rate name]:[Rate name]]=$D102),0),
MATCH(O$90,OP_RatesTU_RES_2[[#Headers],[Ausnet]:[United Energy]],0))*
(INDEX($N$81:$N$85,MATCH(IF($D102="Single rate","Annual",$D102),$F$81:$F$85,0),1)/$S$88),"-")</f>
        <v>13.489175024411189</v>
      </c>
      <c r="P102" s="170" cm="1">
        <f t="array" ref="P102">IFERROR(
INDEX(OP_RatesTU_RES_2[[Ausnet]:[United Energy]],
MATCH(1,(OP_RatesTU_RES_2[[Cost element]:[Cost element]]="Environmental")*(OP_RatesTU_RES_2[[Rate name]:[Rate name]]=$D102),0),
MATCH(P$90,OP_RatesTU_RES_2[[#Headers],[Ausnet]:[United Energy]],0))*
(INDEX($N$81:$N$85,MATCH(IF($D102="Single rate","Annual",$D102),$F$81:$F$85,0),1)/$S$88),"-")</f>
        <v>0</v>
      </c>
      <c r="Q102" s="170" cm="1">
        <f t="array" ref="Q102">IFERROR(
INDEX(OP_RatesTU_RES_2[[Ausnet]:[United Energy]],
MATCH(1,(OP_RatesTU_RES_2[[Cost element]:[Cost element]]="Environmental")*(OP_RatesTU_RES_2[[Rate name]:[Rate name]]=$D102),0),
MATCH(Q$90,OP_RatesTU_RES_2[[#Headers],[Ausnet]:[United Energy]],0))*
(INDEX($N$81:$N$85,MATCH(IF($D102="Single rate","Annual",$D102),$F$81:$F$85,0),1)/$S$88),"-")</f>
        <v>0</v>
      </c>
      <c r="R102" s="170" cm="1">
        <f t="array" ref="R102">IFERROR(
INDEX(OP_RatesTU_RES_2[[Ausnet]:[United Energy]],
MATCH(1,(OP_RatesTU_RES_2[[Cost element]:[Cost element]]="Environmental")*(OP_RatesTU_RES_2[[Rate name]:[Rate name]]=$D102),0),
MATCH(R$90,OP_RatesTU_RES_2[[#Headers],[Ausnet]:[United Energy]],0))*
(INDEX($N$81:$N$85,MATCH(IF($D102="Single rate","Annual",$D102),$F$81:$F$85,0),1)/$S$88),"-")</f>
        <v>0</v>
      </c>
      <c r="S102" s="170" cm="1">
        <f t="array" ref="S102">IFERROR(
INDEX(OP_RatesTU_RES_2[[Ausnet]:[United Energy]],
MATCH(1,(OP_RatesTU_RES_2[[Cost element]:[Cost element]]="Environmental")*(OP_RatesTU_RES_2[[Rate name]:[Rate name]]=$D102),0),
MATCH(S$90,OP_RatesTU_RES_2[[#Headers],[Ausnet]:[United Energy]],0))*
(INDEX($N$81:$N$85,MATCH(IF($D102="Single rate","Annual",$D102),$F$81:$F$85,0),1)/$S$88),"-")</f>
        <v>0</v>
      </c>
      <c r="U102" s="170">
        <f t="shared" ref="U102:U104" si="208">IFERROR(N102-G102,"-")</f>
        <v>1.9802301742006585</v>
      </c>
      <c r="V102" s="170">
        <f t="shared" si="204"/>
        <v>9.9011508710032921</v>
      </c>
      <c r="W102" s="170">
        <f t="shared" si="204"/>
        <v>0</v>
      </c>
      <c r="X102" s="170">
        <f t="shared" si="204"/>
        <v>0</v>
      </c>
      <c r="Y102" s="170">
        <f t="shared" si="204"/>
        <v>0</v>
      </c>
      <c r="Z102" s="170">
        <f t="shared" si="204"/>
        <v>0</v>
      </c>
      <c r="AB102" s="268">
        <f>IFERROR(U102/G$92,"-")</f>
        <v>3.6515400593779428E-4</v>
      </c>
      <c r="AC102" s="268">
        <f t="shared" si="205"/>
        <v>1.41384419120424E-3</v>
      </c>
      <c r="AD102" s="268">
        <f t="shared" si="205"/>
        <v>0</v>
      </c>
      <c r="AE102" s="268">
        <f t="shared" si="205"/>
        <v>0</v>
      </c>
      <c r="AF102" s="268">
        <f t="shared" si="205"/>
        <v>0</v>
      </c>
      <c r="AG102" s="268">
        <f t="shared" si="205"/>
        <v>0</v>
      </c>
      <c r="AI102" s="300"/>
      <c r="AP102" s="300"/>
      <c r="AQ102" s="300"/>
    </row>
    <row r="103" spans="3:45" outlineLevel="1" x14ac:dyDescent="0.25">
      <c r="D103" s="59" t="s">
        <v>228</v>
      </c>
      <c r="E103" s="59" t="s">
        <v>130</v>
      </c>
      <c r="G103" s="170">
        <f t="shared" si="206"/>
        <v>2.8000659079536132</v>
      </c>
      <c r="H103" s="373" cm="1">
        <f t="array" ref="H103">IF(LEFT($G$89)="VDO 2022",0,
IFERROR(
INDEX(OP_RatesTU_SME_1[[Ausnet]:[United Energy]],
MATCH(1,(OP_RatesTU_SME_1[[Cost element]:[Cost element]]="Environmental")*(OP_RatesTU_SME_1[[Rate name]:[Rate name]]=$D103),0),
MATCH(H$90,OP_RatesTU_SME_1[[#Headers],[Ausnet]:[United Energy]],0))*
(INDEX($G$81:$G$85,MATCH(IF($D103="Single rate","Annual",$D103),$F$81:$F$85,0),1)/$L$88),"-"))</f>
        <v>14.000329539768066</v>
      </c>
      <c r="I103" s="373" cm="1">
        <f t="array" ref="I103">IF(LEFT($G$89)="VDO 2022",0,
IFERROR(
INDEX(OP_RatesTU_SME_1[[Ausnet]:[United Energy]],
MATCH(1,(OP_RatesTU_SME_1[[Cost element]:[Cost element]]="Environmental")*(OP_RatesTU_SME_1[[Rate name]:[Rate name]]=$D103),0),
MATCH(I$90,OP_RatesTU_SME_1[[#Headers],[Ausnet]:[United Energy]],0))*
(INDEX($G$81:$G$85,MATCH(IF($D103="Single rate","Annual",$D103),$F$81:$F$85,0),1)/$L$88),"-"))</f>
        <v>0</v>
      </c>
      <c r="J103" s="373" cm="1">
        <f t="array" ref="J103">IF(LEFT($G$89)="VDO 2022",0,
IFERROR(
INDEX(OP_RatesTU_SME_1[[Ausnet]:[United Energy]],
MATCH(1,(OP_RatesTU_SME_1[[Cost element]:[Cost element]]="Environmental")*(OP_RatesTU_SME_1[[Rate name]:[Rate name]]=$D103),0),
MATCH(J$90,OP_RatesTU_SME_1[[#Headers],[Ausnet]:[United Energy]],0))*
(INDEX($G$81:$G$85,MATCH(IF($D103="Single rate","Annual",$D103),$F$81:$F$85,0),1)/$L$88),"-"))</f>
        <v>0</v>
      </c>
      <c r="K103" s="373" cm="1">
        <f t="array" ref="K103">IF(LEFT($G$89)="VDO 2022",0,
IFERROR(
INDEX(OP_RatesTU_SME_1[[Ausnet]:[United Energy]],
MATCH(1,(OP_RatesTU_SME_1[[Cost element]:[Cost element]]="Environmental")*(OP_RatesTU_SME_1[[Rate name]:[Rate name]]=$D103),0),
MATCH(K$90,OP_RatesTU_SME_1[[#Headers],[Ausnet]:[United Energy]],0))*
(INDEX($G$81:$G$85,MATCH(IF($D103="Single rate","Annual",$D103),$F$81:$F$85,0),1)/$L$88),"-"))</f>
        <v>0</v>
      </c>
      <c r="L103" s="373" cm="1">
        <f t="array" ref="L103">IF(LEFT($G$89)="VDO 2022",0,
IFERROR(
INDEX(OP_RatesTU_SME_1[[Ausnet]:[United Energy]],
MATCH(1,(OP_RatesTU_SME_1[[Cost element]:[Cost element]]="Environmental")*(OP_RatesTU_SME_1[[Rate name]:[Rate name]]=$D103),0),
MATCH(L$90,OP_RatesTU_SME_1[[#Headers],[Ausnet]:[United Energy]],0))*
(INDEX($G$81:$G$85,MATCH(IF($D103="Single rate","Annual",$D103),$F$81:$F$85,0),1)/$L$88),"-"))</f>
        <v>0</v>
      </c>
      <c r="N103" s="170">
        <f t="shared" si="207"/>
        <v>10.526846391599319</v>
      </c>
      <c r="O103" s="170" cm="1">
        <f t="array" ref="O103">IFERROR(
INDEX(OP_RatesTU_RES_2[[Ausnet]:[United Energy]],
MATCH(1,(OP_RatesTU_RES_2[[Cost element]:[Cost element]]="Environmental")*(OP_RatesTU_RES_2[[Rate name]:[Rate name]]=$D103),0),
MATCH(O$90,OP_RatesTU_RES_2[[#Headers],[Ausnet]:[United Energy]],0))*
(INDEX($N$81:$N$85,MATCH(IF($D103="Single rate","Annual",$D103),$F$81:$F$85,0),1)/$S$88),"-")</f>
        <v>52.634231957996597</v>
      </c>
      <c r="P103" s="170" cm="1">
        <f t="array" ref="P103">IFERROR(
INDEX(OP_RatesTU_RES_2[[Ausnet]:[United Energy]],
MATCH(1,(OP_RatesTU_RES_2[[Cost element]:[Cost element]]="Environmental")*(OP_RatesTU_RES_2[[Rate name]:[Rate name]]=$D103),0),
MATCH(P$90,OP_RatesTU_RES_2[[#Headers],[Ausnet]:[United Energy]],0))*
(INDEX($N$81:$N$85,MATCH(IF($D103="Single rate","Annual",$D103),$F$81:$F$85,0),1)/$S$88),"-")</f>
        <v>0</v>
      </c>
      <c r="Q103" s="170" cm="1">
        <f t="array" ref="Q103">IFERROR(
INDEX(OP_RatesTU_RES_2[[Ausnet]:[United Energy]],
MATCH(1,(OP_RatesTU_RES_2[[Cost element]:[Cost element]]="Environmental")*(OP_RatesTU_RES_2[[Rate name]:[Rate name]]=$D103),0),
MATCH(Q$90,OP_RatesTU_RES_2[[#Headers],[Ausnet]:[United Energy]],0))*
(INDEX($N$81:$N$85,MATCH(IF($D103="Single rate","Annual",$D103),$F$81:$F$85,0),1)/$S$88),"-")</f>
        <v>0</v>
      </c>
      <c r="R103" s="170" cm="1">
        <f t="array" ref="R103">IFERROR(
INDEX(OP_RatesTU_RES_2[[Ausnet]:[United Energy]],
MATCH(1,(OP_RatesTU_RES_2[[Cost element]:[Cost element]]="Environmental")*(OP_RatesTU_RES_2[[Rate name]:[Rate name]]=$D103),0),
MATCH(R$90,OP_RatesTU_RES_2[[#Headers],[Ausnet]:[United Energy]],0))*
(INDEX($N$81:$N$85,MATCH(IF($D103="Single rate","Annual",$D103),$F$81:$F$85,0),1)/$S$88),"-")</f>
        <v>0</v>
      </c>
      <c r="S103" s="170" cm="1">
        <f t="array" ref="S103">IFERROR(
INDEX(OP_RatesTU_RES_2[[Ausnet]:[United Energy]],
MATCH(1,(OP_RatesTU_RES_2[[Cost element]:[Cost element]]="Environmental")*(OP_RatesTU_RES_2[[Rate name]:[Rate name]]=$D103),0),
MATCH(S$90,OP_RatesTU_RES_2[[#Headers],[Ausnet]:[United Energy]],0))*
(INDEX($N$81:$N$85,MATCH(IF($D103="Single rate","Annual",$D103),$F$81:$F$85,0),1)/$S$88),"-")</f>
        <v>0</v>
      </c>
      <c r="U103" s="170">
        <f t="shared" si="208"/>
        <v>7.7267804836457064</v>
      </c>
      <c r="V103" s="170">
        <f t="shared" si="204"/>
        <v>38.63390241822853</v>
      </c>
      <c r="W103" s="170">
        <f t="shared" si="204"/>
        <v>0</v>
      </c>
      <c r="X103" s="170">
        <f t="shared" si="204"/>
        <v>0</v>
      </c>
      <c r="Y103" s="170">
        <f t="shared" si="204"/>
        <v>0</v>
      </c>
      <c r="Z103" s="170">
        <f t="shared" si="204"/>
        <v>0</v>
      </c>
      <c r="AB103" s="268">
        <f>IFERROR(U103/G$92,"-")</f>
        <v>1.4248166114043345E-3</v>
      </c>
      <c r="AC103" s="268">
        <f t="shared" si="205"/>
        <v>5.5167645892087004E-3</v>
      </c>
      <c r="AD103" s="268">
        <f t="shared" si="205"/>
        <v>0</v>
      </c>
      <c r="AE103" s="268">
        <f t="shared" si="205"/>
        <v>0</v>
      </c>
      <c r="AF103" s="268">
        <f t="shared" si="205"/>
        <v>0</v>
      </c>
      <c r="AG103" s="268">
        <f t="shared" si="205"/>
        <v>0</v>
      </c>
      <c r="AI103" s="300"/>
      <c r="AP103" s="300"/>
      <c r="AQ103" s="300"/>
    </row>
    <row r="104" spans="3:45" outlineLevel="1" x14ac:dyDescent="0.25">
      <c r="D104" s="59" t="s">
        <v>549</v>
      </c>
      <c r="E104" s="59" t="s">
        <v>130</v>
      </c>
      <c r="G104" s="170">
        <f t="shared" si="206"/>
        <v>13.717824261505209</v>
      </c>
      <c r="H104" s="373" cm="1">
        <f t="array" ref="H104">IF(LEFT($G$89)="VDO 2022",0,
IFERROR(
INDEX(OP_RatesTU_SME_1[[Ausnet]:[United Energy]],
MATCH(1,(OP_RatesTU_SME_1[[Cost element]:[Cost element]]="Environmental")*(OP_RatesTU_SME_1[[Rate name]:[Rate name]]=$D104),0),
MATCH(H$90,OP_RatesTU_SME_1[[#Headers],[Ausnet]:[United Energy]],0))*
(INDEX($G$81:$G$85,MATCH(IF($D104="Single rate","Annual",$D104),$F$81:$F$85,0),1)/$L$88),"-"))</f>
        <v>0</v>
      </c>
      <c r="I104" s="373" cm="1">
        <f t="array" ref="I104">IF(LEFT($G$89)="VDO 2022",0,
IFERROR(
INDEX(OP_RatesTU_SME_1[[Ausnet]:[United Energy]],
MATCH(1,(OP_RatesTU_SME_1[[Cost element]:[Cost element]]="Environmental")*(OP_RatesTU_SME_1[[Rate name]:[Rate name]]=$D104),0),
MATCH(I$90,OP_RatesTU_SME_1[[#Headers],[Ausnet]:[United Energy]],0))*
(INDEX($G$81:$G$85,MATCH(IF($D104="Single rate","Annual",$D104),$F$81:$F$85,0),1)/$L$88),"-"))</f>
        <v>17.072147481307891</v>
      </c>
      <c r="J104" s="373" cm="1">
        <f t="array" ref="J104">IF(LEFT($G$89)="VDO 2022",0,
IFERROR(
INDEX(OP_RatesTU_SME_1[[Ausnet]:[United Energy]],
MATCH(1,(OP_RatesTU_SME_1[[Cost element]:[Cost element]]="Environmental")*(OP_RatesTU_SME_1[[Rate name]:[Rate name]]=$D104),0),
MATCH(J$90,OP_RatesTU_SME_1[[#Headers],[Ausnet]:[United Energy]],0))*
(INDEX($G$81:$G$85,MATCH(IF($D104="Single rate","Annual",$D104),$F$81:$F$85,0),1)/$L$88),"-"))</f>
        <v>16.982927836733133</v>
      </c>
      <c r="K104" s="373" cm="1">
        <f t="array" ref="K104">IF(LEFT($G$89)="VDO 2022",0,
IFERROR(
INDEX(OP_RatesTU_SME_1[[Ausnet]:[United Energy]],
MATCH(1,(OP_RatesTU_SME_1[[Cost element]:[Cost element]]="Environmental")*(OP_RatesTU_SME_1[[Rate name]:[Rate name]]=$D104),0),
MATCH(K$90,OP_RatesTU_SME_1[[#Headers],[Ausnet]:[United Energy]],0))*
(INDEX($G$81:$G$85,MATCH(IF($D104="Single rate","Annual",$D104),$F$81:$F$85,0),1)/$L$88),"-"))</f>
        <v>17.459221269434522</v>
      </c>
      <c r="L104" s="373" cm="1">
        <f t="array" ref="L104">IF(LEFT($G$89)="VDO 2022",0,
IFERROR(
INDEX(OP_RatesTU_SME_1[[Ausnet]:[United Energy]],
MATCH(1,(OP_RatesTU_SME_1[[Cost element]:[Cost element]]="Environmental")*(OP_RatesTU_SME_1[[Rate name]:[Rate name]]=$D104),0),
MATCH(L$90,OP_RatesTU_SME_1[[#Headers],[Ausnet]:[United Energy]],0))*
(INDEX($G$81:$G$85,MATCH(IF($D104="Single rate","Annual",$D104),$F$81:$F$85,0),1)/$L$88),"-"))</f>
        <v>17.074824720050501</v>
      </c>
      <c r="N104" s="170">
        <f t="shared" si="207"/>
        <v>52.174673314808864</v>
      </c>
      <c r="O104" s="170" cm="1">
        <f t="array" ref="O104">IFERROR(
INDEX(OP_RatesTU_RES_2[[Ausnet]:[United Energy]],
MATCH(1,(OP_RatesTU_RES_2[[Cost element]:[Cost element]]="Environmental")*(OP_RatesTU_RES_2[[Rate name]:[Rate name]]=$D104),0),
MATCH(O$90,OP_RatesTU_RES_2[[#Headers],[Ausnet]:[United Energy]],0))*
(INDEX($N$81:$N$85,MATCH(IF($D104="Single rate","Annual",$D104),$F$81:$F$85,0),1)/$S$88),"-")</f>
        <v>0</v>
      </c>
      <c r="P104" s="170" cm="1">
        <f t="array" ref="P104">IFERROR(
INDEX(OP_RatesTU_RES_2[[Ausnet]:[United Energy]],
MATCH(1,(OP_RatesTU_RES_2[[Cost element]:[Cost element]]="Environmental")*(OP_RatesTU_RES_2[[Rate name]:[Rate name]]=$D104),0),
MATCH(P$90,OP_RatesTU_RES_2[[#Headers],[Ausnet]:[United Energy]],0))*
(INDEX($N$81:$N$85,MATCH(IF($D104="Single rate","Annual",$D104),$F$81:$F$85,0),1)/$S$88),"-")</f>
        <v>64.980470812261331</v>
      </c>
      <c r="Q104" s="170" cm="1">
        <f t="array" ref="Q104">IFERROR(
INDEX(OP_RatesTU_RES_2[[Ausnet]:[United Energy]],
MATCH(1,(OP_RatesTU_RES_2[[Cost element]:[Cost element]]="Environmental")*(OP_RatesTU_RES_2[[Rate name]:[Rate name]]=$D104),0),
MATCH(Q$90,OP_RatesTU_RES_2[[#Headers],[Ausnet]:[United Energy]],0))*
(INDEX($N$81:$N$85,MATCH(IF($D104="Single rate","Annual",$D104),$F$81:$F$85,0),1)/$S$88),"-")</f>
        <v>64.301666231105273</v>
      </c>
      <c r="R104" s="170" cm="1">
        <f t="array" ref="R104">IFERROR(
INDEX(OP_RatesTU_RES_2[[Ausnet]:[United Energy]],
MATCH(1,(OP_RatesTU_RES_2[[Cost element]:[Cost element]]="Environmental")*(OP_RatesTU_RES_2[[Rate name]:[Rate name]]=$D104),0),
MATCH(R$90,OP_RatesTU_RES_2[[#Headers],[Ausnet]:[United Energy]],0))*
(INDEX($N$81:$N$85,MATCH(IF($D104="Single rate","Annual",$D104),$F$81:$F$85,0),1)/$S$88),"-")</f>
        <v>66.373737068173043</v>
      </c>
      <c r="S104" s="170" cm="1">
        <f t="array" ref="S104">IFERROR(
INDEX(OP_RatesTU_RES_2[[Ausnet]:[United Energy]],
MATCH(1,(OP_RatesTU_RES_2[[Cost element]:[Cost element]]="Environmental")*(OP_RatesTU_RES_2[[Rate name]:[Rate name]]=$D104),0),
MATCH(S$90,OP_RatesTU_RES_2[[#Headers],[Ausnet]:[United Energy]],0))*
(INDEX($N$81:$N$85,MATCH(IF($D104="Single rate","Annual",$D104),$F$81:$F$85,0),1)/$S$88),"-")</f>
        <v>65.217492462504651</v>
      </c>
      <c r="U104" s="170">
        <f t="shared" si="208"/>
        <v>38.456849053303657</v>
      </c>
      <c r="V104" s="170">
        <f t="shared" si="204"/>
        <v>0</v>
      </c>
      <c r="W104" s="170">
        <f t="shared" si="204"/>
        <v>47.908323330953436</v>
      </c>
      <c r="X104" s="170">
        <f t="shared" si="204"/>
        <v>47.31873839437214</v>
      </c>
      <c r="Y104" s="170">
        <f t="shared" si="204"/>
        <v>48.91451579873852</v>
      </c>
      <c r="Z104" s="170">
        <f t="shared" si="204"/>
        <v>48.142667742454151</v>
      </c>
      <c r="AB104" s="268">
        <f>IFERROR(U104/G$92,"-")</f>
        <v>7.0914344557078471E-3</v>
      </c>
      <c r="AC104" s="268">
        <f t="shared" si="205"/>
        <v>0</v>
      </c>
      <c r="AD104" s="268">
        <f t="shared" si="205"/>
        <v>9.9725902021135376E-3</v>
      </c>
      <c r="AE104" s="268">
        <f t="shared" si="205"/>
        <v>8.7985753801361356E-3</v>
      </c>
      <c r="AF104" s="268">
        <f t="shared" si="205"/>
        <v>9.6745482196872075E-3</v>
      </c>
      <c r="AG104" s="268">
        <f t="shared" si="205"/>
        <v>9.8814999471375509E-3</v>
      </c>
      <c r="AI104" s="300"/>
      <c r="AP104" s="300"/>
      <c r="AQ104" s="300"/>
    </row>
    <row r="105" spans="3:45" outlineLevel="1" x14ac:dyDescent="0.25">
      <c r="AB105" s="122"/>
      <c r="AC105" s="122"/>
      <c r="AD105" s="122"/>
      <c r="AE105" s="122"/>
      <c r="AF105" s="122"/>
      <c r="AG105" s="122"/>
      <c r="AI105" s="300"/>
    </row>
    <row r="106" spans="3:45" ht="15.75" outlineLevel="1" x14ac:dyDescent="0.25">
      <c r="D106" s="29" t="s">
        <v>108</v>
      </c>
      <c r="AB106" s="122"/>
      <c r="AC106" s="122"/>
      <c r="AD106" s="122"/>
      <c r="AE106" s="122"/>
      <c r="AF106" s="122"/>
      <c r="AG106" s="122"/>
      <c r="AI106" s="300"/>
    </row>
    <row r="107" spans="3:45" outlineLevel="1" x14ac:dyDescent="0.25">
      <c r="C107" t="s">
        <v>151</v>
      </c>
      <c r="D107" s="59" t="s">
        <v>116</v>
      </c>
      <c r="E107" s="59" t="s">
        <v>108</v>
      </c>
      <c r="G107" s="170">
        <f>AVERAGE(H107:L107)</f>
        <v>13.337821545021233</v>
      </c>
      <c r="H107" s="170">
        <f>INDEX(Calc_FiT_1[[Ausnet]:[United Energy]],MATCH($D107,Calc_FiT_1[[Cost item]:[Cost item]],0),MATCH(H$90,Calc_FiT_1[[#Headers],[Ausnet]:[United Energy]],1))</f>
        <v>13.337821545021233</v>
      </c>
      <c r="I107" s="170">
        <f>INDEX(Calc_FiT_1[[Ausnet]:[United Energy]],MATCH($D107,Calc_FiT_1[[Cost item]:[Cost item]],0),MATCH(I$90,Calc_FiT_1[[#Headers],[Ausnet]:[United Energy]],1))</f>
        <v>13.337821545021233</v>
      </c>
      <c r="J107" s="170">
        <f>INDEX(Calc_FiT_1[[Ausnet]:[United Energy]],MATCH($D107,Calc_FiT_1[[Cost item]:[Cost item]],0),MATCH(J$90,Calc_FiT_1[[#Headers],[Ausnet]:[United Energy]],1))</f>
        <v>13.337821545021233</v>
      </c>
      <c r="K107" s="170">
        <f>INDEX(Calc_FiT_1[[Ausnet]:[United Energy]],MATCH($D107,Calc_FiT_1[[Cost item]:[Cost item]],0),MATCH(K$90,Calc_FiT_1[[#Headers],[Ausnet]:[United Energy]],1))</f>
        <v>13.337821545021233</v>
      </c>
      <c r="L107" s="170">
        <f>INDEX(Calc_FiT_1[[Ausnet]:[United Energy]],MATCH($D107,Calc_FiT_1[[Cost item]:[Cost item]],0),MATCH(L$90,Calc_FiT_1[[#Headers],[Ausnet]:[United Energy]],1))</f>
        <v>13.337821545021233</v>
      </c>
      <c r="N107" s="170">
        <f>AVERAGE(O107:S107)</f>
        <v>13.337821545021233</v>
      </c>
      <c r="O107" s="170">
        <f>INDEX(Calc_FiT_2[[Ausnet]:[United Energy]],MATCH($D107,Calc_FiT_2[[Cost item]:[Cost item]],0),MATCH(O$90,Calc_FiT_2[[#Headers],[Ausnet]:[United Energy]],1))</f>
        <v>13.337821545021233</v>
      </c>
      <c r="P107" s="170">
        <f>INDEX(Calc_FiT_2[[Ausnet]:[United Energy]],MATCH($D107,Calc_FiT_2[[Cost item]:[Cost item]],0),MATCH(P$90,Calc_FiT_2[[#Headers],[Ausnet]:[United Energy]],1))</f>
        <v>13.337821545021233</v>
      </c>
      <c r="Q107" s="170">
        <f>INDEX(Calc_FiT_2[[Ausnet]:[United Energy]],MATCH($D107,Calc_FiT_2[[Cost item]:[Cost item]],0),MATCH(Q$90,Calc_FiT_2[[#Headers],[Ausnet]:[United Energy]],1))</f>
        <v>13.337821545021233</v>
      </c>
      <c r="R107" s="170">
        <f>INDEX(Calc_FiT_2[[Ausnet]:[United Energy]],MATCH($D107,Calc_FiT_2[[Cost item]:[Cost item]],0),MATCH(R$90,Calc_FiT_2[[#Headers],[Ausnet]:[United Energy]],1))</f>
        <v>13.337821545021233</v>
      </c>
      <c r="S107" s="170">
        <f>INDEX(Calc_FiT_2[[Ausnet]:[United Energy]],MATCH($D107,Calc_FiT_2[[Cost item]:[Cost item]],0),MATCH(S$90,Calc_FiT_2[[#Headers],[Ausnet]:[United Energy]],1))</f>
        <v>13.337821545021233</v>
      </c>
      <c r="U107" s="170">
        <f>IFERROR(N107-G107,"-")</f>
        <v>0</v>
      </c>
      <c r="V107" s="170">
        <f t="shared" ref="V107:Z107" si="209">IFERROR(O107-H107,"-")</f>
        <v>0</v>
      </c>
      <c r="W107" s="170">
        <f t="shared" si="209"/>
        <v>0</v>
      </c>
      <c r="X107" s="170">
        <f t="shared" si="209"/>
        <v>0</v>
      </c>
      <c r="Y107" s="170">
        <f t="shared" si="209"/>
        <v>0</v>
      </c>
      <c r="Z107" s="170">
        <f t="shared" si="209"/>
        <v>0</v>
      </c>
      <c r="AB107" s="268">
        <f>IFERROR(U107/G$92,"-")</f>
        <v>0</v>
      </c>
      <c r="AC107" s="268">
        <f t="shared" ref="AC107:AG107" si="210">IFERROR(V107/H$92,"-")</f>
        <v>0</v>
      </c>
      <c r="AD107" s="268">
        <f t="shared" si="210"/>
        <v>0</v>
      </c>
      <c r="AE107" s="268">
        <f t="shared" si="210"/>
        <v>0</v>
      </c>
      <c r="AF107" s="268">
        <f t="shared" si="210"/>
        <v>0</v>
      </c>
      <c r="AG107" s="268">
        <f t="shared" si="210"/>
        <v>0</v>
      </c>
      <c r="AI107" s="300"/>
    </row>
    <row r="108" spans="3:45" outlineLevel="1" x14ac:dyDescent="0.25">
      <c r="AB108" s="122"/>
      <c r="AC108" s="122"/>
      <c r="AD108" s="122"/>
      <c r="AE108" s="122"/>
      <c r="AF108" s="122"/>
      <c r="AG108" s="122"/>
      <c r="AI108" s="300"/>
    </row>
    <row r="109" spans="3:45" outlineLevel="1" x14ac:dyDescent="0.25">
      <c r="C109" t="s">
        <v>273</v>
      </c>
      <c r="D109" s="59" t="s">
        <v>117</v>
      </c>
      <c r="E109" s="59" t="s">
        <v>108</v>
      </c>
      <c r="G109" s="170">
        <f t="shared" ref="G109:G112" si="211">AVERAGE(H109:L109)</f>
        <v>2.1846287133781956</v>
      </c>
      <c r="H109" s="170">
        <f>INDEX(Calc_OtherCosts_1[[Ausnet]:[United Energy]],MATCH($D109,Calc_OtherCosts_1[[Cost item]:[Cost item]],0),MATCH(H$90,Calc_OtherCosts_1[[#Headers],[Ausnet]:[United Energy]],0))</f>
        <v>2.1846287133781956</v>
      </c>
      <c r="I109" s="170">
        <f>INDEX(Calc_OtherCosts_1[[Ausnet]:[United Energy]],MATCH($D109,Calc_OtherCosts_1[[Cost item]:[Cost item]],0),MATCH(I$90,Calc_OtherCosts_1[[#Headers],[Ausnet]:[United Energy]],0))</f>
        <v>2.1846287133781956</v>
      </c>
      <c r="J109" s="170">
        <f>INDEX(Calc_OtherCosts_1[[Ausnet]:[United Energy]],MATCH($D109,Calc_OtherCosts_1[[Cost item]:[Cost item]],0),MATCH(J$90,Calc_OtherCosts_1[[#Headers],[Ausnet]:[United Energy]],0))</f>
        <v>2.1846287133781956</v>
      </c>
      <c r="K109" s="170">
        <f>INDEX(Calc_OtherCosts_1[[Ausnet]:[United Energy]],MATCH($D109,Calc_OtherCosts_1[[Cost item]:[Cost item]],0),MATCH(K$90,Calc_OtherCosts_1[[#Headers],[Ausnet]:[United Energy]],0))</f>
        <v>2.1846287133781956</v>
      </c>
      <c r="L109" s="170">
        <f>INDEX(Calc_OtherCosts_1[[Ausnet]:[United Energy]],MATCH($D109,Calc_OtherCosts_1[[Cost item]:[Cost item]],0),MATCH(L$90,Calc_OtherCosts_1[[#Headers],[Ausnet]:[United Energy]],0))</f>
        <v>2.1846287133781956</v>
      </c>
      <c r="N109" s="170">
        <f t="shared" ref="N109:N112" si="212">AVERAGE(O109:S109)</f>
        <v>2.1558125061118716</v>
      </c>
      <c r="O109" s="170">
        <f>INDEX(Calc_OtherCosts_2[[Ausnet]:[United Energy]],MATCH($D109,Calc_OtherCosts_2[[Cost item]:[Cost item]],0),MATCH(O$90,Calc_OtherCosts_2[[#Headers],[Ausnet]:[United Energy]],0))</f>
        <v>2.1558125061118716</v>
      </c>
      <c r="P109" s="170">
        <f>INDEX(Calc_OtherCosts_2[[Ausnet]:[United Energy]],MATCH($D109,Calc_OtherCosts_2[[Cost item]:[Cost item]],0),MATCH(P$90,Calc_OtherCosts_2[[#Headers],[Ausnet]:[United Energy]],0))</f>
        <v>2.1558125061118716</v>
      </c>
      <c r="Q109" s="170">
        <f>INDEX(Calc_OtherCosts_2[[Ausnet]:[United Energy]],MATCH($D109,Calc_OtherCosts_2[[Cost item]:[Cost item]],0),MATCH(Q$90,Calc_OtherCosts_2[[#Headers],[Ausnet]:[United Energy]],0))</f>
        <v>2.1558125061118716</v>
      </c>
      <c r="R109" s="170">
        <f>INDEX(Calc_OtherCosts_2[[Ausnet]:[United Energy]],MATCH($D109,Calc_OtherCosts_2[[Cost item]:[Cost item]],0),MATCH(R$90,Calc_OtherCosts_2[[#Headers],[Ausnet]:[United Energy]],0))</f>
        <v>2.1558125061118716</v>
      </c>
      <c r="S109" s="170">
        <f>INDEX(Calc_OtherCosts_2[[Ausnet]:[United Energy]],MATCH($D109,Calc_OtherCosts_2[[Cost item]:[Cost item]],0),MATCH(S$90,Calc_OtherCosts_2[[#Headers],[Ausnet]:[United Energy]],0))</f>
        <v>2.1558125061118716</v>
      </c>
      <c r="U109" s="170">
        <f t="shared" ref="U109:Z112" si="213">IFERROR(N109-G109,"-")</f>
        <v>-2.8816207266324056E-2</v>
      </c>
      <c r="V109" s="170">
        <f t="shared" si="213"/>
        <v>-2.8816207266324056E-2</v>
      </c>
      <c r="W109" s="170">
        <f t="shared" si="213"/>
        <v>-2.8816207266324056E-2</v>
      </c>
      <c r="X109" s="170">
        <f t="shared" si="213"/>
        <v>-2.8816207266324056E-2</v>
      </c>
      <c r="Y109" s="170">
        <f t="shared" si="213"/>
        <v>-2.8816207266324056E-2</v>
      </c>
      <c r="Z109" s="170">
        <f t="shared" si="213"/>
        <v>-2.8816207266324056E-2</v>
      </c>
      <c r="AB109" s="268">
        <f>IFERROR(U109/G$92,"-")</f>
        <v>-5.3137022434674642E-6</v>
      </c>
      <c r="AC109" s="268">
        <f t="shared" ref="AC109:AG112" si="214">IFERROR(V109/H$92,"-")</f>
        <v>-4.1148375362450455E-6</v>
      </c>
      <c r="AD109" s="268">
        <f t="shared" si="214"/>
        <v>-5.9983778655961813E-6</v>
      </c>
      <c r="AE109" s="268">
        <f t="shared" si="214"/>
        <v>-5.3581642369512935E-6</v>
      </c>
      <c r="AF109" s="268">
        <f t="shared" si="214"/>
        <v>-5.6994080827381438E-6</v>
      </c>
      <c r="AG109" s="268">
        <f t="shared" si="214"/>
        <v>-5.9146566638596176E-6</v>
      </c>
      <c r="AI109" s="300"/>
    </row>
    <row r="110" spans="3:45" outlineLevel="1" x14ac:dyDescent="0.25">
      <c r="C110" t="s">
        <v>273</v>
      </c>
      <c r="D110" s="59" t="s">
        <v>118</v>
      </c>
      <c r="E110" s="59" t="s">
        <v>108</v>
      </c>
      <c r="G110" s="170">
        <f t="shared" si="211"/>
        <v>0</v>
      </c>
      <c r="H110" s="170">
        <f>INDEX(Calc_OtherCosts_1[[Ausnet]:[United Energy]],MATCH($D110,Calc_OtherCosts_1[[Cost item]:[Cost item]],0),MATCH(H$90,Calc_OtherCosts_1[[#Headers],[Ausnet]:[United Energy]],0))</f>
        <v>0</v>
      </c>
      <c r="I110" s="170">
        <f>INDEX(Calc_OtherCosts_1[[Ausnet]:[United Energy]],MATCH($D110,Calc_OtherCosts_1[[Cost item]:[Cost item]],0),MATCH(I$90,Calc_OtherCosts_1[[#Headers],[Ausnet]:[United Energy]],0))</f>
        <v>0</v>
      </c>
      <c r="J110" s="170">
        <f>INDEX(Calc_OtherCosts_1[[Ausnet]:[United Energy]],MATCH($D110,Calc_OtherCosts_1[[Cost item]:[Cost item]],0),MATCH(J$90,Calc_OtherCosts_1[[#Headers],[Ausnet]:[United Energy]],0))</f>
        <v>0</v>
      </c>
      <c r="K110" s="170">
        <f>INDEX(Calc_OtherCosts_1[[Ausnet]:[United Energy]],MATCH($D110,Calc_OtherCosts_1[[Cost item]:[Cost item]],0),MATCH(K$90,Calc_OtherCosts_1[[#Headers],[Ausnet]:[United Energy]],0))</f>
        <v>0</v>
      </c>
      <c r="L110" s="170">
        <f>INDEX(Calc_OtherCosts_1[[Ausnet]:[United Energy]],MATCH($D110,Calc_OtherCosts_1[[Cost item]:[Cost item]],0),MATCH(L$90,Calc_OtherCosts_1[[#Headers],[Ausnet]:[United Energy]],0))</f>
        <v>0</v>
      </c>
      <c r="N110" s="170">
        <f t="shared" si="212"/>
        <v>0</v>
      </c>
      <c r="O110" s="170">
        <f>INDEX(Calc_OtherCosts_2[[Ausnet]:[United Energy]],MATCH($D110,Calc_OtherCosts_2[[Cost item]:[Cost item]],0),MATCH(O$90,Calc_OtherCosts_2[[#Headers],[Ausnet]:[United Energy]],0))</f>
        <v>0</v>
      </c>
      <c r="P110" s="170">
        <f>INDEX(Calc_OtherCosts_2[[Ausnet]:[United Energy]],MATCH($D110,Calc_OtherCosts_2[[Cost item]:[Cost item]],0),MATCH(P$90,Calc_OtherCosts_2[[#Headers],[Ausnet]:[United Energy]],0))</f>
        <v>0</v>
      </c>
      <c r="Q110" s="170">
        <f>INDEX(Calc_OtherCosts_2[[Ausnet]:[United Energy]],MATCH($D110,Calc_OtherCosts_2[[Cost item]:[Cost item]],0),MATCH(Q$90,Calc_OtherCosts_2[[#Headers],[Ausnet]:[United Energy]],0))</f>
        <v>0</v>
      </c>
      <c r="R110" s="170">
        <f>INDEX(Calc_OtherCosts_2[[Ausnet]:[United Energy]],MATCH($D110,Calc_OtherCosts_2[[Cost item]:[Cost item]],0),MATCH(R$90,Calc_OtherCosts_2[[#Headers],[Ausnet]:[United Energy]],0))</f>
        <v>0</v>
      </c>
      <c r="S110" s="170">
        <f>INDEX(Calc_OtherCosts_2[[Ausnet]:[United Energy]],MATCH($D110,Calc_OtherCosts_2[[Cost item]:[Cost item]],0),MATCH(S$90,Calc_OtherCosts_2[[#Headers],[Ausnet]:[United Energy]],0))</f>
        <v>0</v>
      </c>
      <c r="U110" s="170">
        <f t="shared" si="213"/>
        <v>0</v>
      </c>
      <c r="V110" s="170">
        <f t="shared" si="213"/>
        <v>0</v>
      </c>
      <c r="W110" s="170">
        <f t="shared" si="213"/>
        <v>0</v>
      </c>
      <c r="X110" s="170">
        <f t="shared" si="213"/>
        <v>0</v>
      </c>
      <c r="Y110" s="170">
        <f t="shared" si="213"/>
        <v>0</v>
      </c>
      <c r="Z110" s="170">
        <f t="shared" si="213"/>
        <v>0</v>
      </c>
      <c r="AB110" s="268">
        <f>IFERROR(U110/G$92,"-")</f>
        <v>0</v>
      </c>
      <c r="AC110" s="268">
        <f t="shared" si="214"/>
        <v>0</v>
      </c>
      <c r="AD110" s="268">
        <f t="shared" si="214"/>
        <v>0</v>
      </c>
      <c r="AE110" s="268">
        <f t="shared" si="214"/>
        <v>0</v>
      </c>
      <c r="AF110" s="268">
        <f>IFERROR(Y110/K$92,"-")</f>
        <v>0</v>
      </c>
      <c r="AG110" s="268">
        <f t="shared" si="214"/>
        <v>0</v>
      </c>
      <c r="AI110" s="300"/>
    </row>
    <row r="111" spans="3:45" outlineLevel="1" x14ac:dyDescent="0.25">
      <c r="C111" t="s">
        <v>273</v>
      </c>
      <c r="D111" s="59" t="s">
        <v>724</v>
      </c>
      <c r="E111" s="59" t="s">
        <v>108</v>
      </c>
      <c r="G111" s="170">
        <f t="shared" si="211"/>
        <v>0.62916717171717162</v>
      </c>
      <c r="H111" s="170">
        <f>INDEX(Calc_OtherCosts_1[[Ausnet]:[United Energy]],MATCH($D111,Calc_OtherCosts_1[[Cost item]:[Cost item]],0),MATCH(H$90,Calc_OtherCosts_1[[#Headers],[Ausnet]:[United Energy]],0))</f>
        <v>0.62916717171717162</v>
      </c>
      <c r="I111" s="170">
        <f>INDEX(Calc_OtherCosts_1[[Ausnet]:[United Energy]],MATCH($D111,Calc_OtherCosts_1[[Cost item]:[Cost item]],0),MATCH(I$90,Calc_OtherCosts_1[[#Headers],[Ausnet]:[United Energy]],0))</f>
        <v>0.62916717171717162</v>
      </c>
      <c r="J111" s="170">
        <f>INDEX(Calc_OtherCosts_1[[Ausnet]:[United Energy]],MATCH($D111,Calc_OtherCosts_1[[Cost item]:[Cost item]],0),MATCH(J$90,Calc_OtherCosts_1[[#Headers],[Ausnet]:[United Energy]],0))</f>
        <v>0.62916717171717162</v>
      </c>
      <c r="K111" s="170">
        <f>INDEX(Calc_OtherCosts_1[[Ausnet]:[United Energy]],MATCH($D111,Calc_OtherCosts_1[[Cost item]:[Cost item]],0),MATCH(K$90,Calc_OtherCosts_1[[#Headers],[Ausnet]:[United Energy]],0))</f>
        <v>0.62916717171717162</v>
      </c>
      <c r="L111" s="170">
        <f>INDEX(Calc_OtherCosts_1[[Ausnet]:[United Energy]],MATCH($D111,Calc_OtherCosts_1[[Cost item]:[Cost item]],0),MATCH(L$90,Calc_OtherCosts_1[[#Headers],[Ausnet]:[United Energy]],0))</f>
        <v>0.62916717171717162</v>
      </c>
      <c r="N111" s="170">
        <f t="shared" si="212"/>
        <v>0.61619999999999997</v>
      </c>
      <c r="O111" s="170">
        <f>INDEX(Calc_OtherCosts_2[[Ausnet]:[United Energy]],MATCH($D111,Calc_OtherCosts_2[[Cost item]:[Cost item]],0),MATCH(O$90,Calc_OtherCosts_2[[#Headers],[Ausnet]:[United Energy]],0))</f>
        <v>0.61619999999999997</v>
      </c>
      <c r="P111" s="170">
        <f>INDEX(Calc_OtherCosts_2[[Ausnet]:[United Energy]],MATCH($D111,Calc_OtherCosts_2[[Cost item]:[Cost item]],0),MATCH(P$90,Calc_OtherCosts_2[[#Headers],[Ausnet]:[United Energy]],0))</f>
        <v>0.61619999999999997</v>
      </c>
      <c r="Q111" s="170">
        <f>INDEX(Calc_OtherCosts_2[[Ausnet]:[United Energy]],MATCH($D111,Calc_OtherCosts_2[[Cost item]:[Cost item]],0),MATCH(Q$90,Calc_OtherCosts_2[[#Headers],[Ausnet]:[United Energy]],0))</f>
        <v>0.61619999999999997</v>
      </c>
      <c r="R111" s="170">
        <f>INDEX(Calc_OtherCosts_2[[Ausnet]:[United Energy]],MATCH($D111,Calc_OtherCosts_2[[Cost item]:[Cost item]],0),MATCH(R$90,Calc_OtherCosts_2[[#Headers],[Ausnet]:[United Energy]],0))</f>
        <v>0.61619999999999997</v>
      </c>
      <c r="S111" s="170">
        <f>INDEX(Calc_OtherCosts_2[[Ausnet]:[United Energy]],MATCH($D111,Calc_OtherCosts_2[[Cost item]:[Cost item]],0),MATCH(S$90,Calc_OtherCosts_2[[#Headers],[Ausnet]:[United Energy]],0))</f>
        <v>0.61619999999999997</v>
      </c>
      <c r="U111" s="170">
        <f t="shared" si="213"/>
        <v>-1.2967171717171655E-2</v>
      </c>
      <c r="V111" s="170">
        <f t="shared" si="213"/>
        <v>-1.2967171717171655E-2</v>
      </c>
      <c r="W111" s="170">
        <f t="shared" si="213"/>
        <v>-1.2967171717171655E-2</v>
      </c>
      <c r="X111" s="170">
        <f t="shared" si="213"/>
        <v>-1.2967171717171655E-2</v>
      </c>
      <c r="Y111" s="170">
        <f t="shared" si="213"/>
        <v>-1.2967171717171655E-2</v>
      </c>
      <c r="Z111" s="170">
        <f t="shared" si="213"/>
        <v>-1.2967171717171655E-2</v>
      </c>
      <c r="AB111" s="268">
        <f>IFERROR(U111/G$92,"-")</f>
        <v>-2.391143595274139E-6</v>
      </c>
      <c r="AC111" s="268">
        <f t="shared" si="214"/>
        <v>-1.8516595340813443E-6</v>
      </c>
      <c r="AD111" s="268">
        <f t="shared" si="214"/>
        <v>-2.69924473712982E-6</v>
      </c>
      <c r="AE111" s="268">
        <f t="shared" si="214"/>
        <v>-2.4111513047920519E-6</v>
      </c>
      <c r="AF111" s="268">
        <f t="shared" si="214"/>
        <v>-2.5647095959595837E-6</v>
      </c>
      <c r="AG111" s="268">
        <f t="shared" si="214"/>
        <v>-2.6615705495015713E-6</v>
      </c>
      <c r="AI111" s="300"/>
    </row>
    <row r="112" spans="3:45" outlineLevel="1" x14ac:dyDescent="0.25">
      <c r="C112" t="s">
        <v>273</v>
      </c>
      <c r="D112" s="59" t="s">
        <v>120</v>
      </c>
      <c r="E112" s="59" t="s">
        <v>108</v>
      </c>
      <c r="G112" s="170">
        <f t="shared" si="211"/>
        <v>1.3762036363636363</v>
      </c>
      <c r="H112" s="170">
        <f>INDEX(Calc_OtherCosts_1[[Ausnet]:[United Energy]],MATCH($D112,Calc_OtherCosts_1[[Cost item]:[Cost item]],0),MATCH(H$90,Calc_OtherCosts_1[[#Headers],[Ausnet]:[United Energy]],0))</f>
        <v>1.3762036363636363</v>
      </c>
      <c r="I112" s="170">
        <f>INDEX(Calc_OtherCosts_1[[Ausnet]:[United Energy]],MATCH($D112,Calc_OtherCosts_1[[Cost item]:[Cost item]],0),MATCH(I$90,Calc_OtherCosts_1[[#Headers],[Ausnet]:[United Energy]],0))</f>
        <v>1.3762036363636363</v>
      </c>
      <c r="J112" s="170">
        <f>INDEX(Calc_OtherCosts_1[[Ausnet]:[United Energy]],MATCH($D112,Calc_OtherCosts_1[[Cost item]:[Cost item]],0),MATCH(J$90,Calc_OtherCosts_1[[#Headers],[Ausnet]:[United Energy]],0))</f>
        <v>1.3762036363636363</v>
      </c>
      <c r="K112" s="170">
        <f>INDEX(Calc_OtherCosts_1[[Ausnet]:[United Energy]],MATCH($D112,Calc_OtherCosts_1[[Cost item]:[Cost item]],0),MATCH(K$90,Calc_OtherCosts_1[[#Headers],[Ausnet]:[United Energy]],0))</f>
        <v>1.3762036363636363</v>
      </c>
      <c r="L112" s="170">
        <f>INDEX(Calc_OtherCosts_1[[Ausnet]:[United Energy]],MATCH($D112,Calc_OtherCosts_1[[Cost item]:[Cost item]],0),MATCH(L$90,Calc_OtherCosts_1[[#Headers],[Ausnet]:[United Energy]],0))</f>
        <v>1.3762036363636363</v>
      </c>
      <c r="N112" s="170">
        <f t="shared" si="212"/>
        <v>1.3478399999999999</v>
      </c>
      <c r="O112" s="170">
        <f>INDEX(Calc_OtherCosts_2[[Ausnet]:[United Energy]],MATCH($D112,Calc_OtherCosts_2[[Cost item]:[Cost item]],0),MATCH(O$90,Calc_OtherCosts_2[[#Headers],[Ausnet]:[United Energy]],0))</f>
        <v>1.3478399999999999</v>
      </c>
      <c r="P112" s="170">
        <f>INDEX(Calc_OtherCosts_2[[Ausnet]:[United Energy]],MATCH($D112,Calc_OtherCosts_2[[Cost item]:[Cost item]],0),MATCH(P$90,Calc_OtherCosts_2[[#Headers],[Ausnet]:[United Energy]],0))</f>
        <v>1.3478399999999999</v>
      </c>
      <c r="Q112" s="170">
        <f>INDEX(Calc_OtherCosts_2[[Ausnet]:[United Energy]],MATCH($D112,Calc_OtherCosts_2[[Cost item]:[Cost item]],0),MATCH(Q$90,Calc_OtherCosts_2[[#Headers],[Ausnet]:[United Energy]],0))</f>
        <v>1.3478399999999999</v>
      </c>
      <c r="R112" s="170">
        <f>INDEX(Calc_OtherCosts_2[[Ausnet]:[United Energy]],MATCH($D112,Calc_OtherCosts_2[[Cost item]:[Cost item]],0),MATCH(R$90,Calc_OtherCosts_2[[#Headers],[Ausnet]:[United Energy]],0))</f>
        <v>1.3478399999999999</v>
      </c>
      <c r="S112" s="170">
        <f>INDEX(Calc_OtherCosts_2[[Ausnet]:[United Energy]],MATCH($D112,Calc_OtherCosts_2[[Cost item]:[Cost item]],0),MATCH(S$90,Calc_OtherCosts_2[[#Headers],[Ausnet]:[United Energy]],0))</f>
        <v>1.3478399999999999</v>
      </c>
      <c r="U112" s="170">
        <f t="shared" si="213"/>
        <v>-2.8363636363636369E-2</v>
      </c>
      <c r="V112" s="170">
        <f t="shared" si="213"/>
        <v>-2.8363636363636369E-2</v>
      </c>
      <c r="W112" s="170">
        <f t="shared" si="213"/>
        <v>-2.8363636363636369E-2</v>
      </c>
      <c r="X112" s="170">
        <f t="shared" si="213"/>
        <v>-2.8363636363636369E-2</v>
      </c>
      <c r="Y112" s="170">
        <f t="shared" si="213"/>
        <v>-2.8363636363636369E-2</v>
      </c>
      <c r="Z112" s="170">
        <f t="shared" si="213"/>
        <v>-2.8363636363636369E-2</v>
      </c>
      <c r="AB112" s="268">
        <f>IFERROR(U112/G$92,"-")</f>
        <v>-5.2302482691566232E-6</v>
      </c>
      <c r="AC112" s="268">
        <f t="shared" si="214"/>
        <v>-4.0502122466994675E-6</v>
      </c>
      <c r="AD112" s="268">
        <f t="shared" si="214"/>
        <v>-5.9041707667852556E-6</v>
      </c>
      <c r="AE112" s="268">
        <f t="shared" si="214"/>
        <v>-5.274011967950236E-6</v>
      </c>
      <c r="AF112" s="268">
        <f t="shared" si="214"/>
        <v>-5.6098964326812441E-6</v>
      </c>
      <c r="AG112" s="268">
        <f t="shared" si="214"/>
        <v>-5.8217644424540989E-6</v>
      </c>
      <c r="AI112" s="300"/>
    </row>
    <row r="113" spans="3:35" outlineLevel="1" x14ac:dyDescent="0.25">
      <c r="AB113" s="122"/>
      <c r="AC113" s="122"/>
      <c r="AD113" s="122"/>
      <c r="AE113" s="122"/>
      <c r="AF113" s="122"/>
      <c r="AG113" s="122"/>
      <c r="AI113" s="300"/>
    </row>
    <row r="114" spans="3:35" outlineLevel="1" x14ac:dyDescent="0.25">
      <c r="C114" t="s">
        <v>121</v>
      </c>
      <c r="D114" s="59" t="s">
        <v>550</v>
      </c>
      <c r="E114" s="59" t="s">
        <v>108</v>
      </c>
      <c r="G114" s="170">
        <f t="shared" ref="G114:G115" si="215">AVERAGE(H114:L114)</f>
        <v>141.11709999999999</v>
      </c>
      <c r="H114" s="170" cm="1">
        <f t="array" ref="H114">INDEX(Calc_NetworkF_1[[Ausnet]:[United Energy]],MATCH(1,(Calc_NetworkF_1[[Cost item]:[Cost item]]=$D114)*(Calc_NetworkF_1[[Customer type]:[Customer type]]=$E$79),0),MATCH(H$90,Calc_NetworkF_1[[#Headers],[Ausnet]:[United Energy]],0))</f>
        <v>111.11</v>
      </c>
      <c r="I114" s="170" cm="1">
        <f t="array" ref="I114">INDEX(Calc_NetworkF_1[[Ausnet]:[United Energy]],MATCH(1,(Calc_NetworkF_1[[Cost item]:[Cost item]]=$D114)*(Calc_NetworkF_1[[Customer type]:[Customer type]]=$E$79),0),MATCH(I$90,Calc_NetworkF_1[[#Headers],[Ausnet]:[United Energy]],0))</f>
        <v>160.01599999999999</v>
      </c>
      <c r="J114" s="170" cm="1">
        <f t="array" ref="J114">INDEX(Calc_NetworkF_1[[Ausnet]:[United Energy]],MATCH(1,(Calc_NetworkF_1[[Cost item]:[Cost item]]=$D114)*(Calc_NetworkF_1[[Customer type]:[Customer type]]=$E$79),0),MATCH(J$90,Calc_NetworkF_1[[#Headers],[Ausnet]:[United Energy]],0))</f>
        <v>134.46600000000001</v>
      </c>
      <c r="K114" s="170" cm="1">
        <f t="array" ref="K114">INDEX(Calc_NetworkF_1[[Ausnet]:[United Energy]],MATCH(1,(Calc_NetworkF_1[[Cost item]:[Cost item]]=$D114)*(Calc_NetworkF_1[[Customer type]:[Customer type]]=$E$79),0),MATCH(K$90,Calc_NetworkF_1[[#Headers],[Ausnet]:[United Energy]],0))</f>
        <v>179.98150000000001</v>
      </c>
      <c r="L114" s="170" cm="1">
        <f t="array" ref="L114">INDEX(Calc_NetworkF_1[[Ausnet]:[United Energy]],MATCH(1,(Calc_NetworkF_1[[Cost item]:[Cost item]]=$D114)*(Calc_NetworkF_1[[Customer type]:[Customer type]]=$E$79),0),MATCH(L$90,Calc_NetworkF_1[[#Headers],[Ausnet]:[United Energy]],0))</f>
        <v>120.01199999999999</v>
      </c>
      <c r="N114" s="170">
        <f t="shared" ref="N114:N115" si="216">AVERAGE(O114:S114)</f>
        <v>141.11709999999999</v>
      </c>
      <c r="O114" s="170" cm="1">
        <f t="array" ref="O114">INDEX(Calc_NetworkF_2[[Ausnet]:[United Energy]],MATCH(1,(Calc_NetworkF_2[[Cost item]:[Cost item]]=$D114)*(Calc_NetworkF_2[[Customer type]:[Customer type]]=$E$79),0),MATCH(O$90,Calc_NetworkF_2[[#Headers],[Ausnet]:[United Energy]],0))</f>
        <v>111.11</v>
      </c>
      <c r="P114" s="170" cm="1">
        <f t="array" ref="P114">INDEX(Calc_NetworkF_2[[Ausnet]:[United Energy]],MATCH(1,(Calc_NetworkF_2[[Cost item]:[Cost item]]=$D114)*(Calc_NetworkF_2[[Customer type]:[Customer type]]=$E$79),0),MATCH(P$90,Calc_NetworkF_2[[#Headers],[Ausnet]:[United Energy]],0))</f>
        <v>160.01599999999999</v>
      </c>
      <c r="Q114" s="170" cm="1">
        <f t="array" ref="Q114">INDEX(Calc_NetworkF_2[[Ausnet]:[United Energy]],MATCH(1,(Calc_NetworkF_2[[Cost item]:[Cost item]]=$D114)*(Calc_NetworkF_2[[Customer type]:[Customer type]]=$E$79),0),MATCH(Q$90,Calc_NetworkF_2[[#Headers],[Ausnet]:[United Energy]],0))</f>
        <v>134.46600000000001</v>
      </c>
      <c r="R114" s="170" cm="1">
        <f t="array" ref="R114">INDEX(Calc_NetworkF_2[[Ausnet]:[United Energy]],MATCH(1,(Calc_NetworkF_2[[Cost item]:[Cost item]]=$D114)*(Calc_NetworkF_2[[Customer type]:[Customer type]]=$E$79),0),MATCH(R$90,Calc_NetworkF_2[[#Headers],[Ausnet]:[United Energy]],0))</f>
        <v>179.98150000000001</v>
      </c>
      <c r="S114" s="170" cm="1">
        <f t="array" ref="S114">INDEX(Calc_NetworkF_2[[Ausnet]:[United Energy]],MATCH(1,(Calc_NetworkF_2[[Cost item]:[Cost item]]=$D114)*(Calc_NetworkF_2[[Customer type]:[Customer type]]=$E$79),0),MATCH(S$90,Calc_NetworkF_2[[#Headers],[Ausnet]:[United Energy]],0))</f>
        <v>120.01199999999999</v>
      </c>
      <c r="U114" s="170">
        <f t="shared" ref="U114:Z115" si="217">IFERROR(N114-G114,"-")</f>
        <v>0</v>
      </c>
      <c r="V114" s="170">
        <f t="shared" si="217"/>
        <v>0</v>
      </c>
      <c r="W114" s="170">
        <f t="shared" si="217"/>
        <v>0</v>
      </c>
      <c r="X114" s="170">
        <f t="shared" si="217"/>
        <v>0</v>
      </c>
      <c r="Y114" s="170">
        <f t="shared" si="217"/>
        <v>0</v>
      </c>
      <c r="Z114" s="170">
        <f t="shared" si="217"/>
        <v>0</v>
      </c>
      <c r="AB114" s="268">
        <f>IFERROR(U114/G$92,"-")</f>
        <v>0</v>
      </c>
      <c r="AC114" s="268">
        <f t="shared" ref="AC114:AG115" si="218">IFERROR(V114/H$92,"-")</f>
        <v>0</v>
      </c>
      <c r="AD114" s="268">
        <f t="shared" si="218"/>
        <v>0</v>
      </c>
      <c r="AE114" s="268">
        <f t="shared" si="218"/>
        <v>0</v>
      </c>
      <c r="AF114" s="268">
        <f t="shared" si="218"/>
        <v>0</v>
      </c>
      <c r="AG114" s="268">
        <f t="shared" si="218"/>
        <v>0</v>
      </c>
      <c r="AI114" s="300"/>
    </row>
    <row r="115" spans="3:35" outlineLevel="1" x14ac:dyDescent="0.25">
      <c r="C115" t="s">
        <v>121</v>
      </c>
      <c r="D115" s="59" t="s">
        <v>275</v>
      </c>
      <c r="E115" s="59" t="s">
        <v>108</v>
      </c>
      <c r="G115" s="170">
        <f t="shared" si="215"/>
        <v>58.88740616527069</v>
      </c>
      <c r="H115" s="170">
        <f>INDEX(Calc_NetworkF_1[[Ausnet]:[United Energy]],MATCH($D115,Calc_NetworkF_1[[Cost item]:[Cost item]],0),MATCH(H$90,Calc_NetworkF_1[[#Headers],[Ausnet]:[United Energy]],0))</f>
        <v>72.901836379042152</v>
      </c>
      <c r="I115" s="170">
        <f>INDEX(Calc_NetworkF_1[[Ausnet]:[United Energy]],MATCH($D115,Calc_NetworkF_1[[Cost item]:[Cost item]],0),MATCH(I$90,Calc_NetworkF_1[[#Headers],[Ausnet]:[United Energy]],0))</f>
        <v>62.513688088390346</v>
      </c>
      <c r="J115" s="170">
        <f>INDEX(Calc_NetworkF_1[[Ausnet]:[United Energy]],MATCH($D115,Calc_NetworkF_1[[Cost item]:[Cost item]],0),MATCH(J$90,Calc_NetworkF_1[[#Headers],[Ausnet]:[United Energy]],0))</f>
        <v>55.822653689249755</v>
      </c>
      <c r="K115" s="170">
        <f>INDEX(Calc_NetworkF_1[[Ausnet]:[United Energy]],MATCH($D115,Calc_NetworkF_1[[Cost item]:[Cost item]],0),MATCH(K$90,Calc_NetworkF_1[[#Headers],[Ausnet]:[United Energy]],0))</f>
        <v>59.390794631454334</v>
      </c>
      <c r="L115" s="170">
        <f>INDEX(Calc_NetworkF_1[[Ausnet]:[United Energy]],MATCH($D115,Calc_NetworkF_1[[Cost item]:[Cost item]],0),MATCH(L$90,Calc_NetworkF_1[[#Headers],[Ausnet]:[United Energy]],0))</f>
        <v>43.808058038216856</v>
      </c>
      <c r="N115" s="170">
        <f t="shared" si="216"/>
        <v>55.641999999999996</v>
      </c>
      <c r="O115" s="170">
        <f>INDEX(Calc_NetworkF_2[[Ausnet]:[United Energy]],MATCH($D115,Calc_NetworkF_2[[Cost item]:[Cost item]],0),MATCH(O$90,Calc_NetworkF_2[[#Headers],[Ausnet]:[United Energy]],0))</f>
        <v>63.7</v>
      </c>
      <c r="P115" s="170">
        <f>INDEX(Calc_NetworkF_2[[Ausnet]:[United Energy]],MATCH($D115,Calc_NetworkF_2[[Cost item]:[Cost item]],0),MATCH(P$90,Calc_NetworkF_2[[#Headers],[Ausnet]:[United Energy]],0))</f>
        <v>59.4</v>
      </c>
      <c r="Q115" s="170">
        <f>INDEX(Calc_NetworkF_2[[Ausnet]:[United Energy]],MATCH($D115,Calc_NetworkF_2[[Cost item]:[Cost item]],0),MATCH(Q$90,Calc_NetworkF_2[[#Headers],[Ausnet]:[United Energy]],0))</f>
        <v>54.19</v>
      </c>
      <c r="R115" s="170">
        <f>INDEX(Calc_NetworkF_2[[Ausnet]:[United Energy]],MATCH($D115,Calc_NetworkF_2[[Cost item]:[Cost item]],0),MATCH(R$90,Calc_NetworkF_2[[#Headers],[Ausnet]:[United Energy]],0))</f>
        <v>58</v>
      </c>
      <c r="S115" s="170">
        <f>INDEX(Calc_NetworkF_2[[Ausnet]:[United Energy]],MATCH($D115,Calc_NetworkF_2[[Cost item]:[Cost item]],0),MATCH(S$90,Calc_NetworkF_2[[#Headers],[Ausnet]:[United Energy]],0))</f>
        <v>42.92</v>
      </c>
      <c r="U115" s="170">
        <f t="shared" si="217"/>
        <v>-3.245406165270694</v>
      </c>
      <c r="V115" s="170">
        <f t="shared" si="217"/>
        <v>-9.2018363790421489</v>
      </c>
      <c r="W115" s="170">
        <f t="shared" si="217"/>
        <v>-3.1136880883903473</v>
      </c>
      <c r="X115" s="170">
        <f t="shared" si="217"/>
        <v>-1.6326536892497572</v>
      </c>
      <c r="Y115" s="170">
        <f t="shared" si="217"/>
        <v>-1.3907946314543338</v>
      </c>
      <c r="Z115" s="170">
        <f t="shared" si="217"/>
        <v>-0.88805803821685458</v>
      </c>
      <c r="AB115" s="268">
        <f>IFERROR(U115/G$92,"-")</f>
        <v>-5.9845217873330146E-4</v>
      </c>
      <c r="AC115" s="268">
        <f t="shared" si="218"/>
        <v>-1.3139849177555545E-3</v>
      </c>
      <c r="AD115" s="268">
        <f t="shared" si="218"/>
        <v>-6.4814489766660014E-4</v>
      </c>
      <c r="AE115" s="268">
        <f t="shared" si="218"/>
        <v>-3.0358008353472614E-4</v>
      </c>
      <c r="AF115" s="268">
        <f t="shared" si="218"/>
        <v>-2.7507805210726539E-4</v>
      </c>
      <c r="AG115" s="268">
        <f t="shared" si="218"/>
        <v>-1.8227792245830349E-4</v>
      </c>
      <c r="AI115" s="300"/>
    </row>
    <row r="116" spans="3:35" outlineLevel="1" x14ac:dyDescent="0.25">
      <c r="AB116" s="122"/>
      <c r="AC116" s="122"/>
      <c r="AD116" s="122"/>
      <c r="AE116" s="122"/>
      <c r="AF116" s="122"/>
      <c r="AG116" s="122"/>
      <c r="AI116" s="300"/>
    </row>
    <row r="117" spans="3:35" outlineLevel="1" x14ac:dyDescent="0.25">
      <c r="C117" t="s">
        <v>106</v>
      </c>
      <c r="D117" s="59" t="s">
        <v>292</v>
      </c>
      <c r="E117" s="59" t="s">
        <v>108</v>
      </c>
      <c r="G117" s="170">
        <f t="shared" ref="G117:G118" si="219">AVERAGE(H117:L117)</f>
        <v>143.50355199638659</v>
      </c>
      <c r="H117" s="170">
        <f>AVERAGE(INDEX(Calc_Retail_1[[Ausnet]:[United Energy]],MATCH($D117,Calc_Retail_1[[Cost item]:[Cost item]],0),MATCH(H$90,Calc_Retail_1[[#Headers],[Ausnet]:[United Energy]],0)))</f>
        <v>143.50355199638659</v>
      </c>
      <c r="I117" s="170">
        <f>AVERAGE(INDEX(Calc_Retail_1[[Ausnet]:[United Energy]],MATCH($D117,Calc_Retail_1[[Cost item]:[Cost item]],0),MATCH(I$90,Calc_Retail_1[[#Headers],[Ausnet]:[United Energy]],0)))</f>
        <v>143.50355199638659</v>
      </c>
      <c r="J117" s="170">
        <f>AVERAGE(INDEX(Calc_Retail_1[[Ausnet]:[United Energy]],MATCH($D117,Calc_Retail_1[[Cost item]:[Cost item]],0),MATCH(J$90,Calc_Retail_1[[#Headers],[Ausnet]:[United Energy]],0)))</f>
        <v>143.50355199638659</v>
      </c>
      <c r="K117" s="170">
        <f>AVERAGE(INDEX(Calc_Retail_1[[Ausnet]:[United Energy]],MATCH($D117,Calc_Retail_1[[Cost item]:[Cost item]],0),MATCH(K$90,Calc_Retail_1[[#Headers],[Ausnet]:[United Energy]],0)))</f>
        <v>143.50355199638659</v>
      </c>
      <c r="L117" s="170">
        <f>AVERAGE(INDEX(Calc_Retail_1[[Ausnet]:[United Energy]],MATCH($D117,Calc_Retail_1[[Cost item]:[Cost item]],0),MATCH(L$90,Calc_Retail_1[[#Headers],[Ausnet]:[United Energy]],0)))</f>
        <v>143.50355199638659</v>
      </c>
      <c r="N117" s="170">
        <f t="shared" ref="N117:N118" si="220">AVERAGE(O117:S117)</f>
        <v>141.75366943089429</v>
      </c>
      <c r="O117" s="170">
        <f>AVERAGE(INDEX(Calc_Retail_2[[Ausnet]:[United Energy]],MATCH($D117,Calc_Retail_2[[Cost item]:[Cost item]],0),MATCH(O$90,Calc_Retail_2[[#Headers],[Ausnet]:[United Energy]],0)))</f>
        <v>141.75366943089429</v>
      </c>
      <c r="P117" s="170">
        <f>AVERAGE(INDEX(Calc_Retail_2[[Ausnet]:[United Energy]],MATCH($D117,Calc_Retail_2[[Cost item]:[Cost item]],0),MATCH(P$90,Calc_Retail_2[[#Headers],[Ausnet]:[United Energy]],0)))</f>
        <v>141.75366943089429</v>
      </c>
      <c r="Q117" s="170">
        <f>AVERAGE(INDEX(Calc_Retail_2[[Ausnet]:[United Energy]],MATCH($D117,Calc_Retail_2[[Cost item]:[Cost item]],0),MATCH(Q$90,Calc_Retail_2[[#Headers],[Ausnet]:[United Energy]],0)))</f>
        <v>141.75366943089429</v>
      </c>
      <c r="R117" s="170">
        <f>AVERAGE(INDEX(Calc_Retail_2[[Ausnet]:[United Energy]],MATCH($D117,Calc_Retail_2[[Cost item]:[Cost item]],0),MATCH(R$90,Calc_Retail_2[[#Headers],[Ausnet]:[United Energy]],0)))</f>
        <v>141.75366943089429</v>
      </c>
      <c r="S117" s="170">
        <f>AVERAGE(INDEX(Calc_Retail_2[[Ausnet]:[United Energy]],MATCH($D117,Calc_Retail_2[[Cost item]:[Cost item]],0),MATCH(S$90,Calc_Retail_2[[#Headers],[Ausnet]:[United Energy]],0)))</f>
        <v>141.75366943089429</v>
      </c>
      <c r="U117" s="170">
        <f>IFERROR(N117-G117,"-")</f>
        <v>-1.7498825654922996</v>
      </c>
      <c r="V117" s="170">
        <f t="shared" ref="U117:Z118" si="221">IFERROR(O117-H117,"-")</f>
        <v>-1.7498825654922996</v>
      </c>
      <c r="W117" s="170">
        <f t="shared" si="221"/>
        <v>-1.7498825654922996</v>
      </c>
      <c r="X117" s="170">
        <f t="shared" si="221"/>
        <v>-1.7498825654922996</v>
      </c>
      <c r="Y117" s="170">
        <f t="shared" si="221"/>
        <v>-1.7498825654922996</v>
      </c>
      <c r="Z117" s="170">
        <f t="shared" si="221"/>
        <v>-1.7498825654922996</v>
      </c>
      <c r="AB117" s="268">
        <f>IFERROR(U117/G$92,"-")</f>
        <v>-3.2267795786323063E-4</v>
      </c>
      <c r="AC117" s="268">
        <f t="shared" ref="AC117:AG118" si="222">IFERROR(V117/H$92,"-")</f>
        <v>-2.498761338700985E-4</v>
      </c>
      <c r="AD117" s="268">
        <f t="shared" si="222"/>
        <v>-3.642553217094712E-4</v>
      </c>
      <c r="AE117" s="268">
        <f t="shared" si="222"/>
        <v>-3.2537794077580878E-4</v>
      </c>
      <c r="AF117" s="268">
        <f t="shared" si="222"/>
        <v>-3.4610019095971116E-4</v>
      </c>
      <c r="AG117" s="268">
        <f t="shared" si="222"/>
        <v>-3.591712983358579E-4</v>
      </c>
      <c r="AI117" s="300"/>
    </row>
    <row r="118" spans="3:35" outlineLevel="1" x14ac:dyDescent="0.25">
      <c r="C118" t="s">
        <v>106</v>
      </c>
      <c r="D118" s="59" t="s">
        <v>114</v>
      </c>
      <c r="E118" s="59" t="s">
        <v>108</v>
      </c>
      <c r="G118" s="170">
        <f t="shared" si="219"/>
        <v>40.151567944250871</v>
      </c>
      <c r="H118" s="170">
        <f>AVERAGE(INDEX(Calc_Retail_1[[Ausnet]:[United Energy]],MATCH($D118,Calc_Retail_1[[Cost item]:[Cost item]],0),MATCH(H$90,Calc_Retail_1[[#Headers],[Ausnet]:[United Energy]],0)))</f>
        <v>40.151567944250871</v>
      </c>
      <c r="I118" s="170">
        <f>AVERAGE(INDEX(Calc_Retail_1[[Ausnet]:[United Energy]],MATCH($D118,Calc_Retail_1[[Cost item]:[Cost item]],0),MATCH(I$90,Calc_Retail_1[[#Headers],[Ausnet]:[United Energy]],0)))</f>
        <v>40.151567944250871</v>
      </c>
      <c r="J118" s="170">
        <f>AVERAGE(INDEX(Calc_Retail_1[[Ausnet]:[United Energy]],MATCH($D118,Calc_Retail_1[[Cost item]:[Cost item]],0),MATCH(J$90,Calc_Retail_1[[#Headers],[Ausnet]:[United Energy]],0)))</f>
        <v>40.151567944250871</v>
      </c>
      <c r="K118" s="170">
        <f>AVERAGE(INDEX(Calc_Retail_1[[Ausnet]:[United Energy]],MATCH($D118,Calc_Retail_1[[Cost item]:[Cost item]],0),MATCH(K$90,Calc_Retail_1[[#Headers],[Ausnet]:[United Energy]],0)))</f>
        <v>40.151567944250871</v>
      </c>
      <c r="L118" s="170">
        <f>AVERAGE(INDEX(Calc_Retail_1[[Ausnet]:[United Energy]],MATCH($D118,Calc_Retail_1[[Cost item]:[Cost item]],0),MATCH(L$90,Calc_Retail_1[[#Headers],[Ausnet]:[United Energy]],0)))</f>
        <v>40.151567944250871</v>
      </c>
      <c r="N118" s="170">
        <f t="shared" si="220"/>
        <v>39.621951219512198</v>
      </c>
      <c r="O118" s="170">
        <f>AVERAGE(INDEX(Calc_Retail_2[[Ausnet]:[United Energy]],MATCH($D118,Calc_Retail_2[[Cost item]:[Cost item]],0),MATCH(O$90,Calc_Retail_2[[#Headers],[Ausnet]:[United Energy]],0)))</f>
        <v>39.621951219512198</v>
      </c>
      <c r="P118" s="170">
        <f>AVERAGE(INDEX(Calc_Retail_2[[Ausnet]:[United Energy]],MATCH($D118,Calc_Retail_2[[Cost item]:[Cost item]],0),MATCH(P$90,Calc_Retail_2[[#Headers],[Ausnet]:[United Energy]],0)))</f>
        <v>39.621951219512198</v>
      </c>
      <c r="Q118" s="170">
        <f>AVERAGE(INDEX(Calc_Retail_2[[Ausnet]:[United Energy]],MATCH($D118,Calc_Retail_2[[Cost item]:[Cost item]],0),MATCH(Q$90,Calc_Retail_2[[#Headers],[Ausnet]:[United Energy]],0)))</f>
        <v>39.621951219512198</v>
      </c>
      <c r="R118" s="170">
        <f>AVERAGE(INDEX(Calc_Retail_2[[Ausnet]:[United Energy]],MATCH($D118,Calc_Retail_2[[Cost item]:[Cost item]],0),MATCH(R$90,Calc_Retail_2[[#Headers],[Ausnet]:[United Energy]],0)))</f>
        <v>39.621951219512198</v>
      </c>
      <c r="S118" s="170">
        <f>AVERAGE(INDEX(Calc_Retail_2[[Ausnet]:[United Energy]],MATCH($D118,Calc_Retail_2[[Cost item]:[Cost item]],0),MATCH(S$90,Calc_Retail_2[[#Headers],[Ausnet]:[United Energy]],0)))</f>
        <v>39.621951219512198</v>
      </c>
      <c r="U118" s="170">
        <f t="shared" si="221"/>
        <v>-0.52961672473867338</v>
      </c>
      <c r="V118" s="170">
        <f t="shared" si="221"/>
        <v>-0.52961672473867338</v>
      </c>
      <c r="W118" s="170">
        <f t="shared" si="221"/>
        <v>-0.52961672473867338</v>
      </c>
      <c r="X118" s="170">
        <f t="shared" si="221"/>
        <v>-0.52961672473867338</v>
      </c>
      <c r="Y118" s="170">
        <f t="shared" si="221"/>
        <v>-0.52961672473867338</v>
      </c>
      <c r="Z118" s="170">
        <f t="shared" si="221"/>
        <v>-0.52961672473867338</v>
      </c>
      <c r="AB118" s="268">
        <f>IFERROR(U118/G$92,"-")</f>
        <v>-9.7661206848363157E-5</v>
      </c>
      <c r="AC118" s="268">
        <f t="shared" si="222"/>
        <v>-7.5627120482460854E-5</v>
      </c>
      <c r="AD118" s="268">
        <f t="shared" si="222"/>
        <v>-1.1024494686483626E-4</v>
      </c>
      <c r="AE118" s="268">
        <f t="shared" si="222"/>
        <v>-9.8478379460519404E-5</v>
      </c>
      <c r="AF118" s="268">
        <f t="shared" si="222"/>
        <v>-1.047501433423009E-4</v>
      </c>
      <c r="AG118" s="268">
        <f t="shared" si="222"/>
        <v>-1.0870622428954708E-4</v>
      </c>
      <c r="AI118" s="300"/>
    </row>
    <row r="119" spans="3:35" outlineLevel="1" x14ac:dyDescent="0.25">
      <c r="AB119" s="122"/>
      <c r="AC119" s="122"/>
      <c r="AD119" s="122"/>
      <c r="AE119" s="122"/>
      <c r="AF119" s="122"/>
      <c r="AG119" s="122"/>
      <c r="AI119" s="300"/>
    </row>
    <row r="120" spans="3:35" outlineLevel="1" x14ac:dyDescent="0.25">
      <c r="D120" s="252" t="s">
        <v>710</v>
      </c>
      <c r="E120" s="57" t="s">
        <v>108</v>
      </c>
      <c r="F120" s="252"/>
      <c r="G120" s="205">
        <f>AVERAGE(H120:L120)</f>
        <v>401.18744717238843</v>
      </c>
      <c r="H120" s="205">
        <f>H107+H109+H110+H111+H112+H114+H115+H117+H118</f>
        <v>385.19477738615984</v>
      </c>
      <c r="I120" s="205">
        <f>I107+I109+I110+I111+I112+I114+I115+I117+I118</f>
        <v>423.71262909550802</v>
      </c>
      <c r="J120" s="205">
        <f t="shared" ref="J120:L120" si="223">J107+J109+J110+J111+J112+J114+J115+J117+J118</f>
        <v>391.4715946963675</v>
      </c>
      <c r="K120" s="205">
        <f t="shared" si="223"/>
        <v>440.55523563857207</v>
      </c>
      <c r="L120" s="205">
        <f t="shared" si="223"/>
        <v>365.00299904533455</v>
      </c>
      <c r="M120" s="252"/>
      <c r="N120" s="205">
        <f>AVERAGE(O120:S120)</f>
        <v>395.5923947015396</v>
      </c>
      <c r="O120" s="205">
        <f>O107+O109+O110+O111+O112+O114+O115+O117+O118</f>
        <v>373.64329470153962</v>
      </c>
      <c r="P120" s="205">
        <f t="shared" ref="P120:S120" si="224">P107+P109+P110+P111+P112+P114+P115+P117+P118</f>
        <v>418.24929470153961</v>
      </c>
      <c r="Q120" s="205">
        <f t="shared" si="224"/>
        <v>387.48929470153962</v>
      </c>
      <c r="R120" s="205">
        <f t="shared" si="224"/>
        <v>436.8147947015396</v>
      </c>
      <c r="S120" s="205">
        <f t="shared" si="224"/>
        <v>361.76529470153957</v>
      </c>
      <c r="U120" s="170">
        <f>IFERROR(N120-G120,"-")</f>
        <v>-5.5950524708488274</v>
      </c>
      <c r="V120" s="170">
        <f t="shared" ref="V120" si="225">IFERROR(O120-H120,"-")</f>
        <v>-11.551482684620225</v>
      </c>
      <c r="W120" s="170">
        <f>IFERROR(P120-I120,"-")</f>
        <v>-5.4633343939684096</v>
      </c>
      <c r="X120" s="170">
        <f t="shared" ref="X120:Z120" si="226">IFERROR(Q120-J120,"-")</f>
        <v>-3.9822999948278834</v>
      </c>
      <c r="Y120" s="170">
        <f t="shared" si="226"/>
        <v>-3.7404409370324743</v>
      </c>
      <c r="Z120" s="170">
        <f t="shared" si="226"/>
        <v>-3.2377043437949737</v>
      </c>
      <c r="AB120" s="122"/>
      <c r="AC120" s="122"/>
      <c r="AD120" s="122"/>
      <c r="AE120" s="122"/>
      <c r="AF120" s="122"/>
      <c r="AG120" s="122"/>
      <c r="AI120" s="300"/>
    </row>
    <row r="121" spans="3:35" outlineLevel="1" x14ac:dyDescent="0.25">
      <c r="AB121" s="122"/>
      <c r="AC121" s="122"/>
      <c r="AD121" s="122"/>
      <c r="AE121" s="122"/>
      <c r="AF121" s="122"/>
      <c r="AG121" s="122"/>
      <c r="AI121" s="300"/>
    </row>
    <row r="122" spans="3:35" ht="15.75" outlineLevel="1" x14ac:dyDescent="0.25">
      <c r="D122" s="29" t="s">
        <v>711</v>
      </c>
      <c r="AB122" s="122"/>
      <c r="AC122" s="122"/>
      <c r="AD122" s="122"/>
      <c r="AE122" s="122"/>
      <c r="AF122" s="122"/>
      <c r="AG122" s="122"/>
      <c r="AI122" s="300"/>
    </row>
    <row r="123" spans="3:35" outlineLevel="1" x14ac:dyDescent="0.25">
      <c r="C123" t="s">
        <v>151</v>
      </c>
      <c r="D123" s="223" t="s">
        <v>307</v>
      </c>
      <c r="E123" s="59" t="s">
        <v>130</v>
      </c>
      <c r="G123" s="170">
        <f t="shared" ref="G123:G125" si="227">AVERAGE(H123:L123)</f>
        <v>238.90773715912232</v>
      </c>
      <c r="H123" s="170">
        <f>INDEX(Calc_EnviroVEU_1[[Ausnet]:[United Energy]],MATCH($D123,Calc_EnviroVEU_1[Cost item],0),MATCH(H$90,Calc_EnviroVEU_1[[#Headers],[Ausnet]:[United Energy]],0))*$G$81</f>
        <v>238.90773715912232</v>
      </c>
      <c r="I123" s="170">
        <f>INDEX(Calc_EnviroVEU_1[[Ausnet]:[United Energy]],MATCH($D123,Calc_EnviroVEU_1[Cost item],0),MATCH(I$90,Calc_EnviroVEU_1[[#Headers],[Ausnet]:[United Energy]],0))*$G$81</f>
        <v>238.90773715912232</v>
      </c>
      <c r="J123" s="170">
        <f>INDEX(Calc_EnviroVEU_1[[Ausnet]:[United Energy]],MATCH($D123,Calc_EnviroVEU_1[Cost item],0),MATCH(J$90,Calc_EnviroVEU_1[[#Headers],[Ausnet]:[United Energy]],0))*$G$81</f>
        <v>238.90773715912232</v>
      </c>
      <c r="K123" s="170">
        <f>INDEX(Calc_EnviroVEU_1[[Ausnet]:[United Energy]],MATCH($D123,Calc_EnviroVEU_1[Cost item],0),MATCH(K$90,Calc_EnviroVEU_1[[#Headers],[Ausnet]:[United Energy]],0))*$G$81</f>
        <v>238.90773715912232</v>
      </c>
      <c r="L123" s="170">
        <f>INDEX(Calc_EnviroVEU_1[[Ausnet]:[United Energy]],MATCH($D123,Calc_EnviroVEU_1[Cost item],0),MATCH(L$90,Calc_EnviroVEU_1[[#Headers],[Ausnet]:[United Energy]],0))*$G$81</f>
        <v>238.90773715912232</v>
      </c>
      <c r="N123" s="170">
        <f t="shared" ref="N123:N125" si="228">AVERAGE(O123:S123)</f>
        <v>196.49758736305179</v>
      </c>
      <c r="O123" s="170">
        <f>INDEX(Calc_EnviroVEU_2[[Ausnet]:[United Energy]],MATCH($D123,Calc_EnviroVEU_2[Cost item],0),MATCH(O$90,Calc_EnviroVEU_2[[#Headers],[Ausnet]:[United Energy]],0))*$N$81</f>
        <v>196.49758736305179</v>
      </c>
      <c r="P123" s="170">
        <f>INDEX(Calc_EnviroVEU_2[[Ausnet]:[United Energy]],MATCH($D123,Calc_EnviroVEU_2[Cost item],0),MATCH(P$90,Calc_EnviroVEU_2[[#Headers],[Ausnet]:[United Energy]],0))*$N$81</f>
        <v>196.49758736305179</v>
      </c>
      <c r="Q123" s="170">
        <f>INDEX(Calc_EnviroVEU_2[[Ausnet]:[United Energy]],MATCH($D123,Calc_EnviroVEU_2[Cost item],0),MATCH(Q$90,Calc_EnviroVEU_2[[#Headers],[Ausnet]:[United Energy]],0))*$N$81</f>
        <v>196.49758736305179</v>
      </c>
      <c r="R123" s="170">
        <f>INDEX(Calc_EnviroVEU_2[[Ausnet]:[United Energy]],MATCH($D123,Calc_EnviroVEU_2[Cost item],0),MATCH(R$90,Calc_EnviroVEU_2[[#Headers],[Ausnet]:[United Energy]],0))*$N$81</f>
        <v>196.49758736305179</v>
      </c>
      <c r="S123" s="170">
        <f>INDEX(Calc_EnviroVEU_2[[Ausnet]:[United Energy]],MATCH($D123,Calc_EnviroVEU_2[Cost item],0),MATCH(S$90,Calc_EnviroVEU_2[[#Headers],[Ausnet]:[United Energy]],0))*$N$81</f>
        <v>196.49758736305179</v>
      </c>
      <c r="U123" s="170">
        <f t="shared" ref="U123:Z125" si="229">IFERROR(N123-G123,"-")</f>
        <v>-42.410149796070527</v>
      </c>
      <c r="V123" s="170">
        <f t="shared" si="229"/>
        <v>-42.410149796070527</v>
      </c>
      <c r="W123" s="170">
        <f t="shared" si="229"/>
        <v>-42.410149796070527</v>
      </c>
      <c r="X123" s="170">
        <f t="shared" si="229"/>
        <v>-42.410149796070527</v>
      </c>
      <c r="Y123" s="170">
        <f t="shared" si="229"/>
        <v>-42.410149796070527</v>
      </c>
      <c r="Z123" s="170">
        <f t="shared" si="229"/>
        <v>-42.410149796070527</v>
      </c>
      <c r="AB123" s="268">
        <f>IFERROR(U123/G$92,"-")</f>
        <v>-7.8204222378887196E-3</v>
      </c>
      <c r="AC123" s="268">
        <f t="shared" ref="AC123:AG125" si="230">IFERROR(V123/H$92,"-")</f>
        <v>-6.0559974005526956E-3</v>
      </c>
      <c r="AD123" s="268">
        <f t="shared" si="230"/>
        <v>-8.8280911315717168E-3</v>
      </c>
      <c r="AE123" s="268">
        <f t="shared" si="230"/>
        <v>-7.8858590174917306E-3</v>
      </c>
      <c r="AF123" s="268">
        <f t="shared" si="230"/>
        <v>-8.3880834248557211E-3</v>
      </c>
      <c r="AG123" s="268">
        <f t="shared" si="230"/>
        <v>-8.7048747528880397E-3</v>
      </c>
      <c r="AI123" s="300"/>
    </row>
    <row r="124" spans="3:35" outlineLevel="1" x14ac:dyDescent="0.25">
      <c r="C124" t="s">
        <v>151</v>
      </c>
      <c r="D124" s="223" t="s">
        <v>309</v>
      </c>
      <c r="E124" s="59" t="s">
        <v>130</v>
      </c>
      <c r="G124" s="170">
        <f t="shared" si="227"/>
        <v>150.16383999999999</v>
      </c>
      <c r="H124" s="170">
        <f>INDEX(Calc_EnviroLRET_1[[Ausnet]:[United Energy]],MATCH($D124,Calc_EnviroLRET_1[Cost item],0),MATCH(H$90,Calc_EnviroLRET_1[[#Headers],[Ausnet]:[United Energy]],0))*$G$81</f>
        <v>150.16383999999999</v>
      </c>
      <c r="I124" s="170">
        <f>INDEX(Calc_EnviroLRET_1[[Ausnet]:[United Energy]],MATCH($D124,Calc_EnviroLRET_1[Cost item],0),MATCH(I$90,Calc_EnviroLRET_1[[#Headers],[Ausnet]:[United Energy]],0))*$G$81</f>
        <v>150.16383999999999</v>
      </c>
      <c r="J124" s="170">
        <f>INDEX(Calc_EnviroLRET_1[[Ausnet]:[United Energy]],MATCH($D124,Calc_EnviroLRET_1[Cost item],0),MATCH(J$90,Calc_EnviroLRET_1[[#Headers],[Ausnet]:[United Energy]],0))*$G$81</f>
        <v>150.16383999999999</v>
      </c>
      <c r="K124" s="170">
        <f>INDEX(Calc_EnviroLRET_1[[Ausnet]:[United Energy]],MATCH($D124,Calc_EnviroLRET_1[Cost item],0),MATCH(K$90,Calc_EnviroLRET_1[[#Headers],[Ausnet]:[United Energy]],0))*$G$81</f>
        <v>150.16383999999999</v>
      </c>
      <c r="L124" s="170">
        <f>INDEX(Calc_EnviroLRET_1[[Ausnet]:[United Energy]],MATCH($D124,Calc_EnviroLRET_1[Cost item],0),MATCH(L$90,Calc_EnviroLRET_1[[#Headers],[Ausnet]:[United Energy]],0))*$G$81</f>
        <v>150.16383999999999</v>
      </c>
      <c r="N124" s="170">
        <f t="shared" si="228"/>
        <v>127.70351999999998</v>
      </c>
      <c r="O124" s="170">
        <f>INDEX(Calc_EnviroLRET_2[[Ausnet]:[United Energy]],MATCH($D124,Calc_EnviroLRET_2[Cost item],0),MATCH(O$90,Calc_EnviroLRET_2[[#Headers],[Ausnet]:[United Energy]],0))*$N$81</f>
        <v>127.70351999999998</v>
      </c>
      <c r="P124" s="170">
        <f>INDEX(Calc_EnviroLRET_2[[Ausnet]:[United Energy]],MATCH($D124,Calc_EnviroLRET_2[Cost item],0),MATCH(P$90,Calc_EnviroLRET_2[[#Headers],[Ausnet]:[United Energy]],0))*$N$81</f>
        <v>127.70351999999998</v>
      </c>
      <c r="Q124" s="170">
        <f>INDEX(Calc_EnviroLRET_2[[Ausnet]:[United Energy]],MATCH($D124,Calc_EnviroLRET_2[Cost item],0),MATCH(Q$90,Calc_EnviroLRET_2[[#Headers],[Ausnet]:[United Energy]],0))*$N$81</f>
        <v>127.70351999999998</v>
      </c>
      <c r="R124" s="170">
        <f>INDEX(Calc_EnviroLRET_2[[Ausnet]:[United Energy]],MATCH($D124,Calc_EnviroLRET_2[Cost item],0),MATCH(R$90,Calc_EnviroLRET_2[[#Headers],[Ausnet]:[United Energy]],0))*$N$81</f>
        <v>127.70351999999998</v>
      </c>
      <c r="S124" s="170">
        <f>INDEX(Calc_EnviroLRET_2[[Ausnet]:[United Energy]],MATCH($D124,Calc_EnviroLRET_2[Cost item],0),MATCH(S$90,Calc_EnviroLRET_2[[#Headers],[Ausnet]:[United Energy]],0))*$N$81</f>
        <v>127.70351999999998</v>
      </c>
      <c r="U124" s="170">
        <f t="shared" si="229"/>
        <v>-22.46032000000001</v>
      </c>
      <c r="V124" s="170">
        <f t="shared" si="229"/>
        <v>-22.46032000000001</v>
      </c>
      <c r="W124" s="170">
        <f t="shared" si="229"/>
        <v>-22.46032000000001</v>
      </c>
      <c r="X124" s="170">
        <f t="shared" si="229"/>
        <v>-22.46032000000001</v>
      </c>
      <c r="Y124" s="170">
        <f t="shared" si="229"/>
        <v>-22.46032000000001</v>
      </c>
      <c r="Z124" s="170">
        <f t="shared" si="229"/>
        <v>-22.46032000000001</v>
      </c>
      <c r="AB124" s="268">
        <f>IFERROR(U124/G$92,"-")</f>
        <v>-4.1416780379863564E-3</v>
      </c>
      <c r="AC124" s="268">
        <f t="shared" si="230"/>
        <v>-3.2072426103098685E-3</v>
      </c>
      <c r="AD124" s="268">
        <f t="shared" si="230"/>
        <v>-4.6753372189841822E-3</v>
      </c>
      <c r="AE124" s="268">
        <f t="shared" si="230"/>
        <v>-4.1763332093715157E-3</v>
      </c>
      <c r="AF124" s="268">
        <f t="shared" si="230"/>
        <v>-4.4423101265822808E-3</v>
      </c>
      <c r="AG124" s="268">
        <f t="shared" si="230"/>
        <v>-4.610082101806242E-3</v>
      </c>
      <c r="AI124" s="300"/>
    </row>
    <row r="125" spans="3:35" outlineLevel="1" x14ac:dyDescent="0.25">
      <c r="C125" t="s">
        <v>151</v>
      </c>
      <c r="D125" s="59" t="s">
        <v>311</v>
      </c>
      <c r="E125" s="59" t="s">
        <v>130</v>
      </c>
      <c r="G125" s="170">
        <f t="shared" si="227"/>
        <v>198.4</v>
      </c>
      <c r="H125" s="170">
        <f>INDEX(Calc_EnviroSRES_1[[Ausnet]:[United Energy]],MATCH($D125,Calc_EnviroSRES_1[Cost item],0),MATCH(H$90,Calc_EnviroSRES_1[[#Headers],[Ausnet]:[United Energy]],0))*$G$81</f>
        <v>198.4</v>
      </c>
      <c r="I125" s="170">
        <f>INDEX(Calc_EnviroSRES_1[[Ausnet]:[United Energy]],MATCH($D125,Calc_EnviroSRES_1[Cost item],0),MATCH(I$90,Calc_EnviroSRES_1[[#Headers],[Ausnet]:[United Energy]],0))*$G$81</f>
        <v>198.4</v>
      </c>
      <c r="J125" s="170">
        <f>INDEX(Calc_EnviroSRES_1[[Ausnet]:[United Energy]],MATCH($D125,Calc_EnviroSRES_1[Cost item],0),MATCH(J$90,Calc_EnviroSRES_1[[#Headers],[Ausnet]:[United Energy]],0))*$G$81</f>
        <v>198.4</v>
      </c>
      <c r="K125" s="170">
        <f>INDEX(Calc_EnviroSRES_1[[Ausnet]:[United Energy]],MATCH($D125,Calc_EnviroSRES_1[Cost item],0),MATCH(K$90,Calc_EnviroSRES_1[[#Headers],[Ausnet]:[United Energy]],0))*$G$81</f>
        <v>198.4</v>
      </c>
      <c r="L125" s="170">
        <f>INDEX(Calc_EnviroSRES_1[[Ausnet]:[United Energy]],MATCH($D125,Calc_EnviroSRES_1[Cost item],0),MATCH(L$90,Calc_EnviroSRES_1[[#Headers],[Ausnet]:[United Energy]],0))*$G$81</f>
        <v>198.4</v>
      </c>
      <c r="N125" s="170">
        <f t="shared" si="228"/>
        <v>204.8</v>
      </c>
      <c r="O125" s="170">
        <f>INDEX(Calc_EnviroSRES_2[[Ausnet]:[United Energy]],MATCH($D125,Calc_EnviroSRES_2[Cost item],0),MATCH(O$90,Calc_EnviroSRES_2[[#Headers],[Ausnet]:[United Energy]],0))*$N$81</f>
        <v>204.8</v>
      </c>
      <c r="P125" s="170">
        <f>INDEX(Calc_EnviroSRES_2[[Ausnet]:[United Energy]],MATCH($D125,Calc_EnviroSRES_2[Cost item],0),MATCH(P$90,Calc_EnviroSRES_2[[#Headers],[Ausnet]:[United Energy]],0))*$N$81</f>
        <v>204.8</v>
      </c>
      <c r="Q125" s="170">
        <f>INDEX(Calc_EnviroSRES_2[[Ausnet]:[United Energy]],MATCH($D125,Calc_EnviroSRES_2[Cost item],0),MATCH(Q$90,Calc_EnviroSRES_2[[#Headers],[Ausnet]:[United Energy]],0))*$N$81</f>
        <v>204.8</v>
      </c>
      <c r="R125" s="170">
        <f>INDEX(Calc_EnviroSRES_2[[Ausnet]:[United Energy]],MATCH($D125,Calc_EnviroSRES_2[Cost item],0),MATCH(R$90,Calc_EnviroSRES_2[[#Headers],[Ausnet]:[United Energy]],0))*$N$81</f>
        <v>204.8</v>
      </c>
      <c r="S125" s="170">
        <f>INDEX(Calc_EnviroSRES_2[[Ausnet]:[United Energy]],MATCH($D125,Calc_EnviroSRES_2[Cost item],0),MATCH(S$90,Calc_EnviroSRES_2[[#Headers],[Ausnet]:[United Energy]],0))*$N$81</f>
        <v>204.8</v>
      </c>
      <c r="U125" s="170">
        <f t="shared" si="229"/>
        <v>6.4000000000000057</v>
      </c>
      <c r="V125" s="170">
        <f t="shared" si="229"/>
        <v>6.4000000000000057</v>
      </c>
      <c r="W125" s="170">
        <f t="shared" si="229"/>
        <v>6.4000000000000057</v>
      </c>
      <c r="X125" s="170">
        <f t="shared" si="229"/>
        <v>6.4000000000000057</v>
      </c>
      <c r="Y125" s="170">
        <f t="shared" si="229"/>
        <v>6.4000000000000057</v>
      </c>
      <c r="Z125" s="170">
        <f t="shared" si="229"/>
        <v>6.4000000000000057</v>
      </c>
      <c r="AB125" s="268">
        <f>IFERROR(U125/G$92,"-")</f>
        <v>1.1801585838097004E-3</v>
      </c>
      <c r="AC125" s="268">
        <f t="shared" si="230"/>
        <v>9.1389404540911121E-4</v>
      </c>
      <c r="AD125" s="268">
        <f t="shared" si="230"/>
        <v>1.3322231473771868E-3</v>
      </c>
      <c r="AE125" s="268">
        <f t="shared" si="230"/>
        <v>1.190033469691336E-3</v>
      </c>
      <c r="AF125" s="268">
        <f t="shared" si="230"/>
        <v>1.2658227848101277E-3</v>
      </c>
      <c r="AG125" s="268">
        <f t="shared" si="230"/>
        <v>1.3136288998357975E-3</v>
      </c>
      <c r="AI125" s="300"/>
    </row>
    <row r="126" spans="3:35" outlineLevel="1" x14ac:dyDescent="0.25">
      <c r="AB126" s="122"/>
      <c r="AC126" s="122"/>
      <c r="AD126" s="122"/>
      <c r="AE126" s="122"/>
      <c r="AF126" s="122"/>
      <c r="AG126" s="122"/>
      <c r="AI126" s="300"/>
    </row>
    <row r="127" spans="3:35" outlineLevel="1" x14ac:dyDescent="0.25">
      <c r="AB127" s="122"/>
      <c r="AC127" s="122"/>
      <c r="AD127" s="122"/>
      <c r="AE127" s="122"/>
      <c r="AF127" s="122"/>
      <c r="AG127" s="122"/>
      <c r="AI127" s="300"/>
    </row>
    <row r="128" spans="3:35" outlineLevel="1" x14ac:dyDescent="0.25">
      <c r="C128" t="s">
        <v>121</v>
      </c>
      <c r="D128" t="s">
        <v>707</v>
      </c>
      <c r="E128" s="59" t="s">
        <v>130</v>
      </c>
      <c r="G128" s="170">
        <f>AVERAGE((H129+H130),I131,J131,K131,L131)</f>
        <v>2198.926704</v>
      </c>
      <c r="N128" s="170">
        <f>AVERAGE((O129+O130),P131,Q131,R131,S131)</f>
        <v>2198.926704</v>
      </c>
      <c r="U128" s="170">
        <f t="shared" ref="U128:Z131" si="231">IFERROR(N128-G128,"-")</f>
        <v>0</v>
      </c>
      <c r="V128" s="170">
        <f t="shared" si="231"/>
        <v>0</v>
      </c>
      <c r="W128" s="170">
        <f t="shared" si="231"/>
        <v>0</v>
      </c>
      <c r="X128" s="170">
        <f t="shared" si="231"/>
        <v>0</v>
      </c>
      <c r="Y128" s="170">
        <f t="shared" si="231"/>
        <v>0</v>
      </c>
      <c r="Z128" s="170">
        <f t="shared" si="231"/>
        <v>0</v>
      </c>
      <c r="AB128" s="268">
        <f>IFERROR(U128/G$92,"-")</f>
        <v>0</v>
      </c>
      <c r="AC128" s="268">
        <f t="shared" ref="AC128:AG131" si="232">IFERROR(V128/H$92,"-")</f>
        <v>0</v>
      </c>
      <c r="AD128" s="268">
        <f t="shared" si="232"/>
        <v>0</v>
      </c>
      <c r="AE128" s="268">
        <f t="shared" si="232"/>
        <v>0</v>
      </c>
      <c r="AF128" s="268">
        <f t="shared" si="232"/>
        <v>0</v>
      </c>
      <c r="AG128" s="268">
        <f t="shared" si="232"/>
        <v>0</v>
      </c>
      <c r="AI128" s="300"/>
    </row>
    <row r="129" spans="3:35" outlineLevel="1" x14ac:dyDescent="0.25">
      <c r="D129" s="59" t="s">
        <v>221</v>
      </c>
      <c r="E129" s="59" t="s">
        <v>130</v>
      </c>
      <c r="G129" s="170">
        <f t="shared" ref="G129:G131" si="233">AVERAGE(H129:L129)</f>
        <v>126.79497599999999</v>
      </c>
      <c r="H129" s="170" cm="1">
        <f t="array" ref="H129">IFERROR(
INDEX(Calc_NetworkV_1[[Ausnet]:[United Energy]],
MATCH(1,(Calc_NetworkV_1[[Cost item]:[Cost item]]=$D129)*(Calc_NetworkV_1[[Customer type]:[Customer type]]=$E$79),0),
MATCH(H$90,Calc_NetworkV_1[[#Headers],[Ausnet]:[United Energy]],0))*
INDEX($G$81:$G$84,MATCH(IF($D129="Single rate","Annual",$D129),$F$81:$F$84,0),1),0)</f>
        <v>633.97487999999998</v>
      </c>
      <c r="I129" s="170" cm="1">
        <f t="array" ref="I129">IFERROR(
INDEX(Calc_NetworkV_1[[Ausnet]:[United Energy]],
MATCH(1,(Calc_NetworkV_1[[Cost item]:[Cost item]]=$D129)*(Calc_NetworkV_1[[Customer type]:[Customer type]]=$E$79),0),
MATCH(I$90,Calc_NetworkV_1[[#Headers],[Ausnet]:[United Energy]],0))*
INDEX($G$81:$G$84,MATCH(IF($D129="Single rate","Annual",$D129),$F$81:$F$84,0),1),0)</f>
        <v>0</v>
      </c>
      <c r="J129" s="170" cm="1">
        <f t="array" ref="J129">IFERROR(
INDEX(Calc_NetworkV_1[[Ausnet]:[United Energy]],
MATCH(1,(Calc_NetworkV_1[[Cost item]:[Cost item]]=$D129)*(Calc_NetworkV_1[[Customer type]:[Customer type]]=$E$79),0),
MATCH(J$90,Calc_NetworkV_1[[#Headers],[Ausnet]:[United Energy]],0))*
INDEX($G$81:$G$84,MATCH(IF($D129="Single rate","Annual",$D129),$F$81:$F$84,0),1),0)</f>
        <v>0</v>
      </c>
      <c r="K129" s="170" cm="1">
        <f t="array" ref="K129">IFERROR(
INDEX(Calc_NetworkV_1[[Ausnet]:[United Energy]],
MATCH(1,(Calc_NetworkV_1[[Cost item]:[Cost item]]=$D129)*(Calc_NetworkV_1[[Customer type]:[Customer type]]=$E$79),0),
MATCH(K$90,Calc_NetworkV_1[[#Headers],[Ausnet]:[United Energy]],0))*
INDEX($G$81:$G$84,MATCH(IF($D129="Single rate","Annual",$D129),$F$81:$F$84,0),1),0)</f>
        <v>0</v>
      </c>
      <c r="L129" s="170" cm="1">
        <f t="array" ref="L129">IFERROR(
INDEX(Calc_NetworkV_1[[Ausnet]:[United Energy]],
MATCH(1,(Calc_NetworkV_1[[Cost item]:[Cost item]]=$D129)*(Calc_NetworkV_1[[Customer type]:[Customer type]]=$E$79),0),
MATCH(L$90,Calc_NetworkV_1[[#Headers],[Ausnet]:[United Energy]],0))*
INDEX($G$81:$G$84,MATCH(IF($D129="Single rate","Annual",$D129),$F$81:$F$84,0),1),0)</f>
        <v>0</v>
      </c>
      <c r="N129" s="170">
        <f t="shared" ref="N129:N131" si="234">AVERAGE(O129:S129)</f>
        <v>126.79497599999999</v>
      </c>
      <c r="O129" s="170" cm="1">
        <f t="array" ref="O129">IFERROR(
INDEX(Calc_NetworkV_2[[Ausnet]:[United Energy]],
MATCH(1,(Calc_NetworkV_2[[Cost item]:[Cost item]]=$D129)*(Calc_NetworkV_2[[Customer type]:[Customer type]]=$E$79),0),
MATCH(O$90,Calc_NetworkV_2[[#Headers],[Ausnet]:[United Energy]],0))*
INDEX($N$81:$N$84,MATCH(IF($D129="Single rate","Annual",$D129),$F$81:$F$84,0),1),0)</f>
        <v>633.97487999999998</v>
      </c>
      <c r="P129" s="170" cm="1">
        <f t="array" ref="P129">IFERROR(
INDEX(Calc_NetworkV_2[[Ausnet]:[United Energy]],
MATCH(1,(Calc_NetworkV_2[[Cost item]:[Cost item]]=$D129)*(Calc_NetworkV_2[[Customer type]:[Customer type]]=$E$79),0),
MATCH(P$90,Calc_NetworkV_2[[#Headers],[Ausnet]:[United Energy]],0))*
INDEX($N$81:$N$84,MATCH(IF($D129="Single rate","Annual",$D129),$F$81:$F$84,0),1),0)</f>
        <v>0</v>
      </c>
      <c r="Q129" s="170" cm="1">
        <f t="array" ref="Q129">IFERROR(
INDEX(Calc_NetworkV_2[[Ausnet]:[United Energy]],
MATCH(1,(Calc_NetworkV_2[[Cost item]:[Cost item]]=$D129)*(Calc_NetworkV_2[[Customer type]:[Customer type]]=$E$79),0),
MATCH(Q$90,Calc_NetworkV_2[[#Headers],[Ausnet]:[United Energy]],0))*
INDEX($N$81:$N$84,MATCH(IF($D129="Single rate","Annual",$D129),$F$81:$F$84,0),1),0)</f>
        <v>0</v>
      </c>
      <c r="R129" s="170" cm="1">
        <f t="array" ref="R129">IFERROR(
INDEX(Calc_NetworkV_2[[Ausnet]:[United Energy]],
MATCH(1,(Calc_NetworkV_2[[Cost item]:[Cost item]]=$D129)*(Calc_NetworkV_2[[Customer type]:[Customer type]]=$E$79),0),
MATCH(R$90,Calc_NetworkV_2[[#Headers],[Ausnet]:[United Energy]],0))*
INDEX($N$81:$N$84,MATCH(IF($D129="Single rate","Annual",$D129),$F$81:$F$84,0),1),0)</f>
        <v>0</v>
      </c>
      <c r="S129" s="170" cm="1">
        <f t="array" ref="S129">IFERROR(
INDEX(Calc_NetworkV_2[[Ausnet]:[United Energy]],
MATCH(1,(Calc_NetworkV_2[[Cost item]:[Cost item]]=$D129)*(Calc_NetworkV_2[[Customer type]:[Customer type]]=$E$79),0),
MATCH(S$90,Calc_NetworkV_2[[#Headers],[Ausnet]:[United Energy]],0))*
INDEX($N$81:$N$84,MATCH(IF($D129="Single rate","Annual",$D129),$F$81:$F$84,0),1),0)</f>
        <v>0</v>
      </c>
      <c r="U129" s="170">
        <f t="shared" si="231"/>
        <v>0</v>
      </c>
      <c r="V129" s="170">
        <f t="shared" si="231"/>
        <v>0</v>
      </c>
      <c r="W129" s="170">
        <f t="shared" si="231"/>
        <v>0</v>
      </c>
      <c r="X129" s="170">
        <f t="shared" si="231"/>
        <v>0</v>
      </c>
      <c r="Y129" s="170">
        <f t="shared" si="231"/>
        <v>0</v>
      </c>
      <c r="Z129" s="170">
        <f t="shared" si="231"/>
        <v>0</v>
      </c>
      <c r="AB129" s="268">
        <f>IFERROR(U129/G$92,"-")</f>
        <v>0</v>
      </c>
      <c r="AC129" s="268">
        <f t="shared" si="232"/>
        <v>0</v>
      </c>
      <c r="AD129" s="268">
        <f t="shared" si="232"/>
        <v>0</v>
      </c>
      <c r="AE129" s="268">
        <f t="shared" si="232"/>
        <v>0</v>
      </c>
      <c r="AF129" s="268">
        <f t="shared" si="232"/>
        <v>0</v>
      </c>
      <c r="AG129" s="268">
        <f t="shared" si="232"/>
        <v>0</v>
      </c>
      <c r="AI129" s="300"/>
    </row>
    <row r="130" spans="3:35" outlineLevel="1" x14ac:dyDescent="0.25">
      <c r="D130" s="59" t="s">
        <v>228</v>
      </c>
      <c r="E130" s="59" t="s">
        <v>130</v>
      </c>
      <c r="G130" s="170">
        <f t="shared" si="233"/>
        <v>581.61172799999997</v>
      </c>
      <c r="H130" s="170" cm="1">
        <f t="array" ref="H130">IFERROR(
INDEX(Calc_NetworkV_1[[Ausnet]:[United Energy]],
MATCH(1,(Calc_NetworkV_1[[Cost item]:[Cost item]]=$D130)*(Calc_NetworkV_1[[Customer type]:[Customer type]]=$E$79),0),
MATCH(H$90,Calc_NetworkV_1[[#Headers],[Ausnet]:[United Energy]],0))*
INDEX($G$81:$G$84,MATCH(IF($D130="Single rate","Annual",$D130),$F$81:$F$84,0),1),0)</f>
        <v>2908.0586399999997</v>
      </c>
      <c r="I130" s="170" cm="1">
        <f t="array" ref="I130">IFERROR(
INDEX(Calc_NetworkV_1[[Ausnet]:[United Energy]],
MATCH(1,(Calc_NetworkV_1[[Cost item]:[Cost item]]=$D130)*(Calc_NetworkV_1[[Customer type]:[Customer type]]=$E$79),0),
MATCH(I$90,Calc_NetworkV_1[[#Headers],[Ausnet]:[United Energy]],0))*
INDEX($G$81:$G$84,MATCH(IF($D130="Single rate","Annual",$D130),$F$81:$F$84,0),1),0)</f>
        <v>0</v>
      </c>
      <c r="J130" s="170" cm="1">
        <f t="array" ref="J130">IFERROR(
INDEX(Calc_NetworkV_1[[Ausnet]:[United Energy]],
MATCH(1,(Calc_NetworkV_1[[Cost item]:[Cost item]]=$D130)*(Calc_NetworkV_1[[Customer type]:[Customer type]]=$E$79),0),
MATCH(J$90,Calc_NetworkV_1[[#Headers],[Ausnet]:[United Energy]],0))*
INDEX($G$81:$G$84,MATCH(IF($D130="Single rate","Annual",$D130),$F$81:$F$84,0),1),0)</f>
        <v>0</v>
      </c>
      <c r="K130" s="170" cm="1">
        <f t="array" ref="K130">IFERROR(
INDEX(Calc_NetworkV_1[[Ausnet]:[United Energy]],
MATCH(1,(Calc_NetworkV_1[[Cost item]:[Cost item]]=$D130)*(Calc_NetworkV_1[[Customer type]:[Customer type]]=$E$79),0),
MATCH(K$90,Calc_NetworkV_1[[#Headers],[Ausnet]:[United Energy]],0))*
INDEX($G$81:$G$84,MATCH(IF($D130="Single rate","Annual",$D130),$F$81:$F$84,0),1),0)</f>
        <v>0</v>
      </c>
      <c r="L130" s="170" cm="1">
        <f t="array" ref="L130">IFERROR(
INDEX(Calc_NetworkV_1[[Ausnet]:[United Energy]],
MATCH(1,(Calc_NetworkV_1[[Cost item]:[Cost item]]=$D130)*(Calc_NetworkV_1[[Customer type]:[Customer type]]=$E$79),0),
MATCH(L$90,Calc_NetworkV_1[[#Headers],[Ausnet]:[United Energy]],0))*
INDEX($G$81:$G$84,MATCH(IF($D130="Single rate","Annual",$D130),$F$81:$F$84,0),1),0)</f>
        <v>0</v>
      </c>
      <c r="N130" s="170">
        <f t="shared" si="234"/>
        <v>581.61172799999997</v>
      </c>
      <c r="O130" s="170" cm="1">
        <f t="array" ref="O130">IFERROR(
INDEX(Calc_NetworkV_2[[Ausnet]:[United Energy]],
MATCH(1,(Calc_NetworkV_2[[Cost item]:[Cost item]]=$D130)*(Calc_NetworkV_2[[Customer type]:[Customer type]]=$E$79),0),
MATCH(O$90,Calc_NetworkV_2[[#Headers],[Ausnet]:[United Energy]],0))*
INDEX($N$81:$N$84,MATCH(IF($D130="Single rate","Annual",$D130),$F$81:$F$84,0),1),0)</f>
        <v>2908.0586399999997</v>
      </c>
      <c r="P130" s="170" cm="1">
        <f t="array" ref="P130">IFERROR(
INDEX(Calc_NetworkV_2[[Ausnet]:[United Energy]],
MATCH(1,(Calc_NetworkV_2[[Cost item]:[Cost item]]=$D130)*(Calc_NetworkV_2[[Customer type]:[Customer type]]=$E$79),0),
MATCH(P$90,Calc_NetworkV_2[[#Headers],[Ausnet]:[United Energy]],0))*
INDEX($N$81:$N$84,MATCH(IF($D130="Single rate","Annual",$D130),$F$81:$F$84,0),1),0)</f>
        <v>0</v>
      </c>
      <c r="Q130" s="170" cm="1">
        <f t="array" ref="Q130">IFERROR(
INDEX(Calc_NetworkV_2[[Ausnet]:[United Energy]],
MATCH(1,(Calc_NetworkV_2[[Cost item]:[Cost item]]=$D130)*(Calc_NetworkV_2[[Customer type]:[Customer type]]=$E$79),0),
MATCH(Q$90,Calc_NetworkV_2[[#Headers],[Ausnet]:[United Energy]],0))*
INDEX($N$81:$N$84,MATCH(IF($D130="Single rate","Annual",$D130),$F$81:$F$84,0),1),0)</f>
        <v>0</v>
      </c>
      <c r="R130" s="170" cm="1">
        <f t="array" ref="R130">IFERROR(
INDEX(Calc_NetworkV_2[[Ausnet]:[United Energy]],
MATCH(1,(Calc_NetworkV_2[[Cost item]:[Cost item]]=$D130)*(Calc_NetworkV_2[[Customer type]:[Customer type]]=$E$79),0),
MATCH(R$90,Calc_NetworkV_2[[#Headers],[Ausnet]:[United Energy]],0))*
INDEX($N$81:$N$84,MATCH(IF($D130="Single rate","Annual",$D130),$F$81:$F$84,0),1),0)</f>
        <v>0</v>
      </c>
      <c r="S130" s="170" cm="1">
        <f t="array" ref="S130">IFERROR(
INDEX(Calc_NetworkV_2[[Ausnet]:[United Energy]],
MATCH(1,(Calc_NetworkV_2[[Cost item]:[Cost item]]=$D130)*(Calc_NetworkV_2[[Customer type]:[Customer type]]=$E$79),0),
MATCH(S$90,Calc_NetworkV_2[[#Headers],[Ausnet]:[United Energy]],0))*
INDEX($N$81:$N$84,MATCH(IF($D130="Single rate","Annual",$D130),$F$81:$F$84,0),1),0)</f>
        <v>0</v>
      </c>
      <c r="U130" s="170">
        <f t="shared" si="231"/>
        <v>0</v>
      </c>
      <c r="V130" s="170">
        <f t="shared" si="231"/>
        <v>0</v>
      </c>
      <c r="W130" s="170">
        <f t="shared" si="231"/>
        <v>0</v>
      </c>
      <c r="X130" s="170">
        <f t="shared" si="231"/>
        <v>0</v>
      </c>
      <c r="Y130" s="170">
        <f t="shared" si="231"/>
        <v>0</v>
      </c>
      <c r="Z130" s="170">
        <f t="shared" si="231"/>
        <v>0</v>
      </c>
      <c r="AB130" s="268">
        <f>IFERROR(U130/G$92,"-")</f>
        <v>0</v>
      </c>
      <c r="AC130" s="268">
        <f t="shared" si="232"/>
        <v>0</v>
      </c>
      <c r="AD130" s="268">
        <f t="shared" si="232"/>
        <v>0</v>
      </c>
      <c r="AE130" s="268">
        <f t="shared" si="232"/>
        <v>0</v>
      </c>
      <c r="AF130" s="268">
        <f t="shared" si="232"/>
        <v>0</v>
      </c>
      <c r="AG130" s="268">
        <f t="shared" si="232"/>
        <v>0</v>
      </c>
      <c r="AI130" s="300"/>
    </row>
    <row r="131" spans="3:35" outlineLevel="1" x14ac:dyDescent="0.25">
      <c r="D131" s="59" t="s">
        <v>549</v>
      </c>
      <c r="E131" s="59" t="s">
        <v>130</v>
      </c>
      <c r="G131" s="170">
        <f t="shared" si="233"/>
        <v>1490.52</v>
      </c>
      <c r="H131" s="170" cm="1">
        <f t="array" ref="H131">IFERROR(
INDEX(Calc_NetworkV_1[[Ausnet]:[United Energy]],
MATCH(1,(Calc_NetworkV_1[[Cost item]:[Cost item]]=$D131)*(Calc_NetworkV_1[[Customer type]:[Customer type]]=$E$79),0),
MATCH(H$90,Calc_NetworkV_1[[#Headers],[Ausnet]:[United Energy]],0))*
INDEX($G$81:$G$84,MATCH(IF($D131="Single rate","Annual",$D131),$F$81:$F$84,0),1),0)</f>
        <v>0</v>
      </c>
      <c r="I131" s="170" cm="1">
        <f t="array" ref="I131">IFERROR(
INDEX(Calc_NetworkV_1[[Ausnet]:[United Energy]],
MATCH(1,(Calc_NetworkV_1[[Cost item]:[Cost item]]=$D131)*(Calc_NetworkV_1[[Customer type]:[Customer type]]=$E$79),0),
MATCH(I$90,Calc_NetworkV_1[[#Headers],[Ausnet]:[United Energy]],0))*
INDEX($G$81:$G$84,MATCH(IF($D131="Single rate","Annual",$D131),$F$81:$F$84,0),1),0)</f>
        <v>1642.0000000000002</v>
      </c>
      <c r="J131" s="170" cm="1">
        <f t="array" ref="J131">IFERROR(
INDEX(Calc_NetworkV_1[[Ausnet]:[United Energy]],
MATCH(1,(Calc_NetworkV_1[[Cost item]:[Cost item]]=$D131)*(Calc_NetworkV_1[[Customer type]:[Customer type]]=$E$79),0),
MATCH(J$90,Calc_NetworkV_1[[#Headers],[Ausnet]:[United Energy]],0))*
INDEX($G$81:$G$84,MATCH(IF($D131="Single rate","Annual",$D131),$F$81:$F$84,0),1),0)</f>
        <v>2194.6000000000004</v>
      </c>
      <c r="K131" s="170" cm="1">
        <f t="array" ref="K131">IFERROR(
INDEX(Calc_NetworkV_1[[Ausnet]:[United Energy]],
MATCH(1,(Calc_NetworkV_1[[Cost item]:[Cost item]]=$D131)*(Calc_NetworkV_1[[Customer type]:[Customer type]]=$E$79),0),
MATCH(K$90,Calc_NetworkV_1[[#Headers],[Ausnet]:[United Energy]],0))*
INDEX($G$81:$G$84,MATCH(IF($D131="Single rate","Annual",$D131),$F$81:$F$84,0),1),0)</f>
        <v>1858</v>
      </c>
      <c r="L131" s="170" cm="1">
        <f t="array" ref="L131">IFERROR(
INDEX(Calc_NetworkV_1[[Ausnet]:[United Energy]],
MATCH(1,(Calc_NetworkV_1[[Cost item]:[Cost item]]=$D131)*(Calc_NetworkV_1[[Customer type]:[Customer type]]=$E$79),0),
MATCH(L$90,Calc_NetworkV_1[[#Headers],[Ausnet]:[United Energy]],0))*
INDEX($G$81:$G$84,MATCH(IF($D131="Single rate","Annual",$D131),$F$81:$F$84,0),1),0)</f>
        <v>1757.9999999999998</v>
      </c>
      <c r="N131" s="170">
        <f t="shared" si="234"/>
        <v>1490.52</v>
      </c>
      <c r="O131" s="170" cm="1">
        <f t="array" ref="O131">IFERROR(
INDEX(Calc_NetworkV_2[[Ausnet]:[United Energy]],
MATCH(1,(Calc_NetworkV_2[[Cost item]:[Cost item]]=$D131)*(Calc_NetworkV_2[[Customer type]:[Customer type]]=$E$79),0),
MATCH(O$90,Calc_NetworkV_2[[#Headers],[Ausnet]:[United Energy]],0))*
INDEX($N$81:$N$84,MATCH(IF($D131="Single rate","Annual",$D131),$F$81:$F$84,0),1),0)</f>
        <v>0</v>
      </c>
      <c r="P131" s="170" cm="1">
        <f t="array" ref="P131">IFERROR(
INDEX(Calc_NetworkV_2[[Ausnet]:[United Energy]],
MATCH(1,(Calc_NetworkV_2[[Cost item]:[Cost item]]=$D131)*(Calc_NetworkV_2[[Customer type]:[Customer type]]=$E$79),0),
MATCH(P$90,Calc_NetworkV_2[[#Headers],[Ausnet]:[United Energy]],0))*
INDEX($N$81:$N$84,MATCH(IF($D131="Single rate","Annual",$D131),$F$81:$F$84,0),1),0)</f>
        <v>1642.0000000000002</v>
      </c>
      <c r="Q131" s="170" cm="1">
        <f t="array" ref="Q131">IFERROR(
INDEX(Calc_NetworkV_2[[Ausnet]:[United Energy]],
MATCH(1,(Calc_NetworkV_2[[Cost item]:[Cost item]]=$D131)*(Calc_NetworkV_2[[Customer type]:[Customer type]]=$E$79),0),
MATCH(Q$90,Calc_NetworkV_2[[#Headers],[Ausnet]:[United Energy]],0))*
INDEX($N$81:$N$84,MATCH(IF($D131="Single rate","Annual",$D131),$F$81:$F$84,0),1),0)</f>
        <v>2194.6000000000004</v>
      </c>
      <c r="R131" s="170" cm="1">
        <f t="array" ref="R131">IFERROR(
INDEX(Calc_NetworkV_2[[Ausnet]:[United Energy]],
MATCH(1,(Calc_NetworkV_2[[Cost item]:[Cost item]]=$D131)*(Calc_NetworkV_2[[Customer type]:[Customer type]]=$E$79),0),
MATCH(R$90,Calc_NetworkV_2[[#Headers],[Ausnet]:[United Energy]],0))*
INDEX($N$81:$N$84,MATCH(IF($D131="Single rate","Annual",$D131),$F$81:$F$84,0),1),0)</f>
        <v>1858</v>
      </c>
      <c r="S131" s="170" cm="1">
        <f t="array" ref="S131">IFERROR(
INDEX(Calc_NetworkV_2[[Ausnet]:[United Energy]],
MATCH(1,(Calc_NetworkV_2[[Cost item]:[Cost item]]=$D131)*(Calc_NetworkV_2[[Customer type]:[Customer type]]=$E$79),0),
MATCH(S$90,Calc_NetworkV_2[[#Headers],[Ausnet]:[United Energy]],0))*
INDEX($N$81:$N$84,MATCH(IF($D131="Single rate","Annual",$D131),$F$81:$F$84,0),1),0)</f>
        <v>1757.9999999999998</v>
      </c>
      <c r="U131" s="170">
        <f t="shared" si="231"/>
        <v>0</v>
      </c>
      <c r="V131" s="170">
        <f t="shared" si="231"/>
        <v>0</v>
      </c>
      <c r="W131" s="170">
        <f t="shared" si="231"/>
        <v>0</v>
      </c>
      <c r="X131" s="170">
        <f t="shared" si="231"/>
        <v>0</v>
      </c>
      <c r="Y131" s="170">
        <f t="shared" si="231"/>
        <v>0</v>
      </c>
      <c r="Z131" s="170">
        <f t="shared" si="231"/>
        <v>0</v>
      </c>
      <c r="AB131" s="268">
        <f>IFERROR(U131/G$92,"-")</f>
        <v>0</v>
      </c>
      <c r="AC131" s="268">
        <f t="shared" si="232"/>
        <v>0</v>
      </c>
      <c r="AD131" s="268">
        <f t="shared" si="232"/>
        <v>0</v>
      </c>
      <c r="AE131" s="268">
        <f t="shared" si="232"/>
        <v>0</v>
      </c>
      <c r="AF131" s="268">
        <f t="shared" si="232"/>
        <v>0</v>
      </c>
      <c r="AG131" s="268">
        <f t="shared" si="232"/>
        <v>0</v>
      </c>
      <c r="AI131" s="300"/>
    </row>
    <row r="132" spans="3:35" outlineLevel="1" x14ac:dyDescent="0.25">
      <c r="AB132" s="122"/>
      <c r="AC132" s="122"/>
      <c r="AD132" s="122"/>
      <c r="AE132" s="122"/>
      <c r="AF132" s="122"/>
      <c r="AG132" s="122"/>
      <c r="AI132" s="300"/>
    </row>
    <row r="133" spans="3:35" outlineLevel="1" x14ac:dyDescent="0.25">
      <c r="C133" t="s">
        <v>284</v>
      </c>
      <c r="D133" s="59" t="s">
        <v>814</v>
      </c>
      <c r="E133" s="59" t="s">
        <v>130</v>
      </c>
      <c r="G133" s="170">
        <f>AVERAGE(H133:L133)</f>
        <v>75.856912635170474</v>
      </c>
      <c r="H133" s="373">
        <f>(H$143)*
((INDEX(Input_ForRateCalc[[F-PreviousVDO_InputDate]:[D-NextVDO_Input]],MATCH("Distribution loss factor - "&amp;H$90,Input_ForRateCalc[[Cost item]:[Cost item]],0),MATCH($G$89,Inputs!$H$8:$S$8,0))*
INDEX(Input_ForRateCalc[[F-PreviousVDO_InputDate]:[D-NextVDO_Input]],MATCH("Marginal loss factor - "&amp;H$90,Input_ForRateCalc[[Cost item]:[Cost item]],0),MATCH($G$89,Inputs!$H$8:$S$8,0)))-1)</f>
        <v>103.59065704270191</v>
      </c>
      <c r="I133" s="373">
        <f>(I$143)*
((INDEX(Input_ForRateCalc[[F-PreviousVDO_InputDate]:[D-NextVDO_Input]],MATCH("Distribution loss factor - "&amp;I$90,Input_ForRateCalc[[Cost item]:[Cost item]],0),MATCH($G$89,Inputs!$H$8:$S$8,0))*
INDEX(Input_ForRateCalc[[F-PreviousVDO_InputDate]:[D-NextVDO_Input]],MATCH("Marginal loss factor - "&amp;I$90,Input_ForRateCalc[[Cost item]:[Cost item]],0),MATCH($G$89,Inputs!$H$8:$S$8,0)))-1)</f>
        <v>63.994924666666797</v>
      </c>
      <c r="J133" s="373">
        <f>(J$143)*
((INDEX(Input_ForRateCalc[[F-PreviousVDO_InputDate]:[D-NextVDO_Input]],MATCH("Distribution loss factor - "&amp;J$90,Input_ForRateCalc[[Cost item]:[Cost item]],0),MATCH($G$89,Inputs!$H$8:$S$8,0))*
INDEX(Input_ForRateCalc[[F-PreviousVDO_InputDate]:[D-NextVDO_Input]],MATCH("Marginal loss factor - "&amp;J$90,Input_ForRateCalc[[Cost item]:[Cost item]],0),MATCH($G$89,Inputs!$H$8:$S$8,0)))-1)</f>
        <v>55.923738145000058</v>
      </c>
      <c r="K133" s="373">
        <f>(K$143)*
((INDEX(Input_ForRateCalc[[F-PreviousVDO_InputDate]:[D-NextVDO_Input]],MATCH("Distribution loss factor - "&amp;K$90,Input_ForRateCalc[[Cost item]:[Cost item]],0),MATCH($G$89,Inputs!$H$8:$S$8,0))*
INDEX(Input_ForRateCalc[[F-PreviousVDO_InputDate]:[D-NextVDO_Input]],MATCH("Marginal loss factor - "&amp;K$90,Input_ForRateCalc[[Cost item]:[Cost item]],0),MATCH($G$89,Inputs!$H$8:$S$8,0)))-1)</f>
        <v>91.54103377602911</v>
      </c>
      <c r="L133" s="373">
        <f>(L$143)*
((INDEX(Input_ForRateCalc[[F-PreviousVDO_InputDate]:[D-NextVDO_Input]],MATCH("Distribution loss factor - "&amp;L$90,Input_ForRateCalc[[Cost item]:[Cost item]],0),MATCH($G$89,Inputs!$H$8:$S$8,0))*
INDEX(Input_ForRateCalc[[F-PreviousVDO_InputDate]:[D-NextVDO_Input]],MATCH("Marginal loss factor - "&amp;L$90,Input_ForRateCalc[[Cost item]:[Cost item]],0),MATCH($G$89,Inputs!$H$8:$S$8,0)))-1)</f>
        <v>64.234209545454519</v>
      </c>
      <c r="N133" s="170">
        <f>AVERAGE(O133:S133)</f>
        <v>73.195915823632575</v>
      </c>
      <c r="O133" s="291">
        <f>(O$143)*
((INDEX(Input_ForRateCalc[[F-PreviousVDO_InputDate]:[F-CurrentVDO_Input]],MATCH("Distribution loss factor - "&amp;O$90,Input_ForRateCalc[[Cost item]:[Cost item]],0),MATCH($N$89,Inputs!$H$8:$Q$8,0))*
INDEX(Input_ForRateCalc[[F-PreviousVDO_InputDate]:[F-CurrentVDO_Input]],MATCH("Marginal loss factor - "&amp;O$90,Input_ForRateCalc[[Cost item]:[Cost item]],0),MATCH($N$89,Inputs!$H$8:$Q$8,0)))-1)</f>
        <v>100.09473058935099</v>
      </c>
      <c r="P133" s="291">
        <f>(P$143)*
((INDEX(Input_ForRateCalc[[F-PreviousVDO_InputDate]:[F-CurrentVDO_Input]],MATCH("Distribution loss factor - "&amp;P$90,Input_ForRateCalc[[Cost item]:[Cost item]],0),MATCH($N$89,Inputs!$H$8:$Q$8,0))*
INDEX(Input_ForRateCalc[[F-PreviousVDO_InputDate]:[F-CurrentVDO_Input]],MATCH("Marginal loss factor - "&amp;P$90,Input_ForRateCalc[[Cost item]:[Cost item]],0),MATCH($N$89,Inputs!$H$8:$Q$8,0)))-1)</f>
        <v>61.252831000000128</v>
      </c>
      <c r="Q133" s="291">
        <f>(Q$143)*
((INDEX(Input_ForRateCalc[[F-PreviousVDO_InputDate]:[F-CurrentVDO_Input]],MATCH("Distribution loss factor - "&amp;Q$90,Input_ForRateCalc[[Cost item]:[Cost item]],0),MATCH($N$89,Inputs!$H$8:$Q$8,0))*
INDEX(Input_ForRateCalc[[F-PreviousVDO_InputDate]:[F-CurrentVDO_Input]],MATCH("Marginal loss factor - "&amp;Q$90,Input_ForRateCalc[[Cost item]:[Cost item]],0),MATCH($N$89,Inputs!$H$8:$Q$8,0)))-1)</f>
        <v>54.291113510000052</v>
      </c>
      <c r="R133" s="291">
        <f>(R$143)*
((INDEX(Input_ForRateCalc[[F-PreviousVDO_InputDate]:[F-CurrentVDO_Input]],MATCH("Distribution loss factor - "&amp;R$90,Input_ForRateCalc[[Cost item]:[Cost item]],0),MATCH($N$89,Inputs!$H$8:$Q$8,0))*
INDEX(Input_ForRateCalc[[F-PreviousVDO_InputDate]:[F-CurrentVDO_Input]],MATCH("Marginal loss factor - "&amp;R$90,Input_ForRateCalc[[Cost item]:[Cost item]],0),MATCH($N$89,Inputs!$H$8:$Q$8,0)))-1)</f>
        <v>87.592709768811702</v>
      </c>
      <c r="S133" s="291">
        <f>(S$143)*
((INDEX(Input_ForRateCalc[[F-PreviousVDO_InputDate]:[F-CurrentVDO_Input]],MATCH("Distribution loss factor - "&amp;S$90,Input_ForRateCalc[[Cost item]:[Cost item]],0),MATCH($N$89,Inputs!$H$8:$Q$8,0))*
INDEX(Input_ForRateCalc[[F-PreviousVDO_InputDate]:[F-CurrentVDO_Input]],MATCH("Marginal loss factor - "&amp;S$90,Input_ForRateCalc[[Cost item]:[Cost item]],0),MATCH($N$89,Inputs!$H$8:$Q$8,0)))-1)</f>
        <v>62.748194249999955</v>
      </c>
      <c r="U133" s="170">
        <f>IFERROR(N133-G133,"-")</f>
        <v>-2.660996811537899</v>
      </c>
      <c r="V133" s="170">
        <f t="shared" ref="V133:Z133" si="235">IFERROR(O133-H133,"-")</f>
        <v>-3.4959264533509185</v>
      </c>
      <c r="W133" s="170">
        <f t="shared" si="235"/>
        <v>-2.7420936666666691</v>
      </c>
      <c r="X133" s="170">
        <f t="shared" si="235"/>
        <v>-1.6326246350000062</v>
      </c>
      <c r="Y133" s="170">
        <f t="shared" si="235"/>
        <v>-3.9483240072174084</v>
      </c>
      <c r="Z133" s="170">
        <f t="shared" si="235"/>
        <v>-1.486015295454564</v>
      </c>
      <c r="AB133" s="268">
        <f>IFERROR(U133/G$92,"-")</f>
        <v>-4.9068722322292068E-4</v>
      </c>
      <c r="AC133" s="268">
        <f t="shared" ref="AC133:AG133" si="236">IFERROR(V133/H$92,"-")</f>
        <v>-4.9920412014149913E-4</v>
      </c>
      <c r="AD133" s="268">
        <f t="shared" si="236"/>
        <v>-5.7079385234526836E-4</v>
      </c>
      <c r="AE133" s="268">
        <f t="shared" si="236"/>
        <v>-3.0357468110821982E-4</v>
      </c>
      <c r="AF133" s="268">
        <f t="shared" si="236"/>
        <v>-7.809185140857216E-4</v>
      </c>
      <c r="AG133" s="268">
        <f t="shared" si="236"/>
        <v>-3.0501134964174139E-4</v>
      </c>
      <c r="AI133" s="300"/>
    </row>
    <row r="134" spans="3:35" outlineLevel="1" x14ac:dyDescent="0.25">
      <c r="C134" t="s">
        <v>284</v>
      </c>
      <c r="D134" s="59" t="s">
        <v>815</v>
      </c>
      <c r="E134" s="59" t="s">
        <v>130</v>
      </c>
      <c r="G134" s="291">
        <f t="shared" ref="G134:G135" si="237">AVERAGE(H134:L134)</f>
        <v>33.953989200578881</v>
      </c>
      <c r="H134" s="373">
        <f>(H$123+H$124+H$125)*
((INDEX(Input_ForRateCalc[[F-PreviousVDO_InputDate]:[D-NextVDO_Input]],MATCH("Distribution loss factor - "&amp;H$90,Input_ForRateCalc[[Cost item]:[Cost item]],0),MATCH($G$89,Inputs!$H$8:$S$8,0))*
INDEX(Input_ForRateCalc[[F-PreviousVDO_InputDate]:[D-NextVDO_Input]],MATCH("Marginal loss factor - "&amp;H$90,Input_ForRateCalc[[Cost item]:[Cost item]],0),MATCH($G$89,Inputs!$H$8:$S$8,0)))-1)</f>
        <v>46.676305163235021</v>
      </c>
      <c r="I134" s="373">
        <f>(I$123+I$124+I$125)*
((INDEX(Input_ForRateCalc[[F-PreviousVDO_InputDate]:[D-NextVDO_Input]],MATCH("Distribution loss factor - "&amp;I$90,Input_ForRateCalc[[Cost item]:[Cost item]],0),MATCH($G$89,Inputs!$H$8:$S$8,0))*
INDEX(Input_ForRateCalc[[F-PreviousVDO_InputDate]:[D-NextVDO_Input]],MATCH("Marginal loss factor - "&amp;I$90,Input_ForRateCalc[[Cost item]:[Cost item]],0),MATCH($G$89,Inputs!$H$8:$S$8,0)))-1)</f>
        <v>28.064496360186595</v>
      </c>
      <c r="J134" s="373">
        <f>(J$123+J$124+J$125)*
((INDEX(Input_ForRateCalc[[F-PreviousVDO_InputDate]:[D-NextVDO_Input]],MATCH("Distribution loss factor - "&amp;J$90,Input_ForRateCalc[[Cost item]:[Cost item]],0),MATCH($G$89,Inputs!$H$8:$S$8,0))*
INDEX(Input_ForRateCalc[[F-PreviousVDO_InputDate]:[D-NextVDO_Input]],MATCH("Marginal loss factor - "&amp;J$90,Input_ForRateCalc[[Cost item]:[Cost item]],0),MATCH($G$89,Inputs!$H$8:$S$8,0)))-1)</f>
        <v>24.84768314073283</v>
      </c>
      <c r="K134" s="373">
        <f>(K$123+K$124+K$125)*
((INDEX(Input_ForRateCalc[[F-PreviousVDO_InputDate]:[D-NextVDO_Input]],MATCH("Distribution loss factor - "&amp;K$90,Input_ForRateCalc[[Cost item]:[Cost item]],0),MATCH($G$89,Inputs!$H$8:$S$8,0))*
INDEX(Input_ForRateCalc[[F-PreviousVDO_InputDate]:[D-NextVDO_Input]],MATCH("Marginal loss factor - "&amp;K$90,Input_ForRateCalc[[Cost item]:[Cost item]],0),MATCH($G$89,Inputs!$H$8:$S$8,0)))-1)</f>
        <v>42.020437167667055</v>
      </c>
      <c r="L134" s="373">
        <f>(L$123+L$124+L$125)*
((INDEX(Input_ForRateCalc[[F-PreviousVDO_InputDate]:[D-NextVDO_Input]],MATCH("Distribution loss factor - "&amp;L$90,Input_ForRateCalc[[Cost item]:[Cost item]],0),MATCH($G$89,Inputs!$H$8:$S$8,0))*
INDEX(Input_ForRateCalc[[F-PreviousVDO_InputDate]:[D-NextVDO_Input]],MATCH("Marginal loss factor - "&amp;L$90,Input_ForRateCalc[[Cost item]:[Cost item]],0),MATCH($G$89,Inputs!$H$8:$S$8,0)))-1)</f>
        <v>28.161024171072917</v>
      </c>
      <c r="N134" s="291">
        <f>AVERAGE(O134:S134)</f>
        <v>30.574581962514646</v>
      </c>
      <c r="O134" s="291">
        <f>(O$123+O$124+O$125)*
((INDEX(Input_ForRateCalc[[F-PreviousVDO_InputDate]:[F-CurrentVDO_Input]],MATCH("Distribution loss factor - "&amp;O$90,Input_ForRateCalc[[Cost item]:[Cost item]],0),MATCH($N$89,Inputs!$H$8:$Q$8,0))*
INDEX(Input_ForRateCalc[[F-PreviousVDO_InputDate]:[F-CurrentVDO_Input]],MATCH("Marginal loss factor - "&amp;O$90,Input_ForRateCalc[[Cost item]:[Cost item]],0),MATCH($N$89,Inputs!$H$8:$Q$8,0)))-1)</f>
        <v>42.030658297327371</v>
      </c>
      <c r="P134" s="291">
        <f>(P$123+P$124+P$125)*
((INDEX(Input_ForRateCalc[[F-PreviousVDO_InputDate]:[F-CurrentVDO_Input]],MATCH("Distribution loss factor - "&amp;P$90,Input_ForRateCalc[[Cost item]:[Cost item]],0),MATCH($N$89,Inputs!$H$8:$Q$8,0))*
INDEX(Input_ForRateCalc[[F-PreviousVDO_InputDate]:[F-CurrentVDO_Input]],MATCH("Marginal loss factor - "&amp;P$90,Input_ForRateCalc[[Cost item]:[Cost item]],0),MATCH($N$89,Inputs!$H$8:$Q$8,0)))-1)</f>
        <v>25.271264567245311</v>
      </c>
      <c r="Q134" s="291">
        <f>(Q$123+Q$124+Q$125)*
((INDEX(Input_ForRateCalc[[F-PreviousVDO_InputDate]:[F-CurrentVDO_Input]],MATCH("Distribution loss factor - "&amp;Q$90,Input_ForRateCalc[[Cost item]:[Cost item]],0),MATCH($N$89,Inputs!$H$8:$Q$8,0))*
INDEX(Input_ForRateCalc[[F-PreviousVDO_InputDate]:[F-CurrentVDO_Input]],MATCH("Marginal loss factor - "&amp;Q$90,Input_ForRateCalc[[Cost item]:[Cost item]],0),MATCH($N$89,Inputs!$H$8:$Q$8,0)))-1)</f>
        <v>22.374617611999977</v>
      </c>
      <c r="R134" s="291">
        <f>(R$123+R$124+R$125)*
((INDEX(Input_ForRateCalc[[F-PreviousVDO_InputDate]:[F-CurrentVDO_Input]],MATCH("Distribution loss factor - "&amp;R$90,Input_ForRateCalc[[Cost item]:[Cost item]],0),MATCH($N$89,Inputs!$H$8:$Q$8,0))*
INDEX(Input_ForRateCalc[[F-PreviousVDO_InputDate]:[F-CurrentVDO_Input]],MATCH("Marginal loss factor - "&amp;R$90,Input_ForRateCalc[[Cost item]:[Cost item]],0),MATCH($N$89,Inputs!$H$8:$Q$8,0)))-1)</f>
        <v>37.838184276197779</v>
      </c>
      <c r="S134" s="291">
        <f>(S$123+S$124+S$125)*
((INDEX(Input_ForRateCalc[[F-PreviousVDO_InputDate]:[F-CurrentVDO_Input]],MATCH("Distribution loss factor - "&amp;S$90,Input_ForRateCalc[[Cost item]:[Cost item]],0),MATCH($N$89,Inputs!$H$8:$Q$8,0))*
INDEX(Input_ForRateCalc[[F-PreviousVDO_InputDate]:[F-CurrentVDO_Input]],MATCH("Marginal loss factor - "&amp;S$90,Input_ForRateCalc[[Cost item]:[Cost item]],0),MATCH($N$89,Inputs!$H$8:$Q$8,0)))-1)</f>
        <v>25.3581850598028</v>
      </c>
      <c r="U134" s="291">
        <f t="shared" ref="U134:U135" si="238">IFERROR(N134-G134,"-")</f>
        <v>-3.3794072380642355</v>
      </c>
      <c r="V134" s="291">
        <f t="shared" ref="V134:V135" si="239">IFERROR(O134-H134,"-")</f>
        <v>-4.6456468659076506</v>
      </c>
      <c r="W134" s="291">
        <f t="shared" ref="W134:W135" si="240">IFERROR(P134-I134,"-")</f>
        <v>-2.7932317929412847</v>
      </c>
      <c r="X134" s="291">
        <f t="shared" ref="X134:X135" si="241">IFERROR(Q134-J134,"-")</f>
        <v>-2.4730655287328531</v>
      </c>
      <c r="Y134" s="291">
        <f t="shared" ref="Y134:Y135" si="242">IFERROR(R134-K134,"-")</f>
        <v>-4.1822528914692754</v>
      </c>
      <c r="Z134" s="291">
        <f t="shared" ref="Z134:Z135" si="243">IFERROR(S134-L134,"-")</f>
        <v>-2.8028391112701172</v>
      </c>
      <c r="AB134" s="268">
        <f t="shared" ref="AB134:AB135" si="244">IFERROR(U134/G$92,"-")</f>
        <v>-6.2316194690470873E-4</v>
      </c>
      <c r="AC134" s="268">
        <f t="shared" ref="AC134:AC135" si="245">IFERROR(V134/H$92,"-")</f>
        <v>-6.6337953247289029E-4</v>
      </c>
      <c r="AD134" s="268">
        <f t="shared" ref="AD134:AD135" si="246">IFERROR(W134/I$92,"-")</f>
        <v>-5.8143875789785275E-4</v>
      </c>
      <c r="AE134" s="268">
        <f t="shared" ref="AE134:AE135" si="247">IFERROR(X134/J$92,"-")</f>
        <v>-4.5984855498937396E-4</v>
      </c>
      <c r="AF134" s="268">
        <f t="shared" ref="AF134:AF135" si="248">IFERROR(Y134/K$92,"-")</f>
        <v>-8.2718609404060033E-4</v>
      </c>
      <c r="AG134" s="268">
        <f t="shared" ref="AG134:AG135" si="249">IFERROR(Z134/L$92,"-")</f>
        <v>-5.7529538408664148E-4</v>
      </c>
      <c r="AI134" s="300"/>
    </row>
    <row r="135" spans="3:35" outlineLevel="1" x14ac:dyDescent="0.25">
      <c r="C135" t="s">
        <v>284</v>
      </c>
      <c r="D135" s="59" t="s">
        <v>816</v>
      </c>
      <c r="E135" s="59" t="s">
        <v>130</v>
      </c>
      <c r="G135" s="291">
        <f t="shared" si="237"/>
        <v>0.87312233877090828</v>
      </c>
      <c r="H135" s="373">
        <f>(H$137+H$138+H$141)*
((INDEX(Input_ForRateCalc[[F-PreviousVDO_InputDate]:[D-NextVDO_Input]],MATCH("Distribution loss factor - "&amp;H$90,Input_ForRateCalc[[Cost item]:[Cost item]],0),MATCH($G$89,Inputs!$H$8:$S$8,0))*
INDEX(Input_ForRateCalc[[F-PreviousVDO_InputDate]:[D-NextVDO_Input]],MATCH("Marginal loss factor - "&amp;H$90,Input_ForRateCalc[[Cost item]:[Cost item]],0),MATCH($G$89,Inputs!$H$8:$S$8,0)))-1)</f>
        <v>1.2002750100601893</v>
      </c>
      <c r="I135" s="373">
        <f>(I$137+I$138+I$141)*
((INDEX(Input_ForRateCalc[[F-PreviousVDO_InputDate]:[D-NextVDO_Input]],MATCH("Distribution loss factor - "&amp;I$90,Input_ForRateCalc[[Cost item]:[Cost item]],0),MATCH($G$89,Inputs!$H$8:$S$8,0))*
INDEX(Input_ForRateCalc[[F-PreviousVDO_InputDate]:[D-NextVDO_Input]],MATCH("Marginal loss factor - "&amp;I$90,Input_ForRateCalc[[Cost item]:[Cost item]],0),MATCH($G$89,Inputs!$H$8:$S$8,0)))-1)</f>
        <v>0.72167480980455734</v>
      </c>
      <c r="J135" s="373">
        <f>(J$137+J$138+J$141)*
((INDEX(Input_ForRateCalc[[F-PreviousVDO_InputDate]:[D-NextVDO_Input]],MATCH("Distribution loss factor - "&amp;J$90,Input_ForRateCalc[[Cost item]:[Cost item]],0),MATCH($G$89,Inputs!$H$8:$S$8,0))*
INDEX(Input_ForRateCalc[[F-PreviousVDO_InputDate]:[D-NextVDO_Input]],MATCH("Marginal loss factor - "&amp;J$90,Input_ForRateCalc[[Cost item]:[Cost item]],0),MATCH($G$89,Inputs!$H$8:$S$8,0)))-1)</f>
        <v>0.63895488358420149</v>
      </c>
      <c r="K135" s="373">
        <f>(K$137+K$138+K$141)*
((INDEX(Input_ForRateCalc[[F-PreviousVDO_InputDate]:[D-NextVDO_Input]],MATCH("Distribution loss factor - "&amp;K$90,Input_ForRateCalc[[Cost item]:[Cost item]],0),MATCH($G$89,Inputs!$H$8:$S$8,0))*
INDEX(Input_ForRateCalc[[F-PreviousVDO_InputDate]:[D-NextVDO_Input]],MATCH("Marginal loss factor - "&amp;K$90,Input_ForRateCalc[[Cost item]:[Cost item]],0),MATCH($G$89,Inputs!$H$8:$S$8,0)))-1)</f>
        <v>1.0805499807187293</v>
      </c>
      <c r="L135" s="373">
        <f>(L$137+L$138+L$141)*
((INDEX(Input_ForRateCalc[[F-PreviousVDO_InputDate]:[D-NextVDO_Input]],MATCH("Distribution loss factor - "&amp;L$90,Input_ForRateCalc[[Cost item]:[Cost item]],0),MATCH($G$89,Inputs!$H$8:$S$8,0))*
INDEX(Input_ForRateCalc[[F-PreviousVDO_InputDate]:[D-NextVDO_Input]],MATCH("Marginal loss factor - "&amp;L$90,Input_ForRateCalc[[Cost item]:[Cost item]],0),MATCH($G$89,Inputs!$H$8:$S$8,0)))-1)</f>
        <v>0.72415700968686347</v>
      </c>
      <c r="N135" s="291">
        <f>AVERAGE(O135:S135)</f>
        <v>1.0119988616008673</v>
      </c>
      <c r="O135" s="291">
        <f>(O$137+O$138+O139+O140+O$141)*
((INDEX(Input_ForRateCalc[[F-PreviousVDO_InputDate]:[F-CurrentVDO_Input]],MATCH("Distribution loss factor - "&amp;O$90,Input_ForRateCalc[[Cost item]:[Cost item]],0),MATCH($N$89,Inputs!$H$8:$Q$8,0))*
INDEX(Input_ForRateCalc[[F-PreviousVDO_InputDate]:[F-CurrentVDO_Input]],MATCH("Marginal loss factor - "&amp;O$90,Input_ForRateCalc[[Cost item]:[Cost item]],0),MATCH($N$89,Inputs!$H$8:$Q$8,0)))-1)</f>
        <v>1.3911875688563624</v>
      </c>
      <c r="P135" s="291">
        <f>(P$137+P$138+P139+P140+P$141)*
((INDEX(Input_ForRateCalc[[F-PreviousVDO_InputDate]:[F-CurrentVDO_Input]],MATCH("Distribution loss factor - "&amp;P$90,Input_ForRateCalc[[Cost item]:[Cost item]],0),MATCH($N$89,Inputs!$H$8:$Q$8,0))*
INDEX(Input_ForRateCalc[[F-PreviousVDO_InputDate]:[F-CurrentVDO_Input]],MATCH("Marginal loss factor - "&amp;P$90,Input_ForRateCalc[[Cost item]:[Cost item]],0),MATCH($N$89,Inputs!$H$8:$Q$8,0)))-1)</f>
        <v>0.83646249046419263</v>
      </c>
      <c r="Q135" s="291">
        <f>(Q$137+Q$138+Q139+Q140+Q$141)*
((INDEX(Input_ForRateCalc[[F-PreviousVDO_InputDate]:[F-CurrentVDO_Input]],MATCH("Distribution loss factor - "&amp;Q$90,Input_ForRateCalc[[Cost item]:[Cost item]],0),MATCH($N$89,Inputs!$H$8:$Q$8,0))*
INDEX(Input_ForRateCalc[[F-PreviousVDO_InputDate]:[F-CurrentVDO_Input]],MATCH("Marginal loss factor - "&amp;Q$90,Input_ForRateCalc[[Cost item]:[Cost item]],0),MATCH($N$89,Inputs!$H$8:$Q$8,0)))-1)</f>
        <v>0.74058535223342681</v>
      </c>
      <c r="R135" s="291">
        <f>(R$137+R$138+R139+R140+R$141)*
((INDEX(Input_ForRateCalc[[F-PreviousVDO_InputDate]:[F-CurrentVDO_Input]],MATCH("Distribution loss factor - "&amp;R$90,Input_ForRateCalc[[Cost item]:[Cost item]],0),MATCH($N$89,Inputs!$H$8:$Q$8,0))*
INDEX(Input_ForRateCalc[[F-PreviousVDO_InputDate]:[F-CurrentVDO_Input]],MATCH("Marginal loss factor - "&amp;R$90,Input_ForRateCalc[[Cost item]:[Cost item]],0),MATCH($N$89,Inputs!$H$8:$Q$8,0)))-1)</f>
        <v>1.2524193939757988</v>
      </c>
      <c r="S135" s="291">
        <f>(S$137+S$138+S139+S140+S$141)*
((INDEX(Input_ForRateCalc[[F-PreviousVDO_InputDate]:[F-CurrentVDO_Input]],MATCH("Distribution loss factor - "&amp;S$90,Input_ForRateCalc[[Cost item]:[Cost item]],0),MATCH($N$89,Inputs!$H$8:$Q$8,0))*
INDEX(Input_ForRateCalc[[F-PreviousVDO_InputDate]:[F-CurrentVDO_Input]],MATCH("Marginal loss factor - "&amp;S$90,Input_ForRateCalc[[Cost item]:[Cost item]],0),MATCH($N$89,Inputs!$H$8:$Q$8,0)))-1)</f>
        <v>0.83933950247455502</v>
      </c>
      <c r="U135" s="291">
        <f t="shared" si="238"/>
        <v>0.13887652282995899</v>
      </c>
      <c r="V135" s="291">
        <f t="shared" si="239"/>
        <v>0.19091255879617308</v>
      </c>
      <c r="W135" s="291">
        <f t="shared" si="240"/>
        <v>0.11478768065963529</v>
      </c>
      <c r="X135" s="291">
        <f t="shared" si="241"/>
        <v>0.10163046864922531</v>
      </c>
      <c r="Y135" s="291">
        <f t="shared" si="242"/>
        <v>0.1718694132570695</v>
      </c>
      <c r="Z135" s="291">
        <f t="shared" si="243"/>
        <v>0.11518249278769155</v>
      </c>
      <c r="AB135" s="268">
        <f t="shared" si="244"/>
        <v>2.5608800079284342E-5</v>
      </c>
      <c r="AC135" s="268">
        <f t="shared" si="245"/>
        <v>2.7261539168381134E-5</v>
      </c>
      <c r="AD135" s="268">
        <f t="shared" si="246"/>
        <v>2.3894188313829162E-5</v>
      </c>
      <c r="AE135" s="268">
        <f t="shared" si="247"/>
        <v>1.889744675515532E-5</v>
      </c>
      <c r="AF135" s="268">
        <f t="shared" si="248"/>
        <v>3.3993159267616597E-5</v>
      </c>
      <c r="AG135" s="268">
        <f t="shared" si="249"/>
        <v>2.3641726762662467E-5</v>
      </c>
      <c r="AI135" s="300"/>
    </row>
    <row r="136" spans="3:35" outlineLevel="1" x14ac:dyDescent="0.25">
      <c r="AB136" s="122"/>
      <c r="AC136" s="122"/>
      <c r="AD136" s="122"/>
      <c r="AE136" s="122"/>
      <c r="AF136" s="122"/>
      <c r="AG136" s="122"/>
      <c r="AI136" s="300"/>
    </row>
    <row r="137" spans="3:35" outlineLevel="1" x14ac:dyDescent="0.25">
      <c r="C137" t="s">
        <v>273</v>
      </c>
      <c r="D137" s="59" t="s">
        <v>160</v>
      </c>
      <c r="E137" s="59" t="s">
        <v>130</v>
      </c>
      <c r="G137" s="170">
        <f>IFERROR(AVERAGE(H137:L137),"-")</f>
        <v>8.1687585858585852</v>
      </c>
      <c r="H137" s="170">
        <f>IFERROR(INDEX(Calc_OtherCosts_1[[Ausnet]:[United Energy]],MATCH($D137,Calc_OtherCosts_1[Cost item],0),MATCH(H$90,Calc_OtherCosts_1[[#Headers],[Ausnet]:[United Energy]],0))*$G$81,"-")</f>
        <v>8.1687585858585852</v>
      </c>
      <c r="I137" s="170">
        <f>IFERROR(INDEX(Calc_OtherCosts_1[[Ausnet]:[United Energy]],MATCH($D137,Calc_OtherCosts_1[Cost item],0),MATCH(I$90,Calc_OtherCosts_1[[#Headers],[Ausnet]:[United Energy]],0))*$G$81,"-")</f>
        <v>8.1687585858585852</v>
      </c>
      <c r="J137" s="170">
        <f>IFERROR(INDEX(Calc_OtherCosts_1[[Ausnet]:[United Energy]],MATCH($D137,Calc_OtherCosts_1[Cost item],0),MATCH(J$90,Calc_OtherCosts_1[[#Headers],[Ausnet]:[United Energy]],0))*$G$81,"-")</f>
        <v>8.1687585858585852</v>
      </c>
      <c r="K137" s="170">
        <f>IFERROR(INDEX(Calc_OtherCosts_1[[Ausnet]:[United Energy]],MATCH($D137,Calc_OtherCosts_1[Cost item],0),MATCH(K$90,Calc_OtherCosts_1[[#Headers],[Ausnet]:[United Energy]],0))*$G$81,"-")</f>
        <v>8.1687585858585852</v>
      </c>
      <c r="L137" s="170">
        <f>IFERROR(INDEX(Calc_OtherCosts_1[[Ausnet]:[United Energy]],MATCH($D137,Calc_OtherCosts_1[Cost item],0),MATCH(L$90,Calc_OtherCosts_1[[#Headers],[Ausnet]:[United Energy]],0))*$G$81,"-")</f>
        <v>8.1687585858585852</v>
      </c>
      <c r="N137" s="170">
        <f t="shared" ref="N137" si="250">AVERAGE(O137:S137)</f>
        <v>8.0004000000000008</v>
      </c>
      <c r="O137" s="170">
        <f>INDEX(Calc_OtherCosts_2[[Ausnet]:[United Energy]],MATCH($D137,Calc_OtherCosts_2[Cost item],0),MATCH(O$90,Calc_OtherCosts_2[[#Headers],[Ausnet]:[United Energy]],0))*$N$81</f>
        <v>8.0004000000000008</v>
      </c>
      <c r="P137" s="170">
        <f>INDEX(Calc_OtherCosts_2[[Ausnet]:[United Energy]],MATCH($D137,Calc_OtherCosts_2[Cost item],0),MATCH(P$90,Calc_OtherCosts_2[[#Headers],[Ausnet]:[United Energy]],0))*$N$81</f>
        <v>8.0004000000000008</v>
      </c>
      <c r="Q137" s="170">
        <f>INDEX(Calc_OtherCosts_2[[Ausnet]:[United Energy]],MATCH($D137,Calc_OtherCosts_2[Cost item],0),MATCH(Q$90,Calc_OtherCosts_2[[#Headers],[Ausnet]:[United Energy]],0))*$N$81</f>
        <v>8.0004000000000008</v>
      </c>
      <c r="R137" s="170">
        <f>INDEX(Calc_OtherCosts_2[[Ausnet]:[United Energy]],MATCH($D137,Calc_OtherCosts_2[Cost item],0),MATCH(R$90,Calc_OtherCosts_2[[#Headers],[Ausnet]:[United Energy]],0))*$N$81</f>
        <v>8.0004000000000008</v>
      </c>
      <c r="S137" s="170">
        <f>INDEX(Calc_OtherCosts_2[[Ausnet]:[United Energy]],MATCH($D137,Calc_OtherCosts_2[Cost item],0),MATCH(S$90,Calc_OtherCosts_2[[#Headers],[Ausnet]:[United Energy]],0))*$N$81</f>
        <v>8.0004000000000008</v>
      </c>
      <c r="U137" s="170">
        <f t="shared" ref="U137:Z141" si="251">IFERROR(N137-G137,"-")</f>
        <v>-0.16835858585858432</v>
      </c>
      <c r="V137" s="170">
        <f t="shared" si="251"/>
        <v>-0.16835858585858432</v>
      </c>
      <c r="W137" s="170">
        <f t="shared" si="251"/>
        <v>-0.16835858585858432</v>
      </c>
      <c r="X137" s="170">
        <f t="shared" si="251"/>
        <v>-0.16835858585858432</v>
      </c>
      <c r="Y137" s="170">
        <f t="shared" si="251"/>
        <v>-0.16835858585858432</v>
      </c>
      <c r="Z137" s="170">
        <f t="shared" si="251"/>
        <v>-0.16835858585858432</v>
      </c>
      <c r="AB137" s="268">
        <f>IFERROR(U137/G$92,"-")</f>
        <v>-3.1045285977979773E-5</v>
      </c>
      <c r="AC137" s="268">
        <f t="shared" ref="AC137:AG141" si="252">IFERROR(V137/H$92,"-")</f>
        <v>-2.4040923298384166E-5</v>
      </c>
      <c r="AD137" s="268">
        <f t="shared" si="252"/>
        <v>-3.5045500803202396E-5</v>
      </c>
      <c r="AE137" s="268">
        <f t="shared" si="252"/>
        <v>-3.1305055012752755E-5</v>
      </c>
      <c r="AF137" s="268">
        <f t="shared" si="252"/>
        <v>-3.3298770937219999E-5</v>
      </c>
      <c r="AG137" s="268">
        <f t="shared" si="252"/>
        <v>-3.4556359987394155E-5</v>
      </c>
      <c r="AI137" s="300"/>
    </row>
    <row r="138" spans="3:35" outlineLevel="1" x14ac:dyDescent="0.25">
      <c r="C138" t="s">
        <v>273</v>
      </c>
      <c r="D138" s="59" t="s">
        <v>162</v>
      </c>
      <c r="E138" s="59" t="s">
        <v>130</v>
      </c>
      <c r="G138" s="170">
        <f t="shared" ref="G138:G141" si="253">IFERROR(AVERAGE(H138:L138),"-")</f>
        <v>0</v>
      </c>
      <c r="H138" s="170">
        <f>IFERROR(INDEX(Calc_OtherCosts_1[[Ausnet]:[United Energy]],MATCH($D138,Calc_OtherCosts_1[Cost item],0),MATCH(H$90,Calc_OtherCosts_1[[#Headers],[Ausnet]:[United Energy]],0))*$G$81,"-")</f>
        <v>0</v>
      </c>
      <c r="I138" s="170">
        <f>IFERROR(INDEX(Calc_OtherCosts_1[[Ausnet]:[United Energy]],MATCH($D138,Calc_OtherCosts_1[Cost item],0),MATCH(I$90,Calc_OtherCosts_1[[#Headers],[Ausnet]:[United Energy]],0))*$G$81,"-")</f>
        <v>0</v>
      </c>
      <c r="J138" s="170">
        <f>IFERROR(INDEX(Calc_OtherCosts_1[[Ausnet]:[United Energy]],MATCH($D138,Calc_OtherCosts_1[Cost item],0),MATCH(J$90,Calc_OtherCosts_1[[#Headers],[Ausnet]:[United Energy]],0))*$G$81,"-")</f>
        <v>0</v>
      </c>
      <c r="K138" s="170">
        <f>IFERROR(INDEX(Calc_OtherCosts_1[[Ausnet]:[United Energy]],MATCH($D138,Calc_OtherCosts_1[Cost item],0),MATCH(K$90,Calc_OtherCosts_1[[#Headers],[Ausnet]:[United Energy]],0))*$G$81,"-")</f>
        <v>0</v>
      </c>
      <c r="L138" s="170">
        <f>IFERROR(INDEX(Calc_OtherCosts_1[[Ausnet]:[United Energy]],MATCH($D138,Calc_OtherCosts_1[Cost item],0),MATCH(L$90,Calc_OtherCosts_1[[#Headers],[Ausnet]:[United Energy]],0))*$G$81,"-")</f>
        <v>0</v>
      </c>
      <c r="N138" s="170">
        <f t="shared" ref="N138:N141" si="254">AVERAGE(O138:S138)</f>
        <v>0</v>
      </c>
      <c r="O138" s="170">
        <f>INDEX(Calc_OtherCosts_2[[Ausnet]:[United Energy]],MATCH($D138,Calc_OtherCosts_2[Cost item],0),MATCH(O$90,Calc_OtherCosts_2[[#Headers],[Ausnet]:[United Energy]],0))*$N$81</f>
        <v>0</v>
      </c>
      <c r="P138" s="170">
        <f>INDEX(Calc_OtherCosts_2[[Ausnet]:[United Energy]],MATCH($D138,Calc_OtherCosts_2[Cost item],0),MATCH(P$90,Calc_OtherCosts_2[[#Headers],[Ausnet]:[United Energy]],0))*$N$81</f>
        <v>0</v>
      </c>
      <c r="Q138" s="170">
        <f>INDEX(Calc_OtherCosts_2[[Ausnet]:[United Energy]],MATCH($D138,Calc_OtherCosts_2[Cost item],0),MATCH(Q$90,Calc_OtherCosts_2[[#Headers],[Ausnet]:[United Energy]],0))*$N$81</f>
        <v>0</v>
      </c>
      <c r="R138" s="170">
        <f>INDEX(Calc_OtherCosts_2[[Ausnet]:[United Energy]],MATCH($D138,Calc_OtherCosts_2[Cost item],0),MATCH(R$90,Calc_OtherCosts_2[[#Headers],[Ausnet]:[United Energy]],0))*$N$81</f>
        <v>0</v>
      </c>
      <c r="S138" s="170">
        <f>INDEX(Calc_OtherCosts_2[[Ausnet]:[United Energy]],MATCH($D138,Calc_OtherCosts_2[Cost item],0),MATCH(S$90,Calc_OtherCosts_2[[#Headers],[Ausnet]:[United Energy]],0))*$N$81</f>
        <v>0</v>
      </c>
      <c r="U138" s="170">
        <f t="shared" si="251"/>
        <v>0</v>
      </c>
      <c r="V138" s="170">
        <f t="shared" si="251"/>
        <v>0</v>
      </c>
      <c r="W138" s="170">
        <f t="shared" si="251"/>
        <v>0</v>
      </c>
      <c r="X138" s="170">
        <f t="shared" si="251"/>
        <v>0</v>
      </c>
      <c r="Y138" s="170">
        <f t="shared" si="251"/>
        <v>0</v>
      </c>
      <c r="Z138" s="170">
        <f t="shared" si="251"/>
        <v>0</v>
      </c>
      <c r="AB138" s="268">
        <f>IFERROR(U138/G$92,"-")</f>
        <v>0</v>
      </c>
      <c r="AC138" s="268">
        <f t="shared" si="252"/>
        <v>0</v>
      </c>
      <c r="AD138" s="268">
        <f t="shared" si="252"/>
        <v>0</v>
      </c>
      <c r="AE138" s="268">
        <f t="shared" si="252"/>
        <v>0</v>
      </c>
      <c r="AF138" s="268">
        <f t="shared" si="252"/>
        <v>0</v>
      </c>
      <c r="AG138" s="268">
        <f t="shared" si="252"/>
        <v>0</v>
      </c>
      <c r="AI138" s="300"/>
    </row>
    <row r="139" spans="3:35" outlineLevel="1" x14ac:dyDescent="0.25">
      <c r="C139" t="s">
        <v>273</v>
      </c>
      <c r="D139" s="59" t="s">
        <v>758</v>
      </c>
      <c r="E139" s="59" t="s">
        <v>130</v>
      </c>
      <c r="G139" s="170">
        <f t="shared" si="253"/>
        <v>2.5168728956228956</v>
      </c>
      <c r="H139" s="170">
        <f>IFERROR(INDEX(Calc_OtherCosts_1[[Ausnet]:[United Energy]],MATCH($D139,Calc_OtherCosts_1[Cost item],0),MATCH(H$90,Calc_OtherCosts_1[[#Headers],[Ausnet]:[United Energy]],0))*$G$81,"-")</f>
        <v>2.5168728956228956</v>
      </c>
      <c r="I139" s="170">
        <f>IFERROR(INDEX(Calc_OtherCosts_1[[Ausnet]:[United Energy]],MATCH($D139,Calc_OtherCosts_1[Cost item],0),MATCH(I$90,Calc_OtherCosts_1[[#Headers],[Ausnet]:[United Energy]],0))*$G$81,"-")</f>
        <v>2.5168728956228956</v>
      </c>
      <c r="J139" s="170">
        <f>IFERROR(INDEX(Calc_OtherCosts_1[[Ausnet]:[United Energy]],MATCH($D139,Calc_OtherCosts_1[Cost item],0),MATCH(J$90,Calc_OtherCosts_1[[#Headers],[Ausnet]:[United Energy]],0))*$G$81,"-")</f>
        <v>2.5168728956228956</v>
      </c>
      <c r="K139" s="170">
        <f>IFERROR(INDEX(Calc_OtherCosts_1[[Ausnet]:[United Energy]],MATCH($D139,Calc_OtherCosts_1[Cost item],0),MATCH(K$90,Calc_OtherCosts_1[[#Headers],[Ausnet]:[United Energy]],0))*$G$81,"-")</f>
        <v>2.5168728956228956</v>
      </c>
      <c r="L139" s="170">
        <f>IFERROR(INDEX(Calc_OtherCosts_1[[Ausnet]:[United Energy]],MATCH($D139,Calc_OtherCosts_1[Cost item],0),MATCH(L$90,Calc_OtherCosts_1[[#Headers],[Ausnet]:[United Energy]],0))*$G$81,"-")</f>
        <v>2.5168728956228956</v>
      </c>
      <c r="N139" s="170">
        <f t="shared" si="254"/>
        <v>2.4649999999999999</v>
      </c>
      <c r="O139" s="170">
        <f>INDEX(Calc_OtherCosts_2[[Ausnet]:[United Energy]],MATCH($D139,Calc_OtherCosts_2[Cost item],0),MATCH(O$90,Calc_OtherCosts_2[[#Headers],[Ausnet]:[United Energy]],0))*$N$81</f>
        <v>2.4649999999999999</v>
      </c>
      <c r="P139" s="170">
        <f>INDEX(Calc_OtherCosts_2[[Ausnet]:[United Energy]],MATCH($D139,Calc_OtherCosts_2[Cost item],0),MATCH(P$90,Calc_OtherCosts_2[[#Headers],[Ausnet]:[United Energy]],0))*$N$81</f>
        <v>2.4649999999999999</v>
      </c>
      <c r="Q139" s="170">
        <f>INDEX(Calc_OtherCosts_2[[Ausnet]:[United Energy]],MATCH($D139,Calc_OtherCosts_2[Cost item],0),MATCH(Q$90,Calc_OtherCosts_2[[#Headers],[Ausnet]:[United Energy]],0))*$N$81</f>
        <v>2.4649999999999999</v>
      </c>
      <c r="R139" s="170">
        <f>INDEX(Calc_OtherCosts_2[[Ausnet]:[United Energy]],MATCH($D139,Calc_OtherCosts_2[Cost item],0),MATCH(R$90,Calc_OtherCosts_2[[#Headers],[Ausnet]:[United Energy]],0))*$N$81</f>
        <v>2.4649999999999999</v>
      </c>
      <c r="S139" s="170">
        <f>INDEX(Calc_OtherCosts_2[[Ausnet]:[United Energy]],MATCH($D139,Calc_OtherCosts_2[Cost item],0),MATCH(S$90,Calc_OtherCosts_2[[#Headers],[Ausnet]:[United Energy]],0))*$N$81</f>
        <v>2.4649999999999999</v>
      </c>
      <c r="U139" s="170">
        <f t="shared" ref="U139:U140" si="255">IFERROR(N139-G139,"-")</f>
        <v>-5.1872895622895765E-2</v>
      </c>
      <c r="V139" s="170">
        <f t="shared" ref="V139:V140" si="256">IFERROR(O139-H139,"-")</f>
        <v>-5.1872895622895765E-2</v>
      </c>
      <c r="W139" s="170">
        <f t="shared" ref="W139:W140" si="257">IFERROR(P139-I139,"-")</f>
        <v>-5.1872895622895765E-2</v>
      </c>
      <c r="X139" s="170">
        <f t="shared" ref="X139:X140" si="258">IFERROR(Q139-J139,"-")</f>
        <v>-5.1872895622895765E-2</v>
      </c>
      <c r="Y139" s="170">
        <f t="shared" ref="Y139:Y140" si="259">IFERROR(R139-K139,"-")</f>
        <v>-5.1872895622895765E-2</v>
      </c>
      <c r="Z139" s="170">
        <f t="shared" ref="Z139:Z140" si="260">IFERROR(S139-L139,"-")</f>
        <v>-5.1872895622895765E-2</v>
      </c>
      <c r="AB139" s="268">
        <f>IFERROR(U139/G$92,"-")</f>
        <v>-9.5653504744414105E-6</v>
      </c>
      <c r="AC139" s="268">
        <f t="shared" ref="AC139:AC140" si="261">IFERROR(V139/H$92,"-")</f>
        <v>-7.4072391293582415E-6</v>
      </c>
      <c r="AD139" s="268">
        <f t="shared" ref="AD139:AD140" si="262">IFERROR(W139/I$92,"-")</f>
        <v>-1.0797855042234756E-5</v>
      </c>
      <c r="AE139" s="268">
        <f t="shared" ref="AE139:AE140" si="263">IFERROR(X139/J$92,"-")</f>
        <v>-9.6453878064142364E-6</v>
      </c>
      <c r="AF139" s="268">
        <f t="shared" ref="AF139:AF140" si="264">IFERROR(Y139/K$92,"-")</f>
        <v>-1.0259670811490459E-5</v>
      </c>
      <c r="AG139" s="268">
        <f t="shared" ref="AG139:AG140" si="265">IFERROR(Z139/L$92,"-")</f>
        <v>-1.0647146063812759E-5</v>
      </c>
      <c r="AI139" s="300"/>
    </row>
    <row r="140" spans="3:35" outlineLevel="1" x14ac:dyDescent="0.25">
      <c r="C140" t="s">
        <v>273</v>
      </c>
      <c r="D140" s="59" t="s">
        <v>757</v>
      </c>
      <c r="E140" s="59" t="s">
        <v>130</v>
      </c>
      <c r="G140" s="170">
        <f t="shared" si="253"/>
        <v>0.53563956228956233</v>
      </c>
      <c r="H140" s="170">
        <f>IFERROR(INDEX(Calc_OtherCosts_1[[Ausnet]:[United Energy]],MATCH($D140,Calc_OtherCosts_1[Cost item],0),MATCH(H$90,Calc_OtherCosts_1[[#Headers],[Ausnet]:[United Energy]],0))*$G$81,"-")</f>
        <v>0.53563956228956233</v>
      </c>
      <c r="I140" s="170">
        <f>IFERROR(INDEX(Calc_OtherCosts_1[[Ausnet]:[United Energy]],MATCH($D140,Calc_OtherCosts_1[Cost item],0),MATCH(I$90,Calc_OtherCosts_1[[#Headers],[Ausnet]:[United Energy]],0))*$G$81,"-")</f>
        <v>0.53563956228956233</v>
      </c>
      <c r="J140" s="170">
        <f>IFERROR(INDEX(Calc_OtherCosts_1[[Ausnet]:[United Energy]],MATCH($D140,Calc_OtherCosts_1[Cost item],0),MATCH(J$90,Calc_OtherCosts_1[[#Headers],[Ausnet]:[United Energy]],0))*$G$81,"-")</f>
        <v>0.53563956228956233</v>
      </c>
      <c r="K140" s="170">
        <f>IFERROR(INDEX(Calc_OtherCosts_1[[Ausnet]:[United Energy]],MATCH($D140,Calc_OtherCosts_1[Cost item],0),MATCH(K$90,Calc_OtherCosts_1[[#Headers],[Ausnet]:[United Energy]],0))*$G$81,"-")</f>
        <v>0.53563956228956233</v>
      </c>
      <c r="L140" s="170">
        <f>IFERROR(INDEX(Calc_OtherCosts_1[[Ausnet]:[United Energy]],MATCH($D140,Calc_OtherCosts_1[Cost item],0),MATCH(L$90,Calc_OtherCosts_1[[#Headers],[Ausnet]:[United Energy]],0))*$G$81,"-")</f>
        <v>0.53563956228956233</v>
      </c>
      <c r="N140" s="170">
        <f t="shared" si="254"/>
        <v>0.52460000000000007</v>
      </c>
      <c r="O140" s="170">
        <f>INDEX(Calc_OtherCosts_2[[Ausnet]:[United Energy]],MATCH($D140,Calc_OtherCosts_2[Cost item],0),MATCH(O$90,Calc_OtherCosts_2[[#Headers],[Ausnet]:[United Energy]],0))*$N$81</f>
        <v>0.52460000000000007</v>
      </c>
      <c r="P140" s="170">
        <f>INDEX(Calc_OtherCosts_2[[Ausnet]:[United Energy]],MATCH($D140,Calc_OtherCosts_2[Cost item],0),MATCH(P$90,Calc_OtherCosts_2[[#Headers],[Ausnet]:[United Energy]],0))*$N$81</f>
        <v>0.52460000000000007</v>
      </c>
      <c r="Q140" s="170">
        <f>INDEX(Calc_OtherCosts_2[[Ausnet]:[United Energy]],MATCH($D140,Calc_OtherCosts_2[Cost item],0),MATCH(Q$90,Calc_OtherCosts_2[[#Headers],[Ausnet]:[United Energy]],0))*$N$81</f>
        <v>0.52460000000000007</v>
      </c>
      <c r="R140" s="170">
        <f>INDEX(Calc_OtherCosts_2[[Ausnet]:[United Energy]],MATCH($D140,Calc_OtherCosts_2[Cost item],0),MATCH(R$90,Calc_OtherCosts_2[[#Headers],[Ausnet]:[United Energy]],0))*$N$81</f>
        <v>0.52460000000000007</v>
      </c>
      <c r="S140" s="170">
        <f>INDEX(Calc_OtherCosts_2[[Ausnet]:[United Energy]],MATCH($D140,Calc_OtherCosts_2[Cost item],0),MATCH(S$90,Calc_OtherCosts_2[[#Headers],[Ausnet]:[United Energy]],0))*$N$81</f>
        <v>0.52460000000000007</v>
      </c>
      <c r="U140" s="170">
        <f t="shared" si="255"/>
        <v>-1.1039562289562266E-2</v>
      </c>
      <c r="V140" s="170">
        <f t="shared" si="256"/>
        <v>-1.1039562289562266E-2</v>
      </c>
      <c r="W140" s="170">
        <f t="shared" si="257"/>
        <v>-1.1039562289562266E-2</v>
      </c>
      <c r="X140" s="170">
        <f t="shared" si="258"/>
        <v>-1.1039562289562266E-2</v>
      </c>
      <c r="Y140" s="170">
        <f t="shared" si="259"/>
        <v>-1.1039562289562266E-2</v>
      </c>
      <c r="Z140" s="170">
        <f t="shared" si="260"/>
        <v>-1.1039562289562266E-2</v>
      </c>
      <c r="AB140" s="268">
        <f t="shared" ref="AB140" si="266">IFERROR(U140/G$92,"-")</f>
        <v>-2.0356928433638699E-6</v>
      </c>
      <c r="AC140" s="268">
        <f t="shared" si="261"/>
        <v>-1.5764047250553E-6</v>
      </c>
      <c r="AD140" s="268">
        <f t="shared" si="262"/>
        <v>-2.2979938154792394E-6</v>
      </c>
      <c r="AE140" s="268">
        <f t="shared" si="263"/>
        <v>-2.0527263461439693E-6</v>
      </c>
      <c r="AF140" s="268">
        <f t="shared" si="264"/>
        <v>-2.1834577313216506E-6</v>
      </c>
      <c r="AG140" s="268">
        <f t="shared" si="265"/>
        <v>-2.2659200101728787E-6</v>
      </c>
      <c r="AI140" s="300"/>
    </row>
    <row r="141" spans="3:35" outlineLevel="1" x14ac:dyDescent="0.25">
      <c r="C141" t="s">
        <v>273</v>
      </c>
      <c r="D141" s="59" t="s">
        <v>163</v>
      </c>
      <c r="E141" s="59" t="s">
        <v>130</v>
      </c>
      <c r="G141" s="170">
        <f t="shared" si="253"/>
        <v>6.9379952739165089</v>
      </c>
      <c r="H141" s="170">
        <f>IFERROR(INDEX(Calc_OtherCosts_1[[Ausnet]:[United Energy]],MATCH($D141,Calc_OtherCosts_1[Cost item],0),MATCH(H$90,Calc_OtherCosts_1[[#Headers],[Ausnet]:[United Energy]],0))*$G$81,"-")</f>
        <v>6.9379952739165089</v>
      </c>
      <c r="I141" s="170">
        <f>IFERROR(INDEX(Calc_OtherCosts_1[[Ausnet]:[United Energy]],MATCH($D141,Calc_OtherCosts_1[Cost item],0),MATCH(I$90,Calc_OtherCosts_1[[#Headers],[Ausnet]:[United Energy]],0))*$G$81,"-")</f>
        <v>6.9379952739165089</v>
      </c>
      <c r="J141" s="170">
        <f>IFERROR(INDEX(Calc_OtherCosts_1[[Ausnet]:[United Energy]],MATCH($D141,Calc_OtherCosts_1[Cost item],0),MATCH(J$90,Calc_OtherCosts_1[[#Headers],[Ausnet]:[United Energy]],0))*$G$81,"-")</f>
        <v>6.9379952739165089</v>
      </c>
      <c r="K141" s="170">
        <f>IFERROR(INDEX(Calc_OtherCosts_1[[Ausnet]:[United Energy]],MATCH($D141,Calc_OtherCosts_1[Cost item],0),MATCH(K$90,Calc_OtherCosts_1[[#Headers],[Ausnet]:[United Energy]],0))*$G$81,"-")</f>
        <v>6.9379952739165089</v>
      </c>
      <c r="L141" s="170">
        <f>IFERROR(INDEX(Calc_OtherCosts_1[[Ausnet]:[United Energy]],MATCH($D141,Calc_OtherCosts_1[Cost item],0),MATCH(L$90,Calc_OtherCosts_1[[#Headers],[Ausnet]:[United Energy]],0))*$G$81,"-")</f>
        <v>6.9379952739165089</v>
      </c>
      <c r="N141" s="170">
        <f t="shared" si="254"/>
        <v>6.5195940508151464</v>
      </c>
      <c r="O141" s="170">
        <f>INDEX(Calc_OtherCosts_2[[Ausnet]:[United Energy]],MATCH($D141,Calc_OtherCosts_2[Cost item],0),MATCH(O$90,Calc_OtherCosts_2[[#Headers],[Ausnet]:[United Energy]],0))*$N$81</f>
        <v>6.5195940508151473</v>
      </c>
      <c r="P141" s="170">
        <f>INDEX(Calc_OtherCosts_2[[Ausnet]:[United Energy]],MATCH($D141,Calc_OtherCosts_2[Cost item],0),MATCH(P$90,Calc_OtherCosts_2[[#Headers],[Ausnet]:[United Energy]],0))*$N$81</f>
        <v>6.5195940508151473</v>
      </c>
      <c r="Q141" s="170">
        <f>INDEX(Calc_OtherCosts_2[[Ausnet]:[United Energy]],MATCH($D141,Calc_OtherCosts_2[Cost item],0),MATCH(Q$90,Calc_OtherCosts_2[[#Headers],[Ausnet]:[United Energy]],0))*$N$81</f>
        <v>6.5195940508151473</v>
      </c>
      <c r="R141" s="170">
        <f>INDEX(Calc_OtherCosts_2[[Ausnet]:[United Energy]],MATCH($D141,Calc_OtherCosts_2[Cost item],0),MATCH(R$90,Calc_OtherCosts_2[[#Headers],[Ausnet]:[United Energy]],0))*$N$81</f>
        <v>6.5195940508151473</v>
      </c>
      <c r="S141" s="170">
        <f>INDEX(Calc_OtherCosts_2[[Ausnet]:[United Energy]],MATCH($D141,Calc_OtherCosts_2[Cost item],0),MATCH(S$90,Calc_OtherCosts_2[[#Headers],[Ausnet]:[United Energy]],0))*$N$81</f>
        <v>6.5195940508151473</v>
      </c>
      <c r="U141" s="170">
        <f t="shared" si="251"/>
        <v>-0.41840122310136252</v>
      </c>
      <c r="V141" s="170">
        <f t="shared" si="251"/>
        <v>-0.41840122310136163</v>
      </c>
      <c r="W141" s="170">
        <f t="shared" si="251"/>
        <v>-0.41840122310136163</v>
      </c>
      <c r="X141" s="170">
        <f t="shared" si="251"/>
        <v>-0.41840122310136163</v>
      </c>
      <c r="Y141" s="170">
        <f t="shared" si="251"/>
        <v>-0.41840122310136163</v>
      </c>
      <c r="Z141" s="170">
        <f t="shared" si="251"/>
        <v>-0.41840122310136163</v>
      </c>
      <c r="AB141" s="268">
        <f>IFERROR(U141/G$92,"-")</f>
        <v>-7.7153092956179698E-5</v>
      </c>
      <c r="AC141" s="268">
        <f t="shared" si="252"/>
        <v>-5.9745997872534858E-5</v>
      </c>
      <c r="AD141" s="268">
        <f t="shared" si="252"/>
        <v>-8.70943428604E-5</v>
      </c>
      <c r="AE141" s="268">
        <f t="shared" si="252"/>
        <v>-7.7798665507876837E-5</v>
      </c>
      <c r="AF141" s="268">
        <f t="shared" si="252"/>
        <v>-8.2753406467832603E-5</v>
      </c>
      <c r="AG141" s="268">
        <f t="shared" si="252"/>
        <v>-8.5878740373842698E-5</v>
      </c>
      <c r="AI141" s="300"/>
    </row>
    <row r="142" spans="3:35" outlineLevel="1" x14ac:dyDescent="0.25">
      <c r="AB142" s="122"/>
      <c r="AC142" s="122"/>
      <c r="AD142" s="122"/>
      <c r="AE142" s="122"/>
      <c r="AF142" s="122"/>
      <c r="AG142" s="122"/>
      <c r="AI142" s="300"/>
    </row>
    <row r="143" spans="3:35" outlineLevel="1" x14ac:dyDescent="0.25">
      <c r="C143" t="s">
        <v>128</v>
      </c>
      <c r="D143" s="59" t="s">
        <v>283</v>
      </c>
      <c r="E143" s="59" t="s">
        <v>130</v>
      </c>
      <c r="G143" s="170">
        <f>AVERAGE(H143:L143)</f>
        <v>1317.0800000000002</v>
      </c>
      <c r="H143" s="170">
        <f>INDEX(Calc_WholesaleSME_1[[Ausnet]:[United Energy]],MATCH($D143,Calc_WholesaleSME_1[Cost item],0),MATCH(H$90,Calc_WholesaleSME_1[[#Headers],[Ausnet]:[United Energy]],0))*$G$81</f>
        <v>1303.8000000000002</v>
      </c>
      <c r="I143" s="170">
        <f>INDEX(Calc_WholesaleSME_1[[Ausnet]:[United Energy]],MATCH($D143,Calc_WholesaleSME_1[Cost item],0),MATCH(I$90,Calc_WholesaleSME_1[[#Headers],[Ausnet]:[United Energy]],0))*$G$81</f>
        <v>1339.6</v>
      </c>
      <c r="J143" s="170">
        <f>INDEX(Calc_WholesaleSME_1[[Ausnet]:[United Energy]],MATCH($D143,Calc_WholesaleSME_1[Cost item],0),MATCH(J$90,Calc_WholesaleSME_1[[#Headers],[Ausnet]:[United Energy]],0))*$G$81</f>
        <v>1322.2</v>
      </c>
      <c r="K143" s="170">
        <f>INDEX(Calc_WholesaleSME_1[[Ausnet]:[United Energy]],MATCH($D143,Calc_WholesaleSME_1[Cost item],0),MATCH(K$90,Calc_WholesaleSME_1[[#Headers],[Ausnet]:[United Energy]],0))*$G$81</f>
        <v>1279.8000000000002</v>
      </c>
      <c r="L143" s="170">
        <f>INDEX(Calc_WholesaleSME_1[[Ausnet]:[United Energy]],MATCH($D143,Calc_WholesaleSME_1[Cost item],0),MATCH(L$90,Calc_WholesaleSME_1[[#Headers],[Ausnet]:[United Energy]],0))*$G$81</f>
        <v>1340</v>
      </c>
      <c r="N143" s="170">
        <f>AVERAGE(O143:S143)</f>
        <v>1271.8399999999999</v>
      </c>
      <c r="O143" s="170">
        <f>INDEX(Calc_WholesaleSME_2[[Ausnet]:[United Energy]],MATCH($D143,Calc_WholesaleSME_2[Cost item],0),MATCH(O$90,Calc_WholesaleSME_2[[#Headers],[Ausnet]:[United Energy]],0))*$N$81</f>
        <v>1259.7999999999997</v>
      </c>
      <c r="P143" s="170">
        <f>INDEX(Calc_WholesaleSME_2[[Ausnet]:[United Energy]],MATCH($D143,Calc_WholesaleSME_2[Cost item],0),MATCH(P$90,Calc_WholesaleSME_2[[#Headers],[Ausnet]:[United Energy]],0))*$N$81</f>
        <v>1282.2</v>
      </c>
      <c r="Q143" s="170">
        <f>INDEX(Calc_WholesaleSME_2[[Ausnet]:[United Energy]],MATCH($D143,Calc_WholesaleSME_2[Cost item],0),MATCH(Q$90,Calc_WholesaleSME_2[[#Headers],[Ausnet]:[United Energy]],0))*$N$81</f>
        <v>1283.5999999999999</v>
      </c>
      <c r="R143" s="170">
        <f>INDEX(Calc_WholesaleSME_2[[Ausnet]:[United Energy]],MATCH($D143,Calc_WholesaleSME_2[Cost item],0),MATCH(R$90,Calc_WholesaleSME_2[[#Headers],[Ausnet]:[United Energy]],0))*$N$81</f>
        <v>1224.5999999999999</v>
      </c>
      <c r="S143" s="170">
        <f>INDEX(Calc_WholesaleSME_2[[Ausnet]:[United Energy]],MATCH($D143,Calc_WholesaleSME_2[Cost item],0),MATCH(S$90,Calc_WholesaleSME_2[[#Headers],[Ausnet]:[United Energy]],0))*$N$81</f>
        <v>1308.9999999999998</v>
      </c>
      <c r="U143" s="170">
        <f>IFERROR(N143-G143,"-")</f>
        <v>-45.240000000000236</v>
      </c>
      <c r="V143" s="170">
        <f t="shared" ref="V143:Z143" si="267">IFERROR(O143-H143,"-")</f>
        <v>-44.000000000000455</v>
      </c>
      <c r="W143" s="170">
        <f t="shared" si="267"/>
        <v>-57.399999999999864</v>
      </c>
      <c r="X143" s="170">
        <f t="shared" si="267"/>
        <v>-38.600000000000136</v>
      </c>
      <c r="Y143" s="170">
        <f t="shared" si="267"/>
        <v>-55.200000000000273</v>
      </c>
      <c r="Z143" s="170">
        <f t="shared" si="267"/>
        <v>-31.000000000000227</v>
      </c>
      <c r="AB143" s="268">
        <f>IFERROR(U143/G$92,"-")</f>
        <v>-8.3422459893048567E-3</v>
      </c>
      <c r="AC143" s="268">
        <f t="shared" ref="AC143:AG143" si="268">IFERROR(V143/H$92,"-")</f>
        <v>-6.2830215621876989E-3</v>
      </c>
      <c r="AD143" s="268">
        <f t="shared" si="268"/>
        <v>-1.1948376353039105E-2</v>
      </c>
      <c r="AE143" s="268">
        <f t="shared" si="268"/>
        <v>-7.1773893640758903E-3</v>
      </c>
      <c r="AF143" s="268">
        <f t="shared" si="268"/>
        <v>-1.0917721518987396E-2</v>
      </c>
      <c r="AG143" s="268">
        <f t="shared" si="268"/>
        <v>-6.3628899835796856E-3</v>
      </c>
      <c r="AI143" s="300"/>
    </row>
    <row r="144" spans="3:35" outlineLevel="1" x14ac:dyDescent="0.25">
      <c r="AI144" s="300"/>
    </row>
    <row r="145" spans="4:35" outlineLevel="1" x14ac:dyDescent="0.25">
      <c r="D145" s="252" t="s">
        <v>710</v>
      </c>
      <c r="E145" s="57" t="s">
        <v>130</v>
      </c>
      <c r="F145" s="252"/>
      <c r="G145" s="205">
        <f>AVERAGE(H145:L145)</f>
        <v>4232.3215716513305</v>
      </c>
      <c r="H145" s="205">
        <f>H123+H124+H125+H129+H130+H131+H133+H134+H135+SUM(H137:H141)+H143</f>
        <v>5602.9316006928075</v>
      </c>
      <c r="I145" s="205">
        <f t="shared" ref="I145:L145" si="269">I123+I124+I125+I129+I130+I131+I133+I134+I135+SUM(I137:I141)+I143</f>
        <v>3680.0119393134682</v>
      </c>
      <c r="J145" s="205">
        <f t="shared" si="269"/>
        <v>4203.8412196461277</v>
      </c>
      <c r="K145" s="205">
        <f t="shared" si="269"/>
        <v>3878.0728644012247</v>
      </c>
      <c r="L145" s="205">
        <f t="shared" si="269"/>
        <v>3796.7502342030234</v>
      </c>
      <c r="M145" s="252"/>
      <c r="N145" s="205">
        <f>AVERAGE(O145:S145)</f>
        <v>4122.0599020616146</v>
      </c>
      <c r="O145" s="205">
        <f>O123+O124+O125+O129+O130+O131+O133+O134+O135+SUM(O137:O141)+O143</f>
        <v>5491.8607978694017</v>
      </c>
      <c r="P145" s="205">
        <f t="shared" ref="P145:S145" si="270">P123+P124+P125+P129+P130+P131+P133+P134+P135+SUM(P137:P141)+P143</f>
        <v>3558.0712594715769</v>
      </c>
      <c r="Q145" s="205">
        <f t="shared" si="270"/>
        <v>4102.1170178881002</v>
      </c>
      <c r="R145" s="205">
        <f t="shared" si="270"/>
        <v>3755.7940148528519</v>
      </c>
      <c r="S145" s="205">
        <f t="shared" si="270"/>
        <v>3702.4564202261436</v>
      </c>
      <c r="U145" s="170">
        <f>IFERROR(N145-G145,"-")</f>
        <v>-110.26166958971589</v>
      </c>
      <c r="V145" s="170">
        <f t="shared" ref="V145" si="271">IFERROR(O145-H145,"-")</f>
        <v>-111.07080282340576</v>
      </c>
      <c r="W145" s="170">
        <f>IFERROR(P145-I145,"-")</f>
        <v>-121.94067984189132</v>
      </c>
      <c r="X145" s="170">
        <f t="shared" ref="X145:Z145" si="272">IFERROR(Q145-J145,"-")</f>
        <v>-101.72420175802745</v>
      </c>
      <c r="Y145" s="170">
        <f t="shared" si="272"/>
        <v>-122.27884954837282</v>
      </c>
      <c r="Z145" s="170">
        <f t="shared" si="272"/>
        <v>-94.293813976879846</v>
      </c>
      <c r="AI145" s="300"/>
    </row>
    <row r="146" spans="4:35" outlineLevel="1" x14ac:dyDescent="0.25"/>
    <row r="147" spans="4:35" outlineLevel="1" x14ac:dyDescent="0.25"/>
    <row r="149" spans="4:35" x14ac:dyDescent="0.25">
      <c r="N149" s="113"/>
      <c r="O149" s="113"/>
      <c r="P149" s="113"/>
      <c r="Q149" s="113"/>
      <c r="R149" s="113"/>
      <c r="S149" s="113"/>
    </row>
    <row r="151" spans="4:35" x14ac:dyDescent="0.25">
      <c r="O151" s="113"/>
      <c r="P151" s="113"/>
      <c r="Q151" s="113"/>
      <c r="R151" s="113"/>
      <c r="S151" s="113"/>
    </row>
    <row r="201" spans="8:19" x14ac:dyDescent="0.25">
      <c r="H201" s="87"/>
      <c r="I201" s="87"/>
      <c r="J201" s="87"/>
      <c r="K201" s="87"/>
      <c r="L201" s="87"/>
      <c r="O201" s="87"/>
      <c r="P201" s="87"/>
      <c r="Q201" s="87"/>
      <c r="R201" s="87"/>
      <c r="S201" s="87"/>
    </row>
  </sheetData>
  <sheetProtection algorithmName="SHA-512" hashValue="KsS9YSliNdc+8Z2H615mh37H/9Sr4P0UHayRmCnKs9Y//S0aojeRxMbo11/k8co57CWY+n/V7FTe7kpeBaC0pA==" saltValue="3o/GMqFGPykuRXp8PCm2MQ==" spinCount="100000" sheet="1" objects="1" scenarios="1"/>
  <mergeCells count="1">
    <mergeCell ref="A2:A3"/>
  </mergeCells>
  <conditionalFormatting sqref="U96:U104 U107 U109:U112 U114:U115 U117:U118 U123:U125 U128:U131 U143 U137:U141 U133:U135">
    <cfRule type="colorScale" priority="3">
      <colorScale>
        <cfvo type="min"/>
        <cfvo type="max"/>
        <color rgb="FFFCFCFF"/>
        <color rgb="FFF8696B"/>
      </colorScale>
    </cfRule>
  </conditionalFormatting>
  <conditionalFormatting sqref="U24:U25 U27 U29:U32 U35 U37:U40 U42:U43 U45:U46 U51:U53 U56:U59 U71 U65:U69 U61:U63">
    <cfRule type="colorScale" priority="2">
      <colorScale>
        <cfvo type="min"/>
        <cfvo type="max"/>
        <color rgb="FFFCFCFF"/>
        <color rgb="FFF8696B"/>
      </colorScale>
    </cfRule>
  </conditionalFormatting>
  <conditionalFormatting sqref="U61:U62">
    <cfRule type="colorScale" priority="1">
      <colorScale>
        <cfvo type="min"/>
        <cfvo type="max"/>
        <color rgb="FFFCFCFF"/>
        <color rgb="FFF8696B"/>
      </colorScale>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0745E-84FD-4567-9225-6CFD2ED37715}">
  <sheetPr>
    <tabColor rgb="FFFFB13F"/>
  </sheetPr>
  <dimension ref="A1:Z79"/>
  <sheetViews>
    <sheetView showGridLines="0" topLeftCell="B1" zoomScale="70" zoomScaleNormal="70" workbookViewId="0">
      <pane ySplit="3" topLeftCell="A37" activePane="bottomLeft" state="frozen"/>
      <selection pane="bottomLeft" activeCell="M54" sqref="M54"/>
    </sheetView>
  </sheetViews>
  <sheetFormatPr defaultRowHeight="15" outlineLevelCol="1" x14ac:dyDescent="0.25"/>
  <cols>
    <col min="1" max="1" width="100.5703125" hidden="1" customWidth="1" outlineLevel="1"/>
    <col min="2" max="2" width="10.5703125" style="6" customWidth="1" collapsed="1"/>
    <col min="3" max="4" width="50.5703125" customWidth="1"/>
    <col min="5" max="5" width="15.5703125" hidden="1" customWidth="1"/>
    <col min="6" max="8" width="15.5703125" customWidth="1"/>
    <col min="9" max="12" width="15.5703125" hidden="1" customWidth="1"/>
    <col min="13" max="14" width="20.5703125" customWidth="1"/>
    <col min="15" max="16" width="15.5703125" customWidth="1"/>
    <col min="17" max="17" width="5.5703125" style="153" hidden="1" customWidth="1"/>
    <col min="18" max="18" width="25.5703125" hidden="1" customWidth="1"/>
    <col min="19" max="21" width="15.5703125" hidden="1" customWidth="1"/>
    <col min="22" max="22" width="5.5703125" customWidth="1"/>
    <col min="23" max="23" width="25.5703125" customWidth="1"/>
    <col min="24" max="26" width="15.5703125" customWidth="1"/>
  </cols>
  <sheetData>
    <row r="1" spans="1:26" ht="15" customHeight="1" x14ac:dyDescent="0.25">
      <c r="A1" s="1" t="s">
        <v>20</v>
      </c>
      <c r="B1" s="21"/>
      <c r="C1" s="22"/>
      <c r="D1" s="22"/>
      <c r="E1" s="22"/>
      <c r="F1" s="22"/>
      <c r="G1" s="22"/>
      <c r="H1" s="22"/>
      <c r="I1" s="22"/>
      <c r="J1" s="22"/>
      <c r="K1" s="22"/>
      <c r="L1" s="22"/>
      <c r="M1" s="22"/>
      <c r="N1" s="22"/>
      <c r="O1" s="22"/>
      <c r="P1" s="22"/>
      <c r="Q1" s="313"/>
      <c r="R1" s="22"/>
      <c r="S1" s="22"/>
      <c r="T1" s="22"/>
      <c r="U1" s="22"/>
      <c r="V1" s="22"/>
      <c r="W1" s="22"/>
      <c r="X1" s="22"/>
      <c r="Y1" s="22"/>
      <c r="Z1" s="22"/>
    </row>
    <row r="2" spans="1:26" s="4" customFormat="1" ht="50.1" customHeight="1" x14ac:dyDescent="0.25">
      <c r="A2" s="382" t="s">
        <v>21</v>
      </c>
      <c r="B2" s="25"/>
      <c r="C2" s="25" t="str">
        <f>Disclaimer!$B$1</f>
        <v>VDO calculation model</v>
      </c>
      <c r="D2" s="25"/>
      <c r="E2" s="25"/>
      <c r="F2" s="25"/>
      <c r="G2" s="25"/>
      <c r="H2" s="25"/>
      <c r="I2" s="25"/>
      <c r="J2" s="25"/>
      <c r="K2" s="25"/>
      <c r="L2" s="25"/>
      <c r="M2" s="25"/>
      <c r="N2" s="25"/>
      <c r="O2" s="25"/>
      <c r="P2" s="25"/>
      <c r="Q2" s="30"/>
      <c r="R2" s="25"/>
      <c r="S2" s="25"/>
      <c r="T2" s="25"/>
      <c r="U2" s="25"/>
      <c r="V2" s="25"/>
      <c r="W2" s="25"/>
      <c r="X2" s="25"/>
      <c r="Y2" s="25"/>
      <c r="Z2" s="25"/>
    </row>
    <row r="3" spans="1:26" s="4" customFormat="1" ht="30" customHeight="1" x14ac:dyDescent="0.25">
      <c r="A3" s="383"/>
      <c r="B3" s="27">
        <f ca="1">_xlfn.SHEET()</f>
        <v>27</v>
      </c>
      <c r="C3" s="26" t="s">
        <v>785</v>
      </c>
      <c r="D3" s="26"/>
      <c r="E3" s="26"/>
      <c r="F3" s="26"/>
      <c r="G3" s="26"/>
      <c r="H3" s="26"/>
      <c r="I3" s="26"/>
      <c r="J3" s="26"/>
      <c r="K3" s="26"/>
      <c r="L3" s="26"/>
      <c r="M3" s="26"/>
      <c r="N3" s="26"/>
      <c r="O3" s="26"/>
      <c r="P3" s="26"/>
      <c r="Q3" s="27"/>
      <c r="R3" s="26"/>
      <c r="S3" s="26"/>
      <c r="T3" s="26"/>
      <c r="U3" s="26"/>
      <c r="V3" s="26"/>
      <c r="W3" s="26"/>
      <c r="X3" s="26"/>
      <c r="Y3" s="26"/>
      <c r="Z3" s="26"/>
    </row>
    <row r="4" spans="1:26" x14ac:dyDescent="0.25">
      <c r="B4"/>
    </row>
    <row r="5" spans="1:26" x14ac:dyDescent="0.25">
      <c r="B5"/>
    </row>
    <row r="6" spans="1:26" ht="16.5" thickBot="1" x14ac:dyDescent="0.3">
      <c r="A6" s="1" t="s">
        <v>23</v>
      </c>
      <c r="B6" s="9">
        <f ca="1">MAX(B$3:B5)+0.1</f>
        <v>27.1</v>
      </c>
      <c r="C6" s="28" t="s">
        <v>795</v>
      </c>
      <c r="D6" s="28"/>
      <c r="E6" s="28"/>
      <c r="F6" s="28"/>
      <c r="G6" s="28"/>
      <c r="H6" s="28"/>
      <c r="I6" s="28"/>
      <c r="J6" s="28"/>
      <c r="K6" s="28"/>
      <c r="L6" s="28"/>
      <c r="M6" s="28"/>
      <c r="N6" s="28"/>
      <c r="O6" s="28"/>
      <c r="P6" s="28"/>
      <c r="Q6" s="314"/>
      <c r="R6" s="28"/>
      <c r="S6" s="28"/>
      <c r="T6" s="28"/>
      <c r="U6" s="28"/>
      <c r="V6" s="28"/>
      <c r="W6" s="28"/>
      <c r="X6" s="28"/>
      <c r="Y6" s="28"/>
      <c r="Z6" s="28"/>
    </row>
    <row r="8" spans="1:26" ht="15.75" x14ac:dyDescent="0.25">
      <c r="I8" s="29" t="s">
        <v>786</v>
      </c>
      <c r="J8" s="29" t="s">
        <v>801</v>
      </c>
      <c r="K8" s="29" t="s">
        <v>797</v>
      </c>
      <c r="M8" s="29" t="s">
        <v>786</v>
      </c>
      <c r="N8" s="29" t="s">
        <v>808</v>
      </c>
      <c r="O8" s="29" t="s">
        <v>797</v>
      </c>
      <c r="R8" s="29" t="s">
        <v>800</v>
      </c>
    </row>
    <row r="9" spans="1:26" s="10" customFormat="1" ht="31.5" x14ac:dyDescent="0.25">
      <c r="B9" s="322"/>
      <c r="C9" s="323" t="s">
        <v>45</v>
      </c>
      <c r="D9" s="323" t="s">
        <v>46</v>
      </c>
      <c r="E9" s="323" t="s">
        <v>410</v>
      </c>
      <c r="F9" s="172" t="str">
        <f>Calc_Rates!$D$5</f>
        <v>VDO 2022-23 - Draft</v>
      </c>
      <c r="G9" s="172" t="str">
        <f>Calc_Rates!$D$254</f>
        <v>VDO 2022 - Final</v>
      </c>
      <c r="I9" s="172" t="str">
        <f>Calc_Rates!$D$5</f>
        <v>VDO 2022-23 - Draft</v>
      </c>
      <c r="J9" s="172" t="str">
        <f>Calc_Rates!$D$5</f>
        <v>VDO 2022-23 - Draft</v>
      </c>
      <c r="K9" s="172" t="str">
        <f>Calc_Rates!$D$5</f>
        <v>VDO 2022-23 - Draft</v>
      </c>
      <c r="M9" s="172" t="str">
        <f>Calc_Rates!$D$5</f>
        <v>VDO 2022-23 - Draft</v>
      </c>
      <c r="N9" s="172" t="str">
        <f>Calc_Rates!$D$254</f>
        <v>VDO 2022 - Final</v>
      </c>
      <c r="O9" s="172" t="str">
        <f>Calc_Rates!$D$254</f>
        <v>VDO 2022 - Final</v>
      </c>
      <c r="Q9" s="34"/>
      <c r="R9" s="41" t="str">
        <f>Calc_Rates!$D$5</f>
        <v>VDO 2022-23 - Draft</v>
      </c>
      <c r="W9" s="41" t="str">
        <f>Calc_Rates!$D$5</f>
        <v>VDO 2022-23 - Draft</v>
      </c>
    </row>
    <row r="10" spans="1:26" x14ac:dyDescent="0.25">
      <c r="Q10" s="153">
        <v>1</v>
      </c>
      <c r="R10" t="str">
        <f>INDEX($D$13:$D$38,MATCH($Q10,K$13:K$38,0),1)</f>
        <v>VEU cost</v>
      </c>
      <c r="S10" s="337">
        <f>INDEX($I$13:$I$38,MATCH($Q10,K$13:K$38,0),1)</f>
        <v>25.433316705047901</v>
      </c>
      <c r="T10" s="339">
        <f>INDEX($J$13:$J$38,MATCH($Q10,K$13:K$38,0),1)</f>
        <v>1.8012263955416361E-2</v>
      </c>
      <c r="V10" s="153">
        <v>1</v>
      </c>
      <c r="W10" t="str">
        <f>INDEX($D$13:$D$38,MATCH($V10,O$13:O$38,0),1)</f>
        <v>Wholesale cost</v>
      </c>
      <c r="X10" s="337">
        <f>INDEX($M$13:$M$38,MATCH($V10,O$13:O$38,0),1)</f>
        <v>16.160000000000025</v>
      </c>
      <c r="Y10" s="339">
        <f>INDEX($N$13:$N$38,MATCH($V10,O$13:O$38,0),1)</f>
        <v>1.2041728763040258E-2</v>
      </c>
    </row>
    <row r="11" spans="1:26" x14ac:dyDescent="0.25">
      <c r="C11" s="335" t="s">
        <v>375</v>
      </c>
      <c r="D11" s="335"/>
      <c r="E11" s="336">
        <v>1412</v>
      </c>
      <c r="F11" s="336">
        <f>ROUNDUP(SUM(F13:F38),0)</f>
        <v>1361</v>
      </c>
      <c r="G11" s="336">
        <f>ROUNDUP(SUM(G13:G38),0)</f>
        <v>1342</v>
      </c>
      <c r="H11" s="252"/>
      <c r="I11" s="333">
        <f t="shared" ref="I11" si="0">IF(F11="-",0,F11)-IF(E11="-",0,E11)</f>
        <v>-51</v>
      </c>
      <c r="J11" s="338">
        <f>IFERROR((F11-E11)/E11,"-")</f>
        <v>-3.6118980169971671E-2</v>
      </c>
      <c r="L11" s="252"/>
      <c r="M11" s="333">
        <f>IF(F11="-",0,F11)-IF(G11="-",0,G11)</f>
        <v>19</v>
      </c>
      <c r="N11" s="338">
        <f>IFERROR((F11-G11)/G11,"-")</f>
        <v>1.4157973174366617E-2</v>
      </c>
      <c r="Q11" s="153">
        <v>2</v>
      </c>
      <c r="R11" t="str">
        <f>INDEX($D$13:$D$38,MATCH($Q11,K$13:K$38,0),1)</f>
        <v>LRET cost</v>
      </c>
      <c r="S11" s="337">
        <f>INDEX($I$13:$I$38,MATCH($Q11,K$13:K$38,0),1)</f>
        <v>4.6296590704187963</v>
      </c>
      <c r="T11" s="339">
        <f>INDEX($J$13:$J$38,MATCH($Q11,K$13:K$38,0),1)</f>
        <v>3.2787953756507056E-3</v>
      </c>
      <c r="V11" s="153">
        <v>2</v>
      </c>
      <c r="W11" t="str">
        <f>INDEX($D$13:$D$38,MATCH($V11,O$13:O$38,0),1)</f>
        <v>VEU cost</v>
      </c>
      <c r="X11" s="337">
        <f>INDEX($M$13:$M$38,MATCH($V11,O$13:O$38,0),1)</f>
        <v>8.4820299592141026</v>
      </c>
      <c r="Y11" s="339">
        <f>INDEX($N$13:$N$38,MATCH($V11,O$13:O$38,0),1)</f>
        <v>6.3204396119330127E-3</v>
      </c>
    </row>
    <row r="12" spans="1:26" x14ac:dyDescent="0.25">
      <c r="Q12" s="153">
        <v>3</v>
      </c>
      <c r="R12" t="str">
        <f>INDEX($D$13:$D$38,MATCH($Q12,K$13:K$38,0),1)</f>
        <v>Environmental - Anytime VDO</v>
      </c>
      <c r="S12" s="337">
        <f>INDEX($I$13:$I$38,MATCH($Q12,K$13:K$38,0),1)</f>
        <v>3.4470990000280799</v>
      </c>
      <c r="T12" s="339">
        <f>INDEX($J$13:$J$38,MATCH($Q12,K$13:K$38,0),1)</f>
        <v>2.4412882436459491E-3</v>
      </c>
      <c r="V12" s="153">
        <v>3</v>
      </c>
      <c r="W12" t="str">
        <f>INDEX($D$13:$D$38,MATCH($V12,O$13:O$38,0),1)</f>
        <v>LRET cost</v>
      </c>
      <c r="X12" s="337">
        <f>INDEX($M$13:$M$38,MATCH($V12,O$13:O$38,0),1)</f>
        <v>4.4920639999999992</v>
      </c>
      <c r="Y12" s="339">
        <f>INDEX($N$13:$N$38,MATCH($V12,O$13:O$38,0),1)</f>
        <v>3.3472906110283153E-3</v>
      </c>
    </row>
    <row r="13" spans="1:26" x14ac:dyDescent="0.25">
      <c r="C13" s="23" t="s">
        <v>313</v>
      </c>
      <c r="D13" s="23" t="s">
        <v>121</v>
      </c>
      <c r="E13" s="326">
        <v>0</v>
      </c>
      <c r="F13" s="324" cm="1">
        <f t="array" ref="F13">INDEX(CH_CostItems_Anytime!$G$24:$G$71,MATCH(1,(CH_CostItems_Anytime!$C$24:$C$71=TBL_Comparison!$C13)*(CH_CostItems_Anytime!$D$24:$D$71=TBL_Comparison!$D13),0),1)</f>
        <v>0</v>
      </c>
      <c r="G13" s="324" cm="1">
        <f t="array" ref="G13">INDEX(CH_CostItems_Anytime!$N$24:$N$71,MATCH(1,(CH_CostItems_Anytime!$C$24:$C$71=TBL_Comparison!$C13)*(CH_CostItems_Anytime!$D$24:$D$71=TBL_Comparison!$D13),0),1)</f>
        <v>12.530679555985406</v>
      </c>
      <c r="I13" s="328">
        <f>IF(F13="-",0,F13)-IF(E13="-",0,E13)</f>
        <v>0</v>
      </c>
      <c r="J13" s="255">
        <f t="shared" ref="J13:J38" si="1">IFERROR((F13-E13)/E$11,"-")</f>
        <v>0</v>
      </c>
      <c r="K13">
        <f>_xlfn.RANK.EQ(I13,$I$13:$I$38)</f>
        <v>16</v>
      </c>
      <c r="M13" s="328">
        <f>IF(F13="-",0,F13)-IF(G13="-",0,G13)</f>
        <v>-12.530679555985406</v>
      </c>
      <c r="N13" s="255">
        <f>IFERROR((F13-G13)/G$11,"-")</f>
        <v>-9.3373171058013463E-3</v>
      </c>
      <c r="O13">
        <f>_xlfn.RANK.EQ(M13,$M$13:$M$38)</f>
        <v>26</v>
      </c>
      <c r="Q13" s="153">
        <v>4</v>
      </c>
      <c r="R13" t="str">
        <f>INDEX($D$13:$D$38,MATCH($Q13,K$13:K$38,0),1)</f>
        <v>Metering</v>
      </c>
      <c r="S13" s="337">
        <f>INDEX($I$13:$I$38,MATCH($Q13,K$13:K$38,0),1)</f>
        <v>3.245406165270694</v>
      </c>
      <c r="T13" s="339">
        <f>INDEX($J$13:$J$38,MATCH($Q13,K$13:K$38,0),1)</f>
        <v>2.2984462926846274E-3</v>
      </c>
      <c r="V13" s="153">
        <v>4</v>
      </c>
      <c r="W13" t="str">
        <f>INDEX($D$13:$D$38,MATCH($V13,O$13:O$38,0),1)</f>
        <v>GST (anytime)</v>
      </c>
      <c r="X13" s="337">
        <f>INDEX($M$13:$M$38,MATCH($V13,O$13:O$38,0),1)</f>
        <v>3.7347711153002336</v>
      </c>
      <c r="Y13" s="339">
        <f>INDEX($N$13:$N$38,MATCH($V13,O$13:O$38,0),1)</f>
        <v>2.7829889085694737E-3</v>
      </c>
    </row>
    <row r="14" spans="1:26" x14ac:dyDescent="0.25">
      <c r="C14" s="23" t="s">
        <v>313</v>
      </c>
      <c r="D14" s="23" t="s">
        <v>706</v>
      </c>
      <c r="E14" s="326">
        <v>0</v>
      </c>
      <c r="F14" s="324" cm="1">
        <f t="array" ref="F14">INDEX(CH_CostItems_Anytime!$G$24:$G$71,MATCH(1,(CH_CostItems_Anytime!$C$24:$C$71=TBL_Comparison!$C14)*(CH_CostItems_Anytime!$D$24:$D$71=TBL_Comparison!$D14),0),1)</f>
        <v>3.4470990000280799</v>
      </c>
      <c r="G14" s="324" cm="1">
        <f t="array" ref="G14">INDEX(CH_CostItems_Anytime!$N$24:$N$71,MATCH(1,(CH_CostItems_Anytime!$C$24:$C$71=TBL_Comparison!$C14)*(CH_CostItems_Anytime!$D$24:$D$71=TBL_Comparison!$D14),0),1)</f>
        <v>13.079870942258086</v>
      </c>
      <c r="I14" s="328">
        <f t="shared" ref="I14:I38" si="2">IF(F14="-",0,F14)-IF(E14="-",0,E14)</f>
        <v>3.4470990000280799</v>
      </c>
      <c r="J14" s="255">
        <f t="shared" si="1"/>
        <v>2.4412882436459491E-3</v>
      </c>
      <c r="K14">
        <f t="shared" ref="K14:K38" si="3">_xlfn.RANK.EQ(I14,$I$13:$I$38)</f>
        <v>3</v>
      </c>
      <c r="M14" s="328">
        <f t="shared" ref="M14:M38" si="4">IF(F14="-",0,F14)-IF(G14="-",0,G14)</f>
        <v>-9.632771942230006</v>
      </c>
      <c r="N14" s="255">
        <f t="shared" ref="N14:N38" si="5">IFERROR((F14-G14)/G$11,"-")</f>
        <v>-7.177922460678097E-3</v>
      </c>
      <c r="O14">
        <f t="shared" ref="O14:O38" si="6">_xlfn.RANK.EQ(M14,$M$13:$M$38)</f>
        <v>25</v>
      </c>
      <c r="Q14" s="153">
        <v>5</v>
      </c>
      <c r="R14" t="str">
        <f>INDEX($D$13:$D$38,MATCH($Q14,K$13:K$38,0),1)</f>
        <v>Feed-in tariff (FiT)</v>
      </c>
      <c r="S14" s="337">
        <f>INDEX($I$13:$I$38,MATCH($Q14,K$13:K$38,0),1)</f>
        <v>2.4885733559337897</v>
      </c>
      <c r="T14" s="339">
        <f>INDEX($J$13:$J$38,MATCH($Q14,K$13:K$38,0),1)</f>
        <v>1.762445719499851E-3</v>
      </c>
      <c r="V14" s="153">
        <v>5</v>
      </c>
      <c r="W14" t="str">
        <f>INDEX($D$13:$D$38,MATCH($V14,O$13:O$38,0),1)</f>
        <v>Metering</v>
      </c>
      <c r="X14" s="337">
        <f>INDEX($M$13:$M$38,MATCH($V14,O$13:O$38,0),1)</f>
        <v>3.245406165270694</v>
      </c>
      <c r="Y14" s="339">
        <f>INDEX($N$13:$N$38,MATCH($V14,O$13:O$38,0),1)</f>
        <v>2.4183354435698169E-3</v>
      </c>
    </row>
    <row r="15" spans="1:26" x14ac:dyDescent="0.25">
      <c r="C15" s="23" t="s">
        <v>151</v>
      </c>
      <c r="D15" s="23" t="s">
        <v>116</v>
      </c>
      <c r="E15" s="326">
        <v>10.849248189087444</v>
      </c>
      <c r="F15" s="324" cm="1">
        <f t="array" ref="F15">INDEX(CH_CostItems_Anytime!$G$24:$G$71,MATCH(1,(CH_CostItems_Anytime!$C$24:$C$71=TBL_Comparison!$C15)*(CH_CostItems_Anytime!$D$24:$D$71=TBL_Comparison!$D15),0),1)</f>
        <v>13.337821545021233</v>
      </c>
      <c r="G15" s="324" cm="1">
        <f t="array" ref="G15">INDEX(CH_CostItems_Anytime!$N$24:$N$71,MATCH(1,(CH_CostItems_Anytime!$C$24:$C$71=TBL_Comparison!$C15)*(CH_CostItems_Anytime!$D$24:$D$71=TBL_Comparison!$D15),0),1)</f>
        <v>13.337821545021233</v>
      </c>
      <c r="I15" s="328">
        <f t="shared" si="2"/>
        <v>2.4885733559337897</v>
      </c>
      <c r="J15" s="255">
        <f t="shared" si="1"/>
        <v>1.762445719499851E-3</v>
      </c>
      <c r="K15">
        <f t="shared" si="3"/>
        <v>5</v>
      </c>
      <c r="M15" s="328">
        <f t="shared" si="4"/>
        <v>0</v>
      </c>
      <c r="N15" s="255">
        <f t="shared" si="5"/>
        <v>0</v>
      </c>
      <c r="O15">
        <f t="shared" si="6"/>
        <v>18</v>
      </c>
    </row>
    <row r="16" spans="1:26" x14ac:dyDescent="0.25">
      <c r="C16" s="23" t="s">
        <v>273</v>
      </c>
      <c r="D16" s="23" t="s">
        <v>117</v>
      </c>
      <c r="E16" s="326">
        <v>1.6939335514995686</v>
      </c>
      <c r="F16" s="324" cm="1">
        <f t="array" ref="F16">INDEX(CH_CostItems_Anytime!$G$24:$G$71,MATCH(1,(CH_CostItems_Anytime!$C$24:$C$71=TBL_Comparison!$C16)*(CH_CostItems_Anytime!$D$24:$D$71=TBL_Comparison!$D16),0),1)</f>
        <v>2.1846287133781956</v>
      </c>
      <c r="G16" s="324" cm="1">
        <f t="array" ref="G16">INDEX(CH_CostItems_Anytime!$N$24:$N$71,MATCH(1,(CH_CostItems_Anytime!$C$24:$C$71=TBL_Comparison!$C16)*(CH_CostItems_Anytime!$D$24:$D$71=TBL_Comparison!$D16),0),1)</f>
        <v>2.1558125061118716</v>
      </c>
      <c r="I16" s="328">
        <f t="shared" si="2"/>
        <v>0.49069516187862705</v>
      </c>
      <c r="J16" s="255">
        <f t="shared" si="1"/>
        <v>3.4751782002735628E-4</v>
      </c>
      <c r="K16">
        <f t="shared" si="3"/>
        <v>9</v>
      </c>
      <c r="M16" s="328">
        <f t="shared" si="4"/>
        <v>2.8816207266324056E-2</v>
      </c>
      <c r="N16" s="255">
        <f t="shared" si="5"/>
        <v>2.1472583655979179E-5</v>
      </c>
      <c r="O16">
        <f t="shared" si="6"/>
        <v>13</v>
      </c>
    </row>
    <row r="17" spans="3:25" ht="15.75" x14ac:dyDescent="0.25">
      <c r="C17" s="23" t="s">
        <v>273</v>
      </c>
      <c r="D17" s="23" t="s">
        <v>118</v>
      </c>
      <c r="E17" s="326">
        <v>2.46</v>
      </c>
      <c r="F17" s="324" cm="1">
        <f t="array" ref="F17">INDEX(CH_CostItems_Anytime!$G$24:$G$71,MATCH(1,(CH_CostItems_Anytime!$C$24:$C$71=TBL_Comparison!$C17)*(CH_CostItems_Anytime!$D$24:$D$71=TBL_Comparison!$D17),0),1)</f>
        <v>0</v>
      </c>
      <c r="G17" s="324" cm="1">
        <f t="array" ref="G17">INDEX(CH_CostItems_Anytime!$N$24:$N$71,MATCH(1,(CH_CostItems_Anytime!$C$24:$C$71=TBL_Comparison!$C17)*(CH_CostItems_Anytime!$D$24:$D$71=TBL_Comparison!$D17),0),1)</f>
        <v>0</v>
      </c>
      <c r="I17" s="328">
        <f t="shared" si="2"/>
        <v>-2.46</v>
      </c>
      <c r="J17" s="255">
        <f t="shared" si="1"/>
        <v>-1.7422096317280453E-3</v>
      </c>
      <c r="K17">
        <f t="shared" si="3"/>
        <v>21</v>
      </c>
      <c r="M17" s="328">
        <f t="shared" si="4"/>
        <v>0</v>
      </c>
      <c r="N17" s="255">
        <f t="shared" si="5"/>
        <v>0</v>
      </c>
      <c r="O17">
        <f t="shared" si="6"/>
        <v>18</v>
      </c>
      <c r="R17" s="29" t="s">
        <v>799</v>
      </c>
    </row>
    <row r="18" spans="3:25" x14ac:dyDescent="0.25">
      <c r="C18" s="23" t="s">
        <v>273</v>
      </c>
      <c r="D18" s="23" t="s">
        <v>724</v>
      </c>
      <c r="E18" s="326">
        <v>0.62589545454545448</v>
      </c>
      <c r="F18" s="324" cm="1">
        <f t="array" ref="F18">INDEX(CH_CostItems_Anytime!$G$24:$G$71,MATCH(1,(CH_CostItems_Anytime!$C$24:$C$71=TBL_Comparison!$C18)*(CH_CostItems_Anytime!$D$24:$D$71=TBL_Comparison!$D18),0),1)</f>
        <v>0.62916717171717162</v>
      </c>
      <c r="G18" s="324" cm="1">
        <f t="array" ref="G18">INDEX(CH_CostItems_Anytime!$N$24:$N$71,MATCH(1,(CH_CostItems_Anytime!$C$24:$C$71=TBL_Comparison!$C18)*(CH_CostItems_Anytime!$D$24:$D$71=TBL_Comparison!$D18),0),1)</f>
        <v>0.61619999999999997</v>
      </c>
      <c r="I18" s="328">
        <f t="shared" si="2"/>
        <v>3.2717171717171478E-3</v>
      </c>
      <c r="J18" s="255">
        <f t="shared" si="1"/>
        <v>2.3170801499413226E-6</v>
      </c>
      <c r="K18">
        <f t="shared" si="3"/>
        <v>15</v>
      </c>
      <c r="M18" s="328">
        <f t="shared" si="4"/>
        <v>1.2967171717171655E-2</v>
      </c>
      <c r="N18" s="255">
        <f t="shared" si="5"/>
        <v>9.6625720694274635E-6</v>
      </c>
      <c r="O18">
        <f t="shared" si="6"/>
        <v>15</v>
      </c>
      <c r="Q18" s="34"/>
      <c r="R18" s="41" t="str">
        <f>Calc_Rates!$D$5</f>
        <v>VDO 2022-23 - Draft</v>
      </c>
      <c r="S18" s="10"/>
      <c r="T18" s="10"/>
      <c r="U18" s="10"/>
      <c r="V18" s="10"/>
      <c r="W18" s="41" t="str">
        <f>Calc_Rates!$D$5</f>
        <v>VDO 2022-23 - Draft</v>
      </c>
      <c r="X18" s="10"/>
      <c r="Y18" s="10"/>
    </row>
    <row r="19" spans="3:25" x14ac:dyDescent="0.25">
      <c r="C19" s="23" t="s">
        <v>273</v>
      </c>
      <c r="D19" s="23" t="s">
        <v>120</v>
      </c>
      <c r="E19" s="326">
        <v>1.3468636363636362</v>
      </c>
      <c r="F19" s="324" cm="1">
        <f t="array" ref="F19">INDEX(CH_CostItems_Anytime!$G$24:$G$71,MATCH(1,(CH_CostItems_Anytime!$C$24:$C$71=TBL_Comparison!$C19)*(CH_CostItems_Anytime!$D$24:$D$71=TBL_Comparison!$D19),0),1)</f>
        <v>1.3762036363636363</v>
      </c>
      <c r="G19" s="324" cm="1">
        <f t="array" ref="G19">INDEX(CH_CostItems_Anytime!$N$24:$N$71,MATCH(1,(CH_CostItems_Anytime!$C$24:$C$71=TBL_Comparison!$C19)*(CH_CostItems_Anytime!$D$24:$D$71=TBL_Comparison!$D19),0),1)</f>
        <v>1.3478399999999999</v>
      </c>
      <c r="I19" s="328">
        <f t="shared" si="2"/>
        <v>2.9340000000000144E-2</v>
      </c>
      <c r="J19" s="255">
        <f t="shared" si="1"/>
        <v>2.0779036827195568E-5</v>
      </c>
      <c r="K19">
        <f t="shared" si="3"/>
        <v>13</v>
      </c>
      <c r="M19" s="328">
        <f t="shared" si="4"/>
        <v>2.8363636363636369E-2</v>
      </c>
      <c r="N19" s="255">
        <f t="shared" si="5"/>
        <v>2.1135347513887011E-5</v>
      </c>
      <c r="O19">
        <f t="shared" si="6"/>
        <v>14</v>
      </c>
      <c r="Q19" s="153">
        <f>MAX($K$13:$K$38)</f>
        <v>26</v>
      </c>
      <c r="R19" t="str">
        <f>INDEX($D$13:$D$38,MATCH($Q19,K$13:K$38,0),1)</f>
        <v>Wholesale cost</v>
      </c>
      <c r="S19" s="337">
        <f>INDEX($I$13:$I$38,MATCH($Q19,K$13:K$38,0),1)</f>
        <v>-75.767999999999972</v>
      </c>
      <c r="T19" s="339">
        <f>INDEX($J$13:$J$38,MATCH($Q19,K$13:K$38,0),1)</f>
        <v>-5.3660056657223773E-2</v>
      </c>
      <c r="V19" s="153">
        <f>MAX($O$13:$O$38)</f>
        <v>26</v>
      </c>
      <c r="W19" t="str">
        <f>INDEX($D$13:$D$38,MATCH($V19,O$13:O$38,0),1)</f>
        <v>Network</v>
      </c>
      <c r="X19" s="337">
        <f>INDEX($M$13:$M$38,MATCH($V19,O$13:O$38,0),1)</f>
        <v>-12.530679555985406</v>
      </c>
      <c r="Y19" s="339">
        <f>INDEX($N$13:$N$38,MATCH($V19,O$13:O$38,0),1)</f>
        <v>-9.3373171058013463E-3</v>
      </c>
    </row>
    <row r="20" spans="3:25" x14ac:dyDescent="0.25">
      <c r="C20" s="23" t="s">
        <v>121</v>
      </c>
      <c r="D20" s="23" t="s">
        <v>550</v>
      </c>
      <c r="E20" s="326">
        <v>100.6601</v>
      </c>
      <c r="F20" s="324" cm="1">
        <f t="array" ref="F20">INDEX(CH_CostItems_Anytime!$G$24:$G$71,MATCH(1,(CH_CostItems_Anytime!$C$24:$C$71=TBL_Comparison!$C20)*(CH_CostItems_Anytime!$D$24:$D$71=TBL_Comparison!$D20),0),1)</f>
        <v>100.6601</v>
      </c>
      <c r="G20" s="324" cm="1">
        <f t="array" ref="G20">INDEX(CH_CostItems_Anytime!$N$24:$N$71,MATCH(1,(CH_CostItems_Anytime!$C$24:$C$71=TBL_Comparison!$C20)*(CH_CostItems_Anytime!$D$24:$D$71=TBL_Comparison!$D20),0),1)</f>
        <v>100.6601</v>
      </c>
      <c r="I20" s="328">
        <f t="shared" si="2"/>
        <v>0</v>
      </c>
      <c r="J20" s="255">
        <f t="shared" si="1"/>
        <v>0</v>
      </c>
      <c r="K20">
        <f t="shared" si="3"/>
        <v>16</v>
      </c>
      <c r="M20" s="328">
        <f t="shared" si="4"/>
        <v>0</v>
      </c>
      <c r="N20" s="255">
        <f t="shared" si="5"/>
        <v>0</v>
      </c>
      <c r="O20">
        <f t="shared" si="6"/>
        <v>18</v>
      </c>
      <c r="Q20" s="153">
        <f>Q19-1</f>
        <v>25</v>
      </c>
      <c r="R20" t="str">
        <f>INDEX($D$13:$D$38,MATCH($Q20,K$13:K$38,0),1)</f>
        <v>SRES cost</v>
      </c>
      <c r="S20" s="337">
        <f>INDEX($I$13:$I$38,MATCH($Q20,K$13:K$38,0),1)</f>
        <v>-5.3599999999999923</v>
      </c>
      <c r="T20" s="339">
        <f>INDEX($J$13:$J$38,MATCH($Q20,K$13:K$38,0),1)</f>
        <v>-3.7960339943342723E-3</v>
      </c>
      <c r="V20" s="153">
        <f>V19-1</f>
        <v>25</v>
      </c>
      <c r="W20" t="str">
        <f>INDEX($D$13:$D$38,MATCH($V20,O$13:O$38,0),1)</f>
        <v>Environmental - Anytime VDO</v>
      </c>
      <c r="X20" s="337">
        <f>INDEX($M$13:$M$38,MATCH($V20,O$13:O$38,0),1)</f>
        <v>-9.632771942230006</v>
      </c>
      <c r="Y20" s="339">
        <f>INDEX($N$13:$N$38,MATCH($V20,O$13:O$38,0),1)</f>
        <v>-7.177922460678097E-3</v>
      </c>
    </row>
    <row r="21" spans="3:25" x14ac:dyDescent="0.25">
      <c r="C21" s="23" t="s">
        <v>121</v>
      </c>
      <c r="D21" s="23" t="s">
        <v>275</v>
      </c>
      <c r="E21" s="326">
        <v>55.641999999999996</v>
      </c>
      <c r="F21" s="324" cm="1">
        <f t="array" ref="F21">INDEX(CH_CostItems_Anytime!$G$24:$G$71,MATCH(1,(CH_CostItems_Anytime!$C$24:$C$71=TBL_Comparison!$C21)*(CH_CostItems_Anytime!$D$24:$D$71=TBL_Comparison!$D21),0),1)</f>
        <v>58.88740616527069</v>
      </c>
      <c r="G21" s="324" cm="1">
        <f t="array" ref="G21">INDEX(CH_CostItems_Anytime!$N$24:$N$71,MATCH(1,(CH_CostItems_Anytime!$C$24:$C$71=TBL_Comparison!$C21)*(CH_CostItems_Anytime!$D$24:$D$71=TBL_Comparison!$D21),0),1)</f>
        <v>55.641999999999996</v>
      </c>
      <c r="I21" s="328">
        <f t="shared" si="2"/>
        <v>3.245406165270694</v>
      </c>
      <c r="J21" s="255">
        <f t="shared" si="1"/>
        <v>2.2984462926846274E-3</v>
      </c>
      <c r="K21">
        <f t="shared" si="3"/>
        <v>4</v>
      </c>
      <c r="M21" s="328">
        <f t="shared" si="4"/>
        <v>3.245406165270694</v>
      </c>
      <c r="N21" s="255">
        <f t="shared" si="5"/>
        <v>2.4183354435698169E-3</v>
      </c>
      <c r="O21">
        <f t="shared" si="6"/>
        <v>5</v>
      </c>
      <c r="Q21" s="153">
        <f>Q20-1</f>
        <v>24</v>
      </c>
      <c r="R21" t="str">
        <f>INDEX($D$13:$D$38,MATCH($Q21,K$13:K$38,0),1)</f>
        <v>GST (anytime)</v>
      </c>
      <c r="S21" s="337">
        <f>INDEX($I$13:$I$38,MATCH($Q21,K$13:K$38,0),1)</f>
        <v>-4.9186615364133104</v>
      </c>
      <c r="T21" s="339">
        <f>INDEX($J$13:$J$38,MATCH($Q21,K$13:K$38,0),1)</f>
        <v>-3.4834713430689167E-3</v>
      </c>
      <c r="V21" s="153">
        <f t="shared" ref="V21:V23" si="7">V20-1</f>
        <v>24</v>
      </c>
      <c r="W21" t="str">
        <f>INDEX($D$13:$D$38,MATCH($V21,O$13:O$38,0),1)</f>
        <v>SRES cost</v>
      </c>
      <c r="X21" s="337">
        <f>INDEX($M$13:$M$38,MATCH($V21,O$13:O$38,0),1)</f>
        <v>-1.2800000000000011</v>
      </c>
      <c r="Y21" s="339">
        <f>INDEX($N$13:$N$38,MATCH($V21,O$13:O$38,0),1)</f>
        <v>-9.5380029806259401E-4</v>
      </c>
    </row>
    <row r="22" spans="3:25" x14ac:dyDescent="0.25">
      <c r="C22" s="23" t="s">
        <v>106</v>
      </c>
      <c r="D22" s="23" t="s">
        <v>292</v>
      </c>
      <c r="E22" s="326">
        <v>143.29536631887984</v>
      </c>
      <c r="F22" s="324" cm="1">
        <f t="array" ref="F22">INDEX(CH_CostItems_Anytime!$G$24:$G$71,MATCH(1,(CH_CostItems_Anytime!$C$24:$C$71=TBL_Comparison!$C22)*(CH_CostItems_Anytime!$D$24:$D$71=TBL_Comparison!$D22),0),1)</f>
        <v>143.50355199638659</v>
      </c>
      <c r="G22" s="324" cm="1">
        <f t="array" ref="G22">INDEX(CH_CostItems_Anytime!$N$24:$N$71,MATCH(1,(CH_CostItems_Anytime!$C$24:$C$71=TBL_Comparison!$C22)*(CH_CostItems_Anytime!$D$24:$D$71=TBL_Comparison!$D22),0),1)</f>
        <v>141.75366943089429</v>
      </c>
      <c r="I22" s="328">
        <f t="shared" si="2"/>
        <v>0.20818567750674788</v>
      </c>
      <c r="J22" s="255">
        <f t="shared" si="1"/>
        <v>1.4744028152035969E-4</v>
      </c>
      <c r="K22">
        <f t="shared" si="3"/>
        <v>10</v>
      </c>
      <c r="M22" s="328">
        <f t="shared" si="4"/>
        <v>1.7498825654922996</v>
      </c>
      <c r="N22" s="255">
        <f t="shared" si="5"/>
        <v>1.303936337922727E-3</v>
      </c>
      <c r="O22">
        <f t="shared" si="6"/>
        <v>7</v>
      </c>
      <c r="Q22" s="153">
        <f t="shared" ref="Q22:Q23" si="8">Q21-1</f>
        <v>23</v>
      </c>
      <c r="R22" t="str">
        <f>INDEX($D$13:$D$38,MATCH($Q22,K$13:K$38,0),1)</f>
        <v>Wholesale losses</v>
      </c>
      <c r="S22" s="337">
        <f>INDEX($I$13:$I$38,MATCH($Q22,K$13:K$38,0),1)</f>
        <v>-3.3751906417594988</v>
      </c>
      <c r="T22" s="339">
        <f>INDEX($J$13:$J$38,MATCH($Q22,K$13:K$38,0),1)</f>
        <v>-2.3903616443055943E-3</v>
      </c>
      <c r="V22" s="153">
        <f t="shared" si="7"/>
        <v>23</v>
      </c>
      <c r="W22" t="str">
        <f>INDEX($D$13:$D$38,MATCH($V22,O$13:O$38,0),1)</f>
        <v>Other losses</v>
      </c>
      <c r="X22" s="337">
        <f>INDEX($M$13:$M$38,MATCH($V22,O$13:O$38,0),1)</f>
        <v>-2.777530456599181E-2</v>
      </c>
      <c r="Y22" s="339">
        <f>INDEX($N$13:$N$38,MATCH($V22,O$13:O$38,0),1)</f>
        <v>-2.0696948260798666E-5</v>
      </c>
    </row>
    <row r="23" spans="3:25" x14ac:dyDescent="0.25">
      <c r="C23" s="23" t="s">
        <v>106</v>
      </c>
      <c r="D23" s="23" t="s">
        <v>114</v>
      </c>
      <c r="E23" s="326">
        <v>38.463414634146346</v>
      </c>
      <c r="F23" s="324" cm="1">
        <f t="array" ref="F23">INDEX(CH_CostItems_Anytime!$G$24:$G$71,MATCH(1,(CH_CostItems_Anytime!$C$24:$C$71=TBL_Comparison!$C23)*(CH_CostItems_Anytime!$D$24:$D$71=TBL_Comparison!$D23),0),1)</f>
        <v>40.151567944250871</v>
      </c>
      <c r="G23" s="324" cm="1">
        <f t="array" ref="G23">INDEX(CH_CostItems_Anytime!$N$24:$N$71,MATCH(1,(CH_CostItems_Anytime!$C$24:$C$71=TBL_Comparison!$C23)*(CH_CostItems_Anytime!$D$24:$D$71=TBL_Comparison!$D23),0),1)</f>
        <v>39.621951219512198</v>
      </c>
      <c r="I23" s="328">
        <f t="shared" si="2"/>
        <v>1.688153310104525</v>
      </c>
      <c r="J23" s="255">
        <f t="shared" si="1"/>
        <v>1.1955759986575956E-3</v>
      </c>
      <c r="K23">
        <f t="shared" si="3"/>
        <v>6</v>
      </c>
      <c r="M23" s="328">
        <f t="shared" si="4"/>
        <v>0.52961672473867338</v>
      </c>
      <c r="N23" s="255">
        <f t="shared" si="5"/>
        <v>3.9464733587084457E-4</v>
      </c>
      <c r="O23">
        <f t="shared" si="6"/>
        <v>10</v>
      </c>
      <c r="Q23" s="153">
        <f t="shared" si="8"/>
        <v>22</v>
      </c>
      <c r="R23" t="str">
        <f>INDEX($D$13:$D$38,MATCH($Q23,K$13:K$38,0),1)</f>
        <v>Retail margin (anytime)</v>
      </c>
      <c r="S23" s="337">
        <f>INDEX($I$13:$I$38,MATCH($Q23,K$13:K$38,0),1)</f>
        <v>-2.8016517993150245</v>
      </c>
      <c r="T23" s="339">
        <f>INDEX($J$13:$J$38,MATCH($Q23,K$13:K$38,0),1)</f>
        <v>-1.9841726624044084E-3</v>
      </c>
      <c r="V23" s="153">
        <f t="shared" si="7"/>
        <v>22</v>
      </c>
      <c r="W23" t="e">
        <f>INDEX($D$13:$D$38,MATCH($V23,O$13:O$38,0),1)</f>
        <v>#N/A</v>
      </c>
      <c r="X23" s="337" t="e">
        <f>INDEX($M$13:$M$38,MATCH($V23,O$13:O$38,0),1)</f>
        <v>#N/A</v>
      </c>
      <c r="Y23" s="339" t="e">
        <f>INDEX($N$13:$N$38,MATCH($V23,O$13:O$38,0),1)</f>
        <v>#N/A</v>
      </c>
    </row>
    <row r="24" spans="3:25" x14ac:dyDescent="0.25">
      <c r="C24" s="23" t="s">
        <v>151</v>
      </c>
      <c r="D24" s="23" t="s">
        <v>307</v>
      </c>
      <c r="E24" s="326">
        <v>22.348230726776563</v>
      </c>
      <c r="F24" s="324" cm="1">
        <f t="array" ref="F24">INDEX(CH_CostItems_Anytime!$G$24:$G$71,MATCH(1,(CH_CostItems_Anytime!$C$24:$C$71=TBL_Comparison!$C24)*(CH_CostItems_Anytime!$D$24:$D$71=TBL_Comparison!$D24),0),1)</f>
        <v>47.781547431824464</v>
      </c>
      <c r="G24" s="324" cm="1">
        <f t="array" ref="G24">INDEX(CH_CostItems_Anytime!$N$24:$N$71,MATCH(1,(CH_CostItems_Anytime!$C$24:$C$71=TBL_Comparison!$C24)*(CH_CostItems_Anytime!$D$24:$D$71=TBL_Comparison!$D24),0),1)</f>
        <v>39.299517472610361</v>
      </c>
      <c r="I24" s="328">
        <f t="shared" si="2"/>
        <v>25.433316705047901</v>
      </c>
      <c r="J24" s="255">
        <f t="shared" si="1"/>
        <v>1.8012263955416361E-2</v>
      </c>
      <c r="K24">
        <f t="shared" si="3"/>
        <v>1</v>
      </c>
      <c r="M24" s="328">
        <f t="shared" si="4"/>
        <v>8.4820299592141026</v>
      </c>
      <c r="N24" s="255">
        <f t="shared" si="5"/>
        <v>6.3204396119330127E-3</v>
      </c>
      <c r="O24">
        <f t="shared" si="6"/>
        <v>2</v>
      </c>
    </row>
    <row r="25" spans="3:25" x14ac:dyDescent="0.25">
      <c r="C25" s="23" t="s">
        <v>151</v>
      </c>
      <c r="D25" s="23" t="s">
        <v>309</v>
      </c>
      <c r="E25" s="326">
        <v>25.403108929581201</v>
      </c>
      <c r="F25" s="324" cm="1">
        <f t="array" ref="F25">INDEX(CH_CostItems_Anytime!$G$24:$G$71,MATCH(1,(CH_CostItems_Anytime!$C$24:$C$71=TBL_Comparison!$C25)*(CH_CostItems_Anytime!$D$24:$D$71=TBL_Comparison!$D25),0),1)</f>
        <v>30.032767999999997</v>
      </c>
      <c r="G25" s="324" cm="1">
        <f t="array" ref="G25">INDEX(CH_CostItems_Anytime!$N$24:$N$71,MATCH(1,(CH_CostItems_Anytime!$C$24:$C$71=TBL_Comparison!$C25)*(CH_CostItems_Anytime!$D$24:$D$71=TBL_Comparison!$D25),0),1)</f>
        <v>25.540703999999998</v>
      </c>
      <c r="I25" s="328">
        <f t="shared" si="2"/>
        <v>4.6296590704187963</v>
      </c>
      <c r="J25" s="255">
        <f t="shared" si="1"/>
        <v>3.2787953756507056E-3</v>
      </c>
      <c r="K25">
        <f t="shared" si="3"/>
        <v>2</v>
      </c>
      <c r="M25" s="328">
        <f t="shared" si="4"/>
        <v>4.4920639999999992</v>
      </c>
      <c r="N25" s="255">
        <f t="shared" si="5"/>
        <v>3.3472906110283153E-3</v>
      </c>
      <c r="O25">
        <f t="shared" si="6"/>
        <v>3</v>
      </c>
    </row>
    <row r="26" spans="3:25" x14ac:dyDescent="0.25">
      <c r="C26" s="23" t="s">
        <v>151</v>
      </c>
      <c r="D26" s="23" t="s">
        <v>311</v>
      </c>
      <c r="E26" s="326">
        <v>45.039999999999992</v>
      </c>
      <c r="F26" s="324" cm="1">
        <f t="array" ref="F26">INDEX(CH_CostItems_Anytime!$G$24:$G$71,MATCH(1,(CH_CostItems_Anytime!$C$24:$C$71=TBL_Comparison!$C26)*(CH_CostItems_Anytime!$D$24:$D$71=TBL_Comparison!$D26),0),1)</f>
        <v>39.68</v>
      </c>
      <c r="G26" s="324" cm="1">
        <f t="array" ref="G26">INDEX(CH_CostItems_Anytime!$N$24:$N$71,MATCH(1,(CH_CostItems_Anytime!$C$24:$C$71=TBL_Comparison!$C26)*(CH_CostItems_Anytime!$D$24:$D$71=TBL_Comparison!$D26),0),1)</f>
        <v>40.96</v>
      </c>
      <c r="I26" s="328">
        <f t="shared" si="2"/>
        <v>-5.3599999999999923</v>
      </c>
      <c r="J26" s="255">
        <f t="shared" si="1"/>
        <v>-3.7960339943342723E-3</v>
      </c>
      <c r="K26">
        <f t="shared" si="3"/>
        <v>25</v>
      </c>
      <c r="M26" s="328">
        <f t="shared" si="4"/>
        <v>-1.2800000000000011</v>
      </c>
      <c r="N26" s="255">
        <f t="shared" si="5"/>
        <v>-9.5380029806259401E-4</v>
      </c>
      <c r="O26">
        <f t="shared" si="6"/>
        <v>24</v>
      </c>
    </row>
    <row r="27" spans="3:25" x14ac:dyDescent="0.25">
      <c r="C27" s="23" t="s">
        <v>121</v>
      </c>
      <c r="D27" s="23" t="s">
        <v>707</v>
      </c>
      <c r="E27" s="326">
        <v>354.48240000000004</v>
      </c>
      <c r="F27" s="324" cm="1">
        <f t="array" ref="F27">INDEX(CH_CostItems_Anytime!$G$24:$G$71,MATCH(1,(CH_CostItems_Anytime!$C$24:$C$71=TBL_Comparison!$C27)*(CH_CostItems_Anytime!$D$24:$D$71=TBL_Comparison!$D27),0),1)</f>
        <v>354.48240000000004</v>
      </c>
      <c r="G27" s="324" cm="1">
        <f t="array" ref="G27">INDEX(CH_CostItems_Anytime!$N$24:$N$71,MATCH(1,(CH_CostItems_Anytime!$C$24:$C$71=TBL_Comparison!$C27)*(CH_CostItems_Anytime!$D$24:$D$71=TBL_Comparison!$D27),0),1)</f>
        <v>354.48240000000004</v>
      </c>
      <c r="I27" s="328">
        <f t="shared" si="2"/>
        <v>0</v>
      </c>
      <c r="J27" s="255">
        <f t="shared" si="1"/>
        <v>0</v>
      </c>
      <c r="K27">
        <f t="shared" si="3"/>
        <v>16</v>
      </c>
      <c r="M27" s="328">
        <f t="shared" si="4"/>
        <v>0</v>
      </c>
      <c r="N27" s="255">
        <f t="shared" si="5"/>
        <v>0</v>
      </c>
      <c r="O27">
        <f t="shared" si="6"/>
        <v>18</v>
      </c>
    </row>
    <row r="28" spans="3:25" x14ac:dyDescent="0.25">
      <c r="C28" s="23" t="s">
        <v>284</v>
      </c>
      <c r="D28" s="23" t="s">
        <v>814</v>
      </c>
      <c r="E28" s="326">
        <v>20.894830003302662</v>
      </c>
      <c r="F28" s="324" cm="1">
        <f t="array" ref="F28">INDEX(CH_CostItems_Anytime!$G$24:$G$71,MATCH(1,(CH_CostItems_Anytime!$C$24:$C$71=TBL_Comparison!$C28)*(CH_CostItems_Anytime!$D$24:$D$71=TBL_Comparison!$D28),0),1)</f>
        <v>17.519639361543163</v>
      </c>
      <c r="G28" s="324" cm="1">
        <f t="array" ref="G28">INDEX(CH_CostItems_Anytime!$N$24:$N$71,MATCH(1,(CH_CostItems_Anytime!$C$24:$C$71=TBL_Comparison!$C28)*(CH_CostItems_Anytime!$D$24:$D$71=TBL_Comparison!$D28),0),1)</f>
        <v>16.52642733766687</v>
      </c>
      <c r="I28" s="328">
        <f t="shared" si="2"/>
        <v>-3.3751906417594988</v>
      </c>
      <c r="J28" s="255">
        <f t="shared" si="1"/>
        <v>-2.3903616443055943E-3</v>
      </c>
      <c r="K28">
        <f t="shared" si="3"/>
        <v>23</v>
      </c>
      <c r="M28" s="328">
        <f t="shared" si="4"/>
        <v>0.9932120238762927</v>
      </c>
      <c r="N28" s="255">
        <f t="shared" si="5"/>
        <v>7.4009837844731202E-4</v>
      </c>
      <c r="O28">
        <f t="shared" si="6"/>
        <v>8</v>
      </c>
    </row>
    <row r="29" spans="3:25" x14ac:dyDescent="0.25">
      <c r="C29" s="23" t="s">
        <v>284</v>
      </c>
      <c r="D29" s="23" t="s">
        <v>815</v>
      </c>
      <c r="E29" s="326">
        <v>5.1367535939638787</v>
      </c>
      <c r="F29" s="324" cm="1">
        <f t="array" ref="F29">INDEX(CH_CostItems_Anytime!$G$24:$G$71,MATCH(1,(CH_CostItems_Anytime!$C$24:$C$71=TBL_Comparison!$C29)*(CH_CostItems_Anytime!$D$24:$D$71=TBL_Comparison!$D29),0),1)</f>
        <v>6.7907978401157774</v>
      </c>
      <c r="G29" s="324" cm="1">
        <f t="array" ref="G29">INDEX(CH_CostItems_Anytime!$N$24:$N$71,MATCH(1,(CH_CostItems_Anytime!$C$24:$C$71=TBL_Comparison!$C29)*(CH_CostItems_Anytime!$D$24:$D$71=TBL_Comparison!$D29),0),1)</f>
        <v>6.1149163925029297</v>
      </c>
      <c r="I29" s="328">
        <f t="shared" ref="I29:I30" si="9">IF(F29="-",0,F29)-IF(E29="-",0,E29)</f>
        <v>1.6540442461518987</v>
      </c>
      <c r="J29" s="255">
        <f t="shared" ref="J29:J30" si="10">IFERROR((F29-E29)/E$11,"-")</f>
        <v>1.1714194377846307E-3</v>
      </c>
      <c r="K29">
        <f t="shared" si="3"/>
        <v>7</v>
      </c>
      <c r="M29" s="328">
        <f t="shared" si="4"/>
        <v>0.67588144761284763</v>
      </c>
      <c r="N29" s="255">
        <f t="shared" si="5"/>
        <v>5.0363744233446173E-4</v>
      </c>
      <c r="O29">
        <f>_xlfn.RANK.EQ(M29,$M$13:$M$38)</f>
        <v>9</v>
      </c>
    </row>
    <row r="30" spans="3:25" x14ac:dyDescent="0.25">
      <c r="C30" s="23" t="s">
        <v>284</v>
      </c>
      <c r="D30" s="23" t="s">
        <v>816</v>
      </c>
      <c r="E30" s="326">
        <v>0.16255055076519404</v>
      </c>
      <c r="F30" s="324" cm="1">
        <f t="array" ref="F30">INDEX(CH_CostItems_Anytime!$G$24:$G$71,MATCH(1,(CH_CostItems_Anytime!$C$24:$C$71=TBL_Comparison!$C30)*(CH_CostItems_Anytime!$D$24:$D$71=TBL_Comparison!$D30),0),1)</f>
        <v>0.17462446775418164</v>
      </c>
      <c r="G30" s="324" cm="1">
        <f t="array" ref="G30">INDEX(CH_CostItems_Anytime!$N$24:$N$71,MATCH(1,(CH_CostItems_Anytime!$C$24:$C$71=TBL_Comparison!$C30)*(CH_CostItems_Anytime!$D$24:$D$71=TBL_Comparison!$D30),0),1)</f>
        <v>0.20239977232017345</v>
      </c>
      <c r="I30" s="328">
        <f t="shared" si="9"/>
        <v>1.2073916988987604E-2</v>
      </c>
      <c r="J30" s="255">
        <f t="shared" si="10"/>
        <v>8.550932711747595E-6</v>
      </c>
      <c r="K30">
        <f t="shared" si="3"/>
        <v>14</v>
      </c>
      <c r="M30" s="328">
        <f t="shared" si="4"/>
        <v>-2.777530456599181E-2</v>
      </c>
      <c r="N30" s="255">
        <f t="shared" si="5"/>
        <v>-2.0696948260798666E-5</v>
      </c>
      <c r="O30">
        <f t="shared" si="6"/>
        <v>23</v>
      </c>
    </row>
    <row r="31" spans="3:25" x14ac:dyDescent="0.25">
      <c r="C31" s="23" t="s">
        <v>273</v>
      </c>
      <c r="D31" s="23" t="s">
        <v>160</v>
      </c>
      <c r="E31" s="326">
        <v>1.4951608391608391</v>
      </c>
      <c r="F31" s="324" cm="1">
        <f t="array" ref="F31">INDEX(CH_CostItems_Anytime!$G$24:$G$71,MATCH(1,(CH_CostItems_Anytime!$C$24:$C$71=TBL_Comparison!$C31)*(CH_CostItems_Anytime!$D$24:$D$71=TBL_Comparison!$D31),0),1)</f>
        <v>1.6337517171717171</v>
      </c>
      <c r="G31" s="324" cm="1">
        <f t="array" ref="G31">INDEX(CH_CostItems_Anytime!$N$24:$N$71,MATCH(1,(CH_CostItems_Anytime!$C$24:$C$71=TBL_Comparison!$C31)*(CH_CostItems_Anytime!$D$24:$D$71=TBL_Comparison!$D31),0),1)</f>
        <v>1.6000799999999997</v>
      </c>
      <c r="I31" s="328">
        <f t="shared" si="2"/>
        <v>0.13859087801087799</v>
      </c>
      <c r="J31" s="255">
        <f t="shared" si="1"/>
        <v>9.815217989438951E-5</v>
      </c>
      <c r="K31">
        <f t="shared" si="3"/>
        <v>11</v>
      </c>
      <c r="M31" s="328">
        <f t="shared" si="4"/>
        <v>3.3671717171717352E-2</v>
      </c>
      <c r="N31" s="255">
        <f t="shared" si="5"/>
        <v>2.5090698339580741E-5</v>
      </c>
      <c r="O31">
        <f t="shared" si="6"/>
        <v>12</v>
      </c>
    </row>
    <row r="32" spans="3:25" x14ac:dyDescent="0.25">
      <c r="C32" s="23" t="s">
        <v>273</v>
      </c>
      <c r="D32" s="23" t="s">
        <v>162</v>
      </c>
      <c r="E32" s="326">
        <v>0</v>
      </c>
      <c r="F32" s="324" cm="1">
        <f t="array" ref="F32">INDEX(CH_CostItems_Anytime!$G$24:$G$71,MATCH(1,(CH_CostItems_Anytime!$C$24:$C$71=TBL_Comparison!$C32)*(CH_CostItems_Anytime!$D$24:$D$71=TBL_Comparison!$D32),0),1)</f>
        <v>0</v>
      </c>
      <c r="G32" s="324" cm="1">
        <f t="array" ref="G32">INDEX(CH_CostItems_Anytime!$N$24:$N$71,MATCH(1,(CH_CostItems_Anytime!$C$24:$C$71=TBL_Comparison!$C32)*(CH_CostItems_Anytime!$D$24:$D$71=TBL_Comparison!$D32),0),1)</f>
        <v>0</v>
      </c>
      <c r="I32" s="328">
        <f t="shared" si="2"/>
        <v>0</v>
      </c>
      <c r="J32" s="255">
        <f t="shared" si="1"/>
        <v>0</v>
      </c>
      <c r="K32">
        <f t="shared" si="3"/>
        <v>16</v>
      </c>
      <c r="M32" s="328">
        <f t="shared" si="4"/>
        <v>0</v>
      </c>
      <c r="N32" s="255">
        <f t="shared" si="5"/>
        <v>0</v>
      </c>
      <c r="O32">
        <f t="shared" si="6"/>
        <v>18</v>
      </c>
    </row>
    <row r="33" spans="1:26" x14ac:dyDescent="0.25">
      <c r="C33" s="23" t="s">
        <v>273</v>
      </c>
      <c r="D33" s="23" t="s">
        <v>758</v>
      </c>
      <c r="E33" s="326" t="s">
        <v>9</v>
      </c>
      <c r="F33" s="327" cm="1">
        <f t="array" ref="F33">INDEX(CH_CostItems_Anytime!$G$24:$G$71,MATCH(1,(CH_CostItems_Anytime!$C$24:$C$71=TBL_Comparison!$C33)*(CH_CostItems_Anytime!$D$24:$D$71=TBL_Comparison!$D33),0),1)</f>
        <v>0.50337457912457917</v>
      </c>
      <c r="G33" s="324" cm="1">
        <f t="array" ref="G33">INDEX(CH_CostItems_Anytime!$N$24:$N$71,MATCH(1,(CH_CostItems_Anytime!$C$24:$C$71=TBL_Comparison!$C33)*(CH_CostItems_Anytime!$D$24:$D$71=TBL_Comparison!$D33),0),1)</f>
        <v>0.49299999999999999</v>
      </c>
      <c r="I33" s="328">
        <f t="shared" si="2"/>
        <v>0.50337457912457917</v>
      </c>
      <c r="J33" s="255" t="str">
        <f t="shared" si="1"/>
        <v>-</v>
      </c>
      <c r="K33">
        <f t="shared" si="3"/>
        <v>8</v>
      </c>
      <c r="M33" s="328">
        <f t="shared" si="4"/>
        <v>1.0374579124579175E-2</v>
      </c>
      <c r="N33" s="255">
        <f t="shared" si="5"/>
        <v>7.7306848916387305E-6</v>
      </c>
      <c r="O33">
        <f t="shared" si="6"/>
        <v>16</v>
      </c>
    </row>
    <row r="34" spans="1:26" x14ac:dyDescent="0.25">
      <c r="C34" s="23" t="s">
        <v>273</v>
      </c>
      <c r="D34" s="23" t="s">
        <v>757</v>
      </c>
      <c r="E34" s="326" t="s">
        <v>9</v>
      </c>
      <c r="F34" s="327" cm="1">
        <f t="array" ref="F34">INDEX(CH_CostItems_Anytime!$G$24:$G$71,MATCH(1,(CH_CostItems_Anytime!$C$24:$C$71=TBL_Comparison!$C34)*(CH_CostItems_Anytime!$D$24:$D$71=TBL_Comparison!$D34),0),1)</f>
        <v>0.10712791245791246</v>
      </c>
      <c r="G34" s="324" cm="1">
        <f t="array" ref="G34">INDEX(CH_CostItems_Anytime!$N$24:$N$71,MATCH(1,(CH_CostItems_Anytime!$C$24:$C$71=TBL_Comparison!$C34)*(CH_CostItems_Anytime!$D$24:$D$71=TBL_Comparison!$D34),0),1)</f>
        <v>0.10491999999999999</v>
      </c>
      <c r="I34" s="328">
        <f t="shared" si="2"/>
        <v>0.10712791245791246</v>
      </c>
      <c r="J34" s="255" t="str">
        <f t="shared" si="1"/>
        <v>-</v>
      </c>
      <c r="K34">
        <f t="shared" si="3"/>
        <v>12</v>
      </c>
      <c r="M34" s="328">
        <f t="shared" si="4"/>
        <v>2.2079124579124781E-3</v>
      </c>
      <c r="N34" s="255">
        <f t="shared" si="5"/>
        <v>1.6452402816039331E-6</v>
      </c>
      <c r="O34">
        <f t="shared" si="6"/>
        <v>17</v>
      </c>
    </row>
    <row r="35" spans="1:26" x14ac:dyDescent="0.25">
      <c r="C35" s="23" t="s">
        <v>273</v>
      </c>
      <c r="D35" s="23" t="s">
        <v>163</v>
      </c>
      <c r="E35" s="326">
        <v>1.4411846739089889</v>
      </c>
      <c r="F35" s="324" cm="1">
        <f t="array" ref="F35">INDEX(CH_CostItems_Anytime!$G$24:$G$71,MATCH(1,(CH_CostItems_Anytime!$C$24:$C$71=TBL_Comparison!$C35)*(CH_CostItems_Anytime!$D$24:$D$71=TBL_Comparison!$D35),0),1)</f>
        <v>1.3875990547833017</v>
      </c>
      <c r="G35" s="324" cm="1">
        <f t="array" ref="G35">INDEX(CH_CostItems_Anytime!$N$24:$N$71,MATCH(1,(CH_CostItems_Anytime!$C$24:$C$71=TBL_Comparison!$C35)*(CH_CostItems_Anytime!$D$24:$D$71=TBL_Comparison!$D35),0),1)</f>
        <v>1.3039188101630295</v>
      </c>
      <c r="I35" s="328">
        <f t="shared" si="2"/>
        <v>-5.3585619125687156E-2</v>
      </c>
      <c r="J35" s="255">
        <f t="shared" si="1"/>
        <v>-3.7950155188163705E-5</v>
      </c>
      <c r="K35">
        <f t="shared" si="3"/>
        <v>20</v>
      </c>
      <c r="M35" s="328">
        <f t="shared" si="4"/>
        <v>8.3680244620272237E-2</v>
      </c>
      <c r="N35" s="255">
        <f t="shared" si="5"/>
        <v>6.235487676622373E-5</v>
      </c>
      <c r="O35">
        <f t="shared" si="6"/>
        <v>11</v>
      </c>
    </row>
    <row r="36" spans="1:26" x14ac:dyDescent="0.25">
      <c r="C36" s="23" t="s">
        <v>128</v>
      </c>
      <c r="D36" s="23" t="s">
        <v>283</v>
      </c>
      <c r="E36" s="326">
        <v>378.54399999999998</v>
      </c>
      <c r="F36" s="324" cm="1">
        <f t="array" ref="F36">INDEX(CH_CostItems_Anytime!$G$24:$G$71,MATCH(1,(CH_CostItems_Anytime!$C$24:$C$71=TBL_Comparison!$C36)*(CH_CostItems_Anytime!$D$24:$D$71=TBL_Comparison!$D36),0),1)</f>
        <v>302.77600000000001</v>
      </c>
      <c r="G36" s="324" cm="1">
        <f t="array" ref="G36">INDEX(CH_CostItems_Anytime!$N$24:$N$71,MATCH(1,(CH_CostItems_Anytime!$C$24:$C$71=TBL_Comparison!$C36)*(CH_CostItems_Anytime!$D$24:$D$71=TBL_Comparison!$D36),0),1)</f>
        <v>286.61599999999999</v>
      </c>
      <c r="I36" s="328">
        <f t="shared" si="2"/>
        <v>-75.767999999999972</v>
      </c>
      <c r="J36" s="255">
        <f t="shared" si="1"/>
        <v>-5.3660056657223773E-2</v>
      </c>
      <c r="K36">
        <f t="shared" si="3"/>
        <v>26</v>
      </c>
      <c r="M36" s="328">
        <f t="shared" si="4"/>
        <v>16.160000000000025</v>
      </c>
      <c r="N36" s="255">
        <f t="shared" si="5"/>
        <v>1.2041728763040258E-2</v>
      </c>
      <c r="O36">
        <f t="shared" si="6"/>
        <v>1</v>
      </c>
    </row>
    <row r="37" spans="1:26" x14ac:dyDescent="0.25">
      <c r="C37" s="23"/>
      <c r="D37" s="23" t="s">
        <v>708</v>
      </c>
      <c r="E37" s="326">
        <v>128.30681375845413</v>
      </c>
      <c r="F37" s="324" cm="1">
        <f t="array" ref="F37">INDEX(CH_CostItems_Anytime!$G$24:$G$71,MATCH(1,(CH_CostItems_Anytime!$C$24:$C$71=TBL_Comparison!$C37)*(CH_CostItems_Anytime!$D$24:$D$71=TBL_Comparison!$D37),0),1)</f>
        <v>123.38815222204082</v>
      </c>
      <c r="G37" s="324" cm="1">
        <f t="array" ref="G37">INDEX(CH_CostItems_Anytime!$N$24:$N$71,MATCH(1,(CH_CostItems_Anytime!$C$24:$C$71=TBL_Comparison!$C37)*(CH_CostItems_Anytime!$D$24:$D$71=TBL_Comparison!$D37),0),1)</f>
        <v>119.65338110674058</v>
      </c>
      <c r="I37" s="328">
        <f t="shared" si="2"/>
        <v>-4.9186615364133104</v>
      </c>
      <c r="J37" s="255">
        <f t="shared" si="1"/>
        <v>-3.4834713430689167E-3</v>
      </c>
      <c r="K37">
        <f t="shared" si="3"/>
        <v>24</v>
      </c>
      <c r="M37" s="328">
        <f t="shared" si="4"/>
        <v>3.7347711153002336</v>
      </c>
      <c r="N37" s="255">
        <f t="shared" si="5"/>
        <v>2.7829889085694737E-3</v>
      </c>
      <c r="O37">
        <f t="shared" si="6"/>
        <v>4</v>
      </c>
    </row>
    <row r="38" spans="1:26" x14ac:dyDescent="0.25">
      <c r="C38" s="23"/>
      <c r="D38" s="23" t="s">
        <v>709</v>
      </c>
      <c r="E38" s="326">
        <v>73.083096482559696</v>
      </c>
      <c r="F38" s="324" cm="1">
        <f t="array" ref="F38">INDEX(CH_CostItems_Anytime!$G$24:$G$71,MATCH(1,(CH_CostItems_Anytime!$C$24:$C$71=TBL_Comparison!$C38)*(CH_CostItems_Anytime!$D$24:$D$71=TBL_Comparison!$D38),0),1)</f>
        <v>70.281444683244672</v>
      </c>
      <c r="G38" s="324" cm="1">
        <f t="array" ref="G38">INDEX(CH_CostItems_Anytime!$N$24:$N$71,MATCH(1,(CH_CostItems_Anytime!$C$24:$C$71=TBL_Comparison!$C38)*(CH_CostItems_Anytime!$D$24:$D$71=TBL_Comparison!$D38),0),1)</f>
        <v>68.154132580602891</v>
      </c>
      <c r="I38" s="328">
        <f t="shared" si="2"/>
        <v>-2.8016517993150245</v>
      </c>
      <c r="J38" s="255">
        <f t="shared" si="1"/>
        <v>-1.9841726624044084E-3</v>
      </c>
      <c r="K38">
        <f t="shared" si="3"/>
        <v>22</v>
      </c>
      <c r="M38" s="328">
        <f t="shared" si="4"/>
        <v>2.1273121026417812</v>
      </c>
      <c r="N38" s="255">
        <f t="shared" si="5"/>
        <v>1.5851804043530411E-3</v>
      </c>
      <c r="O38">
        <f t="shared" si="6"/>
        <v>6</v>
      </c>
    </row>
    <row r="39" spans="1:26" x14ac:dyDescent="0.25">
      <c r="F39" s="325"/>
      <c r="G39" s="325"/>
    </row>
    <row r="42" spans="1:26" x14ac:dyDescent="0.25">
      <c r="F42" s="325"/>
      <c r="G42" s="325"/>
    </row>
    <row r="46" spans="1:26" ht="16.5" thickBot="1" x14ac:dyDescent="0.3">
      <c r="A46" s="1" t="s">
        <v>23</v>
      </c>
      <c r="B46" s="9">
        <f ca="1">MAX(B$3:B45)+0.1</f>
        <v>27.200000000000003</v>
      </c>
      <c r="C46" s="28" t="s">
        <v>796</v>
      </c>
      <c r="D46" s="28"/>
      <c r="E46" s="28"/>
      <c r="F46" s="28"/>
      <c r="G46" s="28"/>
      <c r="H46" s="28"/>
      <c r="I46" s="28"/>
      <c r="J46" s="28"/>
      <c r="K46" s="28"/>
      <c r="L46" s="28"/>
      <c r="M46" s="28"/>
      <c r="N46" s="28"/>
      <c r="O46" s="28"/>
      <c r="P46" s="28"/>
      <c r="Q46" s="314"/>
      <c r="R46" s="28"/>
      <c r="S46" s="28"/>
      <c r="T46" s="28"/>
      <c r="U46" s="28"/>
      <c r="V46" s="28"/>
      <c r="W46" s="28"/>
      <c r="X46" s="28"/>
      <c r="Y46" s="28"/>
      <c r="Z46" s="28"/>
    </row>
    <row r="48" spans="1:26" ht="15.75" x14ac:dyDescent="0.25">
      <c r="I48" s="29" t="s">
        <v>786</v>
      </c>
      <c r="J48" s="29" t="s">
        <v>801</v>
      </c>
      <c r="K48" s="29" t="s">
        <v>797</v>
      </c>
      <c r="M48" s="29" t="s">
        <v>786</v>
      </c>
      <c r="N48" s="29" t="s">
        <v>808</v>
      </c>
      <c r="O48" s="29" t="s">
        <v>797</v>
      </c>
      <c r="R48" s="29" t="s">
        <v>800</v>
      </c>
    </row>
    <row r="49" spans="3:25" ht="31.5" x14ac:dyDescent="0.25">
      <c r="C49" s="323" t="s">
        <v>45</v>
      </c>
      <c r="D49" s="323" t="s">
        <v>46</v>
      </c>
      <c r="E49" s="323" t="s">
        <v>410</v>
      </c>
      <c r="F49" s="172" t="str">
        <f>Calc_Rates!$D$5</f>
        <v>VDO 2022-23 - Draft</v>
      </c>
      <c r="G49" s="172" t="str">
        <f>Calc_Rates!$D$254</f>
        <v>VDO 2022 - Final</v>
      </c>
      <c r="I49" s="172" t="str">
        <f>Calc_Rates!$D$5</f>
        <v>VDO 2022-23 - Draft</v>
      </c>
      <c r="J49" s="172" t="str">
        <f>Calc_Rates!$D$5</f>
        <v>VDO 2022-23 - Draft</v>
      </c>
      <c r="K49" s="172" t="str">
        <f>Calc_Rates!$D$5</f>
        <v>VDO 2022-23 - Draft</v>
      </c>
      <c r="L49" s="10"/>
      <c r="M49" s="172" t="str">
        <f>Calc_Rates!$D$5</f>
        <v>VDO 2022-23 - Draft</v>
      </c>
      <c r="N49" s="172" t="str">
        <f>Calc_Rates!$D$254</f>
        <v>VDO 2022 - Final</v>
      </c>
      <c r="O49" s="172" t="str">
        <f>Calc_Rates!$D$254</f>
        <v>VDO 2022 - Final</v>
      </c>
      <c r="Q49" s="34"/>
      <c r="R49" s="41" t="str">
        <f>Calc_Rates!$D$5</f>
        <v>VDO 2022-23 - Draft</v>
      </c>
      <c r="S49" s="10"/>
      <c r="T49" s="10"/>
      <c r="U49" s="10"/>
      <c r="V49" s="10"/>
      <c r="W49" s="41" t="str">
        <f>Calc_Rates!$D$5</f>
        <v>VDO 2022-23 - Draft</v>
      </c>
      <c r="X49" s="10"/>
      <c r="Y49" s="10"/>
    </row>
    <row r="50" spans="3:25" x14ac:dyDescent="0.25">
      <c r="Q50" s="153">
        <v>1</v>
      </c>
      <c r="R50" t="e">
        <f>INDEX($D$53:$D$78,MATCH($Q50,#REF!,0),1)</f>
        <v>#REF!</v>
      </c>
      <c r="S50" s="337" t="e">
        <f>INDEX($I$53:$I$78,MATCH($Q50,#REF!,0),1)</f>
        <v>#REF!</v>
      </c>
      <c r="T50" s="339" t="e">
        <f>INDEX($J$53:$J$78,MATCH($Q50,#REF!,0),1)</f>
        <v>#REF!</v>
      </c>
      <c r="V50" s="153">
        <v>1</v>
      </c>
      <c r="W50" t="str">
        <f>INDEX($D$53:$D$78,MATCH($V50,O$53:O$78,0),1)</f>
        <v>Wholesale cost</v>
      </c>
      <c r="X50" s="337">
        <f>INDEX($M$53:$M$78,MATCH($V50,O$53:O$78,0),1)</f>
        <v>45.240000000000236</v>
      </c>
      <c r="Y50" s="339">
        <f>INDEX($N$53:$N$78,MATCH($V50,O$53:O$78,0),1)</f>
        <v>8.4560747663551851E-3</v>
      </c>
    </row>
    <row r="51" spans="3:25" x14ac:dyDescent="0.25">
      <c r="C51" s="335" t="s">
        <v>375</v>
      </c>
      <c r="D51" s="335"/>
      <c r="E51" s="336">
        <f>ROUNDUP(SUM(E53:E78),0)</f>
        <v>5686</v>
      </c>
      <c r="F51" s="336">
        <f>ROUNDUP(SUM(F53:F78),0)</f>
        <v>5422</v>
      </c>
      <c r="G51" s="336">
        <f>ROUNDUP(SUM(G53:G78),0)</f>
        <v>5350</v>
      </c>
      <c r="H51" s="252"/>
      <c r="I51" s="333">
        <f t="shared" ref="I51" si="11">IF(F51="-",0,F51)-IF(E51="-",0,E51)</f>
        <v>-264</v>
      </c>
      <c r="J51" s="334">
        <f>IFERROR((F51-E51)/E51,"-")</f>
        <v>-4.6429827646851919E-2</v>
      </c>
      <c r="L51" s="252"/>
      <c r="M51" s="333">
        <f>IF(F51="-",0,F51)-IF(G51="-",0,G51)</f>
        <v>72</v>
      </c>
      <c r="N51" s="338">
        <f>IFERROR((F51-G51)/G51,"-")</f>
        <v>1.3457943925233645E-2</v>
      </c>
      <c r="Q51" s="153">
        <v>2</v>
      </c>
      <c r="R51" t="e">
        <f>INDEX($D$53:$D$78,MATCH($Q51,#REF!,0),1)</f>
        <v>#REF!</v>
      </c>
      <c r="S51" s="337" t="e">
        <f>INDEX($I$53:$I$78,MATCH($Q51,#REF!,0),1)</f>
        <v>#REF!</v>
      </c>
      <c r="T51" s="339" t="e">
        <f>INDEX($J$53:$J$78,MATCH($Q51,#REF!,0),1)</f>
        <v>#REF!</v>
      </c>
      <c r="V51" s="153">
        <v>2</v>
      </c>
      <c r="W51" t="str">
        <f>INDEX($D$53:$D$78,MATCH($V51,O$53:O$78,0),1)</f>
        <v>VEU cost</v>
      </c>
      <c r="X51" s="337">
        <f>INDEX($M$53:$M$78,MATCH($V51,O$53:O$78,0),1)</f>
        <v>42.410149796070527</v>
      </c>
      <c r="Y51" s="339">
        <f>INDEX($N$53:$N$78,MATCH($V51,O$53:O$78,0),1)</f>
        <v>7.9271308030038363E-3</v>
      </c>
    </row>
    <row r="52" spans="3:25" x14ac:dyDescent="0.25">
      <c r="Q52" s="153">
        <v>3</v>
      </c>
      <c r="R52" t="e">
        <f>INDEX($D$53:$D$78,MATCH($Q52,#REF!,0),1)</f>
        <v>#REF!</v>
      </c>
      <c r="S52" s="337" t="e">
        <f>INDEX($I$53:$I$78,MATCH($Q52,#REF!,0),1)</f>
        <v>#REF!</v>
      </c>
      <c r="T52" s="339" t="e">
        <f>INDEX($J$53:$J$78,MATCH($Q52,#REF!,0),1)</f>
        <v>#REF!</v>
      </c>
      <c r="V52" s="153">
        <v>3</v>
      </c>
      <c r="W52" t="str">
        <f>INDEX($D$53:$D$78,MATCH($V52,O$53:O$78,0),1)</f>
        <v>LRET cost</v>
      </c>
      <c r="X52" s="337">
        <f>INDEX($M$53:$M$78,MATCH($V52,O$53:O$78,0),1)</f>
        <v>22.46032000000001</v>
      </c>
      <c r="Y52" s="339">
        <f>INDEX($N$53:$N$78,MATCH($V52,O$53:O$78,0),1)</f>
        <v>4.198190654205609E-3</v>
      </c>
    </row>
    <row r="53" spans="3:25" x14ac:dyDescent="0.25">
      <c r="C53" s="23" t="s">
        <v>313</v>
      </c>
      <c r="D53" s="23" t="s">
        <v>121</v>
      </c>
      <c r="E53" s="326">
        <v>0</v>
      </c>
      <c r="F53" s="324" cm="1">
        <f t="array" ref="F53">INDEX(CH_CostItems_Anytime!$G$96:$G$143,MATCH(1,(CH_CostItems_Anytime!$C$96:$C$143=TBL_Comparison!$C53)*(CH_CostItems_Anytime!$D$96:$D$143=TBL_Comparison!$D53),0),1)</f>
        <v>0</v>
      </c>
      <c r="G53" s="324" cm="1">
        <f t="array" ref="G53">INDEX(CH_CostItems_Anytime!$N$96:$N$143,MATCH(1,(CH_CostItems_Anytime!$C$96:$C$143=TBL_Comparison!$C53)*(CH_CostItems_Anytime!$D$96:$D$143=TBL_Comparison!$D53),0),1)</f>
        <v>14.492942008274076</v>
      </c>
      <c r="I53" s="328">
        <f>IF(F53="-",0,F53)-IF(E53="-",0,E53)</f>
        <v>0</v>
      </c>
      <c r="J53" s="255">
        <f>IFERROR((F53-E53)/E$51,"-")</f>
        <v>0</v>
      </c>
      <c r="K53">
        <f>_xlfn.RANK.EQ(I53,$I$53:$I$78)</f>
        <v>16</v>
      </c>
      <c r="M53" s="328">
        <f>IF(F53="-",0,F53)-IF(G53="-",0,G53)</f>
        <v>-14.492942008274076</v>
      </c>
      <c r="N53" s="255">
        <f>IFERROR((F53-G53)/G$51,"-")</f>
        <v>-2.7089611230418833E-3</v>
      </c>
      <c r="O53">
        <f t="shared" ref="O53:O68" si="12">_xlfn.RANK.EQ(M53,$M$53:$M$78)</f>
        <v>25</v>
      </c>
      <c r="Q53" s="153">
        <v>4</v>
      </c>
      <c r="R53" t="e">
        <f>INDEX($D$53:$D$78,MATCH($Q53,#REF!,0),1)</f>
        <v>#REF!</v>
      </c>
      <c r="S53" s="337" t="e">
        <f>INDEX($I$53:$I$78,MATCH($Q53,#REF!,0),1)</f>
        <v>#REF!</v>
      </c>
      <c r="T53" s="339" t="e">
        <f>INDEX($J$53:$J$78,MATCH($Q53,#REF!,0),1)</f>
        <v>#REF!</v>
      </c>
      <c r="V53" s="153">
        <v>4</v>
      </c>
      <c r="W53" t="str">
        <f>INDEX($D$53:$D$78,MATCH($V53,O$53:O$78,0),1)</f>
        <v>GST (anytime)</v>
      </c>
      <c r="X53" s="337">
        <f>INDEX($M$53:$M$78,MATCH($V53,O$53:O$78,0),1)</f>
        <v>12.285446807302264</v>
      </c>
      <c r="Y53" s="339">
        <f>INDEX($N$53:$N$78,MATCH($V53,O$53:O$78,0),1)</f>
        <v>2.2963451976265913E-3</v>
      </c>
    </row>
    <row r="54" spans="3:25" x14ac:dyDescent="0.25">
      <c r="C54" s="23" t="s">
        <v>313</v>
      </c>
      <c r="D54" s="23" t="s">
        <v>706</v>
      </c>
      <c r="E54" s="326">
        <v>0</v>
      </c>
      <c r="F54" s="324" cm="1">
        <f t="array" ref="F54">INDEX(CH_CostItems_Anytime!$G$96:$G$143,MATCH(1,(CH_CostItems_Anytime!$C$96:$C$143=TBL_Comparison!$C54)*(CH_CostItems_Anytime!$D$96:$D$143=TBL_Comparison!$D54),0),1)</f>
        <v>17.235495000140403</v>
      </c>
      <c r="G54" s="324" cm="1">
        <f t="array" ref="G54">INDEX(CH_CostItems_Anytime!$N$96:$N$143,MATCH(1,(CH_CostItems_Anytime!$C$96:$C$143=TBL_Comparison!$C54)*(CH_CostItems_Anytime!$D$96:$D$143=TBL_Comparison!$D54),0),1)</f>
        <v>65.399354711290428</v>
      </c>
      <c r="I54" s="328">
        <f t="shared" ref="I54:I78" si="13">IF(F54="-",0,F54)-IF(E54="-",0,E54)</f>
        <v>17.235495000140403</v>
      </c>
      <c r="J54" s="255">
        <f t="shared" ref="J54:J78" si="14">IFERROR((F54-E54)/E$51,"-")</f>
        <v>3.0312161449420338E-3</v>
      </c>
      <c r="K54">
        <f t="shared" ref="K54:K78" si="15">_xlfn.RANK.EQ(I54,$I$53:$I$78)</f>
        <v>3</v>
      </c>
      <c r="M54" s="328">
        <f t="shared" ref="M54:M78" si="16">IF(F54="-",0,F54)-IF(G54="-",0,G54)</f>
        <v>-48.163859711150025</v>
      </c>
      <c r="N54" s="255">
        <f t="shared" ref="N54:N78" si="17">IFERROR((F54-G54)/G$51,"-")</f>
        <v>-9.0025906002149571E-3</v>
      </c>
      <c r="O54">
        <f t="shared" si="12"/>
        <v>26</v>
      </c>
      <c r="Q54" s="153">
        <v>5</v>
      </c>
      <c r="R54" t="e">
        <f>INDEX($D$53:$D$78,MATCH($Q54,#REF!,0),1)</f>
        <v>#REF!</v>
      </c>
      <c r="S54" s="337" t="e">
        <f>INDEX($I$53:$I$78,MATCH($Q54,#REF!,0),1)</f>
        <v>#REF!</v>
      </c>
      <c r="T54" s="339" t="e">
        <f>INDEX($J$53:$J$78,MATCH($Q54,#REF!,0),1)</f>
        <v>#REF!</v>
      </c>
      <c r="V54" s="153">
        <v>5</v>
      </c>
      <c r="W54" t="str">
        <f>INDEX($D$53:$D$78,MATCH($V54,O$53:O$78,0),1)</f>
        <v>Retail margin (anytime)</v>
      </c>
      <c r="X54" s="337">
        <f>INDEX($M$53:$M$78,MATCH($V54,O$53:O$78,0),1)</f>
        <v>6.9977460124580944</v>
      </c>
      <c r="Y54" s="339">
        <f>INDEX($N$53:$N$78,MATCH($V54,O$53:O$78,0),1)</f>
        <v>1.3079899088706719E-3</v>
      </c>
    </row>
    <row r="55" spans="3:25" x14ac:dyDescent="0.25">
      <c r="C55" s="23" t="s">
        <v>151</v>
      </c>
      <c r="D55" s="23" t="s">
        <v>116</v>
      </c>
      <c r="E55" s="326">
        <v>10.849248189087444</v>
      </c>
      <c r="F55" s="324" cm="1">
        <f t="array" ref="F55">INDEX(CH_CostItems_Anytime!$G$96:$G$143,MATCH(1,(CH_CostItems_Anytime!$C$96:$C$143=TBL_Comparison!$C55)*(CH_CostItems_Anytime!$D$96:$D$143=TBL_Comparison!$D55),0),1)</f>
        <v>13.337821545021233</v>
      </c>
      <c r="G55" s="324" cm="1">
        <f t="array" ref="G55">INDEX(CH_CostItems_Anytime!$N$96:$N$143,MATCH(1,(CH_CostItems_Anytime!$C$96:$C$143=TBL_Comparison!$C55)*(CH_CostItems_Anytime!$D$96:$D$143=TBL_Comparison!$D55),0),1)</f>
        <v>13.337821545021233</v>
      </c>
      <c r="I55" s="328">
        <f t="shared" si="13"/>
        <v>2.4885733559337897</v>
      </c>
      <c r="J55" s="255">
        <f t="shared" si="14"/>
        <v>4.3766678788846109E-4</v>
      </c>
      <c r="K55">
        <f t="shared" si="15"/>
        <v>7</v>
      </c>
      <c r="M55" s="328">
        <f t="shared" si="16"/>
        <v>0</v>
      </c>
      <c r="N55" s="255">
        <f t="shared" si="17"/>
        <v>0</v>
      </c>
      <c r="O55">
        <f t="shared" si="12"/>
        <v>18</v>
      </c>
      <c r="Q55"/>
    </row>
    <row r="56" spans="3:25" x14ac:dyDescent="0.25">
      <c r="C56" s="23" t="s">
        <v>273</v>
      </c>
      <c r="D56" s="23" t="s">
        <v>117</v>
      </c>
      <c r="E56" s="326">
        <v>1.6939335514995686</v>
      </c>
      <c r="F56" s="324" cm="1">
        <f t="array" ref="F56">INDEX(CH_CostItems_Anytime!$G$96:$G$143,MATCH(1,(CH_CostItems_Anytime!$C$96:$C$143=TBL_Comparison!$C56)*(CH_CostItems_Anytime!$D$96:$D$143=TBL_Comparison!$D56),0),1)</f>
        <v>2.1846287133781956</v>
      </c>
      <c r="G56" s="324" cm="1">
        <f t="array" ref="G56">INDEX(CH_CostItems_Anytime!$N$96:$N$143,MATCH(1,(CH_CostItems_Anytime!$C$96:$C$143=TBL_Comparison!$C56)*(CH_CostItems_Anytime!$D$96:$D$143=TBL_Comparison!$D56),0),1)</f>
        <v>2.1558125061118716</v>
      </c>
      <c r="I56" s="328">
        <f t="shared" si="13"/>
        <v>0.49069516187862705</v>
      </c>
      <c r="J56" s="255">
        <f t="shared" si="14"/>
        <v>8.6298832549881648E-5</v>
      </c>
      <c r="K56">
        <f t="shared" si="15"/>
        <v>11</v>
      </c>
      <c r="M56" s="328">
        <f t="shared" si="16"/>
        <v>2.8816207266324056E-2</v>
      </c>
      <c r="N56" s="255">
        <f t="shared" si="17"/>
        <v>5.3862069656680481E-6</v>
      </c>
      <c r="O56">
        <f t="shared" si="12"/>
        <v>14</v>
      </c>
      <c r="Q56"/>
    </row>
    <row r="57" spans="3:25" ht="15.75" x14ac:dyDescent="0.25">
      <c r="C57" s="23" t="s">
        <v>273</v>
      </c>
      <c r="D57" s="23" t="s">
        <v>118</v>
      </c>
      <c r="E57" s="326">
        <v>2.46</v>
      </c>
      <c r="F57" s="324" cm="1">
        <f t="array" ref="F57">INDEX(CH_CostItems_Anytime!$G$96:$G$143,MATCH(1,(CH_CostItems_Anytime!$C$96:$C$143=TBL_Comparison!$C57)*(CH_CostItems_Anytime!$D$96:$D$143=TBL_Comparison!$D57),0),1)</f>
        <v>0</v>
      </c>
      <c r="G57" s="324" cm="1">
        <f t="array" ref="G57">INDEX(CH_CostItems_Anytime!$N$96:$N$143,MATCH(1,(CH_CostItems_Anytime!$C$96:$C$143=TBL_Comparison!$C57)*(CH_CostItems_Anytime!$D$96:$D$143=TBL_Comparison!$D57),0),1)</f>
        <v>0</v>
      </c>
      <c r="I57" s="328">
        <f t="shared" si="13"/>
        <v>-2.46</v>
      </c>
      <c r="J57" s="255">
        <f t="shared" si="14"/>
        <v>-4.3264157580021105E-4</v>
      </c>
      <c r="K57">
        <f t="shared" si="15"/>
        <v>21</v>
      </c>
      <c r="M57" s="328">
        <f t="shared" si="16"/>
        <v>0</v>
      </c>
      <c r="N57" s="255">
        <f t="shared" si="17"/>
        <v>0</v>
      </c>
      <c r="O57">
        <f t="shared" si="12"/>
        <v>18</v>
      </c>
      <c r="R57" s="29" t="s">
        <v>799</v>
      </c>
    </row>
    <row r="58" spans="3:25" x14ac:dyDescent="0.25">
      <c r="C58" s="23" t="s">
        <v>273</v>
      </c>
      <c r="D58" s="23" t="s">
        <v>724</v>
      </c>
      <c r="E58" s="326">
        <v>0.62589545454545448</v>
      </c>
      <c r="F58" s="324" cm="1">
        <f t="array" ref="F58">INDEX(CH_CostItems_Anytime!$G$96:$G$143,MATCH(1,(CH_CostItems_Anytime!$C$96:$C$143=TBL_Comparison!$C58)*(CH_CostItems_Anytime!$D$96:$D$143=TBL_Comparison!$D58),0),1)</f>
        <v>0.62916717171717162</v>
      </c>
      <c r="G58" s="324" cm="1">
        <f t="array" ref="G58">INDEX(CH_CostItems_Anytime!$N$96:$N$143,MATCH(1,(CH_CostItems_Anytime!$C$96:$C$143=TBL_Comparison!$C58)*(CH_CostItems_Anytime!$D$96:$D$143=TBL_Comparison!$D58),0),1)</f>
        <v>0.61619999999999997</v>
      </c>
      <c r="I58" s="328">
        <f t="shared" si="13"/>
        <v>3.2717171717171478E-3</v>
      </c>
      <c r="J58" s="255">
        <f t="shared" si="14"/>
        <v>5.7539872875785221E-7</v>
      </c>
      <c r="K58">
        <f t="shared" si="15"/>
        <v>15</v>
      </c>
      <c r="M58" s="328">
        <f t="shared" si="16"/>
        <v>1.2967171717171655E-2</v>
      </c>
      <c r="N58" s="255">
        <f t="shared" si="17"/>
        <v>2.4237704144246083E-6</v>
      </c>
      <c r="O58">
        <f t="shared" si="12"/>
        <v>16</v>
      </c>
      <c r="Q58" s="34"/>
      <c r="R58" s="41" t="str">
        <f>Calc_Rates!$D$5</f>
        <v>VDO 2022-23 - Draft</v>
      </c>
      <c r="S58" s="10"/>
      <c r="T58" s="10"/>
      <c r="U58" s="10"/>
      <c r="V58" s="10"/>
      <c r="W58" s="41" t="str">
        <f>Calc_Rates!$D$5</f>
        <v>VDO 2022-23 - Draft</v>
      </c>
      <c r="X58" s="10"/>
      <c r="Y58" s="10"/>
    </row>
    <row r="59" spans="3:25" x14ac:dyDescent="0.25">
      <c r="C59" s="23" t="s">
        <v>273</v>
      </c>
      <c r="D59" s="23" t="s">
        <v>120</v>
      </c>
      <c r="E59" s="326">
        <v>1.3468636363636362</v>
      </c>
      <c r="F59" s="324" cm="1">
        <f t="array" ref="F59">INDEX(CH_CostItems_Anytime!$G$96:$G$143,MATCH(1,(CH_CostItems_Anytime!$C$96:$C$143=TBL_Comparison!$C59)*(CH_CostItems_Anytime!$D$96:$D$143=TBL_Comparison!$D59),0),1)</f>
        <v>1.3762036363636363</v>
      </c>
      <c r="G59" s="324" cm="1">
        <f t="array" ref="G59">INDEX(CH_CostItems_Anytime!$N$96:$N$143,MATCH(1,(CH_CostItems_Anytime!$C$96:$C$143=TBL_Comparison!$C59)*(CH_CostItems_Anytime!$D$96:$D$143=TBL_Comparison!$D59),0),1)</f>
        <v>1.3478399999999999</v>
      </c>
      <c r="I59" s="328">
        <f t="shared" si="13"/>
        <v>2.9340000000000144E-2</v>
      </c>
      <c r="J59" s="255">
        <f t="shared" si="14"/>
        <v>5.1600422089342498E-6</v>
      </c>
      <c r="K59">
        <f t="shared" si="15"/>
        <v>14</v>
      </c>
      <c r="M59" s="328">
        <f t="shared" si="16"/>
        <v>2.8363636363636369E-2</v>
      </c>
      <c r="N59" s="255">
        <f t="shared" si="17"/>
        <v>5.301614273576891E-6</v>
      </c>
      <c r="O59">
        <f t="shared" si="12"/>
        <v>15</v>
      </c>
      <c r="Q59" s="153" t="e">
        <f>MAX(#REF!)</f>
        <v>#REF!</v>
      </c>
      <c r="R59" t="e">
        <f>INDEX($D$53:$D$78,MATCH($Q59,#REF!,0),1)</f>
        <v>#REF!</v>
      </c>
      <c r="S59" s="337" t="e">
        <f>INDEX($I$53:$I$78,MATCH($Q59,#REF!,0),1)</f>
        <v>#REF!</v>
      </c>
      <c r="T59" s="339" t="e">
        <f>INDEX($J$53:$J$78,MATCH($Q59,#REF!,0),1)</f>
        <v>#REF!</v>
      </c>
      <c r="V59" s="153">
        <f>MAX($O$53:$O$78)</f>
        <v>26</v>
      </c>
      <c r="W59" t="str">
        <f>INDEX($D$53:$D$78,MATCH($V59,O$53:O$78,0),1)</f>
        <v>Environmental - Anytime VDO</v>
      </c>
      <c r="X59" s="337">
        <f>INDEX($M$53:$M$78,MATCH($V59,O$53:O$78,0),1)</f>
        <v>-48.163859711150025</v>
      </c>
      <c r="Y59" s="339">
        <f>INDEX($N$53:$N$78,MATCH($V59,O$53:O$78,0),1)</f>
        <v>-9.0025906002149571E-3</v>
      </c>
    </row>
    <row r="60" spans="3:25" x14ac:dyDescent="0.25">
      <c r="C60" s="23" t="s">
        <v>121</v>
      </c>
      <c r="D60" s="23" t="s">
        <v>550</v>
      </c>
      <c r="E60" s="326">
        <v>141.11709999999999</v>
      </c>
      <c r="F60" s="324" cm="1">
        <f t="array" ref="F60">INDEX(CH_CostItems_Anytime!$G$96:$G$143,MATCH(1,(CH_CostItems_Anytime!$C$96:$C$143=TBL_Comparison!$C60)*(CH_CostItems_Anytime!$D$96:$D$143=TBL_Comparison!$D60),0),1)</f>
        <v>141.11709999999999</v>
      </c>
      <c r="G60" s="324" cm="1">
        <f t="array" ref="G60">INDEX(CH_CostItems_Anytime!$N$96:$N$143,MATCH(1,(CH_CostItems_Anytime!$C$96:$C$143=TBL_Comparison!$C60)*(CH_CostItems_Anytime!$D$96:$D$143=TBL_Comparison!$D60),0),1)</f>
        <v>141.11709999999999</v>
      </c>
      <c r="I60" s="328">
        <f t="shared" si="13"/>
        <v>0</v>
      </c>
      <c r="J60" s="255">
        <f t="shared" si="14"/>
        <v>0</v>
      </c>
      <c r="K60">
        <f t="shared" si="15"/>
        <v>16</v>
      </c>
      <c r="M60" s="328">
        <f t="shared" si="16"/>
        <v>0</v>
      </c>
      <c r="N60" s="255">
        <f t="shared" si="17"/>
        <v>0</v>
      </c>
      <c r="O60">
        <f t="shared" si="12"/>
        <v>18</v>
      </c>
      <c r="Q60" s="153" t="e">
        <f>Q59-1</f>
        <v>#REF!</v>
      </c>
      <c r="R60" t="e">
        <f>INDEX($D$53:$D$78,MATCH($Q60,#REF!,0),1)</f>
        <v>#REF!</v>
      </c>
      <c r="S60" s="337" t="e">
        <f>INDEX($I$53:$I$78,MATCH($Q60,#REF!,0),1)</f>
        <v>#REF!</v>
      </c>
      <c r="T60" s="339" t="e">
        <f>INDEX($J$53:$J$78,MATCH($Q60,#REF!,0),1)</f>
        <v>#REF!</v>
      </c>
      <c r="V60" s="153">
        <f>V59-1</f>
        <v>25</v>
      </c>
      <c r="W60" t="str">
        <f>INDEX($D$53:$D$78,MATCH($V60,O$53:O$78,0),1)</f>
        <v>Network</v>
      </c>
      <c r="X60" s="337">
        <f>INDEX($M$53:$M$78,MATCH($V60,O$53:O$78,0),1)</f>
        <v>-14.492942008274076</v>
      </c>
      <c r="Y60" s="339">
        <f>INDEX($N$53:$N$78,MATCH($V60,O$53:O$78,0),1)</f>
        <v>-2.7089611230418833E-3</v>
      </c>
    </row>
    <row r="61" spans="3:25" x14ac:dyDescent="0.25">
      <c r="C61" s="23" t="s">
        <v>121</v>
      </c>
      <c r="D61" s="23" t="s">
        <v>275</v>
      </c>
      <c r="E61" s="326">
        <v>55.641999999999996</v>
      </c>
      <c r="F61" s="324" cm="1">
        <f t="array" ref="F61">INDEX(CH_CostItems_Anytime!$G$96:$G$143,MATCH(1,(CH_CostItems_Anytime!$C$96:$C$143=TBL_Comparison!$C61)*(CH_CostItems_Anytime!$D$96:$D$143=TBL_Comparison!$D61),0),1)</f>
        <v>58.88740616527069</v>
      </c>
      <c r="G61" s="324" cm="1">
        <f t="array" ref="G61">INDEX(CH_CostItems_Anytime!$N$96:$N$143,MATCH(1,(CH_CostItems_Anytime!$C$96:$C$143=TBL_Comparison!$C61)*(CH_CostItems_Anytime!$D$96:$D$143=TBL_Comparison!$D61),0),1)</f>
        <v>55.641999999999996</v>
      </c>
      <c r="I61" s="328">
        <f t="shared" si="13"/>
        <v>3.245406165270694</v>
      </c>
      <c r="J61" s="255">
        <f t="shared" si="14"/>
        <v>5.7077139733920047E-4</v>
      </c>
      <c r="K61">
        <f t="shared" si="15"/>
        <v>5</v>
      </c>
      <c r="M61" s="328">
        <f t="shared" si="16"/>
        <v>3.245406165270694</v>
      </c>
      <c r="N61" s="255">
        <f t="shared" si="17"/>
        <v>6.0661797481695214E-4</v>
      </c>
      <c r="O61">
        <f t="shared" si="12"/>
        <v>7</v>
      </c>
      <c r="Q61" s="153" t="e">
        <f>Q60-1</f>
        <v>#REF!</v>
      </c>
      <c r="R61" t="e">
        <f>INDEX($D$53:$D$78,MATCH($Q61,#REF!,0),1)</f>
        <v>#REF!</v>
      </c>
      <c r="S61" s="337" t="e">
        <f>INDEX($I$53:$I$78,MATCH($Q61,#REF!,0),1)</f>
        <v>#REF!</v>
      </c>
      <c r="T61" s="339" t="e">
        <f>INDEX($J$53:$J$78,MATCH($Q61,#REF!,0),1)</f>
        <v>#REF!</v>
      </c>
      <c r="V61" s="153">
        <f>V60-1</f>
        <v>24</v>
      </c>
      <c r="W61" t="str">
        <f>INDEX($D$53:$D$78,MATCH($V61,O$53:O$78,0),1)</f>
        <v>SRES cost</v>
      </c>
      <c r="X61" s="337">
        <f>INDEX($M$53:$M$78,MATCH($V61,O$53:O$78,0),1)</f>
        <v>-6.4000000000000057</v>
      </c>
      <c r="Y61" s="339">
        <f>INDEX($N$53:$N$78,MATCH($V61,O$53:O$78,0),1)</f>
        <v>-1.1962616822429918E-3</v>
      </c>
    </row>
    <row r="62" spans="3:25" x14ac:dyDescent="0.25">
      <c r="C62" s="23" t="s">
        <v>106</v>
      </c>
      <c r="D62" s="23" t="s">
        <v>292</v>
      </c>
      <c r="E62" s="326">
        <v>143.29536631887984</v>
      </c>
      <c r="F62" s="324" cm="1">
        <f t="array" ref="F62">INDEX(CH_CostItems_Anytime!$G$96:$G$143,MATCH(1,(CH_CostItems_Anytime!$C$96:$C$143=TBL_Comparison!$C62)*(CH_CostItems_Anytime!$D$96:$D$143=TBL_Comparison!$D62),0),1)</f>
        <v>143.50355199638659</v>
      </c>
      <c r="G62" s="324" cm="1">
        <f t="array" ref="G62">INDEX(CH_CostItems_Anytime!$N$96:$N$143,MATCH(1,(CH_CostItems_Anytime!$C$96:$C$143=TBL_Comparison!$C62)*(CH_CostItems_Anytime!$D$96:$D$143=TBL_Comparison!$D62),0),1)</f>
        <v>141.75366943089429</v>
      </c>
      <c r="I62" s="328">
        <f t="shared" si="13"/>
        <v>0.20818567750674788</v>
      </c>
      <c r="J62" s="255">
        <f t="shared" si="14"/>
        <v>3.6613731534778029E-5</v>
      </c>
      <c r="K62">
        <f t="shared" si="15"/>
        <v>12</v>
      </c>
      <c r="M62" s="328">
        <f t="shared" si="16"/>
        <v>1.7498825654922996</v>
      </c>
      <c r="N62" s="255">
        <f t="shared" si="17"/>
        <v>3.2708085336304667E-4</v>
      </c>
      <c r="O62">
        <f t="shared" si="12"/>
        <v>9</v>
      </c>
      <c r="Q62" s="153" t="e">
        <f t="shared" ref="Q62:Q63" si="18">Q61-1</f>
        <v>#REF!</v>
      </c>
      <c r="R62" t="e">
        <f>INDEX($D$53:$D$78,MATCH($Q62,#REF!,0),1)</f>
        <v>#REF!</v>
      </c>
      <c r="S62" s="337" t="e">
        <f>INDEX($I$53:$I$78,MATCH($Q62,#REF!,0),1)</f>
        <v>#REF!</v>
      </c>
      <c r="T62" s="339" t="e">
        <f>INDEX($J$53:$J$78,MATCH($Q62,#REF!,0),1)</f>
        <v>#REF!</v>
      </c>
      <c r="V62" s="153">
        <f t="shared" ref="V62:V63" si="19">V61-1</f>
        <v>23</v>
      </c>
      <c r="W62" t="str">
        <f>INDEX($D$53:$D$78,MATCH($V62,O$53:O$78,0),1)</f>
        <v>Other losses</v>
      </c>
      <c r="X62" s="337">
        <f>INDEX($M$53:$M$78,MATCH($V62,O$53:O$78,0),1)</f>
        <v>-0.13887652282995899</v>
      </c>
      <c r="Y62" s="339">
        <f>INDEX($N$53:$N$78,MATCH($V62,O$53:O$78,0),1)</f>
        <v>-2.5958228566347474E-5</v>
      </c>
    </row>
    <row r="63" spans="3:25" x14ac:dyDescent="0.25">
      <c r="C63" s="23" t="s">
        <v>106</v>
      </c>
      <c r="D63" s="23" t="s">
        <v>114</v>
      </c>
      <c r="E63" s="326">
        <v>38.463414634146346</v>
      </c>
      <c r="F63" s="324" cm="1">
        <f t="array" ref="F63">INDEX(CH_CostItems_Anytime!$G$96:$G$143,MATCH(1,(CH_CostItems_Anytime!$C$96:$C$143=TBL_Comparison!$C63)*(CH_CostItems_Anytime!$D$96:$D$143=TBL_Comparison!$D63),0),1)</f>
        <v>40.151567944250871</v>
      </c>
      <c r="G63" s="324" cm="1">
        <f t="array" ref="G63">INDEX(CH_CostItems_Anytime!$N$96:$N$143,MATCH(1,(CH_CostItems_Anytime!$C$96:$C$143=TBL_Comparison!$C63)*(CH_CostItems_Anytime!$D$96:$D$143=TBL_Comparison!$D63),0),1)</f>
        <v>39.621951219512198</v>
      </c>
      <c r="I63" s="328">
        <f t="shared" si="13"/>
        <v>1.688153310104525</v>
      </c>
      <c r="J63" s="255">
        <f t="shared" si="14"/>
        <v>2.9689646677884718E-4</v>
      </c>
      <c r="K63">
        <f t="shared" si="15"/>
        <v>8</v>
      </c>
      <c r="M63" s="328">
        <f t="shared" si="16"/>
        <v>0.52961672473867338</v>
      </c>
      <c r="N63" s="255">
        <f t="shared" si="17"/>
        <v>9.8993780324985677E-5</v>
      </c>
      <c r="O63">
        <f t="shared" si="12"/>
        <v>10</v>
      </c>
      <c r="Q63" s="153" t="e">
        <f t="shared" si="18"/>
        <v>#REF!</v>
      </c>
      <c r="R63" t="e">
        <f>INDEX($D$53:$D$78,MATCH($Q63,#REF!,0),1)</f>
        <v>#REF!</v>
      </c>
      <c r="S63" s="337" t="e">
        <f>INDEX($I$53:$I$78,MATCH($Q63,#REF!,0),1)</f>
        <v>#REF!</v>
      </c>
      <c r="T63" s="339" t="e">
        <f>INDEX($J$53:$J$78,MATCH($Q63,#REF!,0),1)</f>
        <v>#REF!</v>
      </c>
      <c r="V63" s="153">
        <f t="shared" si="19"/>
        <v>22</v>
      </c>
      <c r="W63" t="e">
        <f>INDEX($D$53:$D$78,MATCH($V63,O$53:O$78,0),1)</f>
        <v>#N/A</v>
      </c>
      <c r="X63" s="337" t="e">
        <f>INDEX($M$53:$M$78,MATCH($V63,O$53:O$78,0),1)</f>
        <v>#N/A</v>
      </c>
      <c r="Y63" s="339" t="e">
        <f>INDEX($N$53:$N$78,MATCH($V63,O$53:O$78,0),1)</f>
        <v>#N/A</v>
      </c>
    </row>
    <row r="64" spans="3:25" x14ac:dyDescent="0.25">
      <c r="C64" s="23" t="s">
        <v>151</v>
      </c>
      <c r="D64" s="23" t="s">
        <v>307</v>
      </c>
      <c r="E64" s="326">
        <v>111.74115363388282</v>
      </c>
      <c r="F64" s="324" cm="1">
        <f t="array" ref="F64">INDEX(CH_CostItems_Anytime!$G$96:$G$143,MATCH(1,(CH_CostItems_Anytime!$C$96:$C$143=TBL_Comparison!$C64)*(CH_CostItems_Anytime!$D$96:$D$143=TBL_Comparison!$D64),0),1)</f>
        <v>238.90773715912232</v>
      </c>
      <c r="G64" s="324" cm="1">
        <f t="array" ref="G64">INDEX(CH_CostItems_Anytime!$N$96:$N$143,MATCH(1,(CH_CostItems_Anytime!$C$96:$C$143=TBL_Comparison!$C64)*(CH_CostItems_Anytime!$D$96:$D$143=TBL_Comparison!$D64),0),1)</f>
        <v>196.49758736305179</v>
      </c>
      <c r="I64" s="328">
        <f t="shared" si="13"/>
        <v>127.1665835252395</v>
      </c>
      <c r="J64" s="255">
        <f t="shared" si="14"/>
        <v>2.2364858164832836E-2</v>
      </c>
      <c r="K64">
        <f t="shared" si="15"/>
        <v>1</v>
      </c>
      <c r="M64" s="328">
        <f t="shared" si="16"/>
        <v>42.410149796070527</v>
      </c>
      <c r="N64" s="255">
        <f t="shared" si="17"/>
        <v>7.9271308030038363E-3</v>
      </c>
      <c r="O64">
        <f t="shared" si="12"/>
        <v>2</v>
      </c>
    </row>
    <row r="65" spans="3:17" x14ac:dyDescent="0.25">
      <c r="C65" s="23" t="s">
        <v>151</v>
      </c>
      <c r="D65" s="23" t="s">
        <v>309</v>
      </c>
      <c r="E65" s="326">
        <v>127.015544647906</v>
      </c>
      <c r="F65" s="324" cm="1">
        <f t="array" ref="F65">INDEX(CH_CostItems_Anytime!$G$96:$G$143,MATCH(1,(CH_CostItems_Anytime!$C$96:$C$143=TBL_Comparison!$C65)*(CH_CostItems_Anytime!$D$96:$D$143=TBL_Comparison!$D65),0),1)</f>
        <v>150.16383999999999</v>
      </c>
      <c r="G65" s="324" cm="1">
        <f t="array" ref="G65">INDEX(CH_CostItems_Anytime!$N$96:$N$143,MATCH(1,(CH_CostItems_Anytime!$C$96:$C$143=TBL_Comparison!$C65)*(CH_CostItems_Anytime!$D$96:$D$143=TBL_Comparison!$D65),0),1)</f>
        <v>127.70351999999998</v>
      </c>
      <c r="I65" s="328">
        <f t="shared" si="13"/>
        <v>23.148295352093996</v>
      </c>
      <c r="J65" s="255">
        <f t="shared" si="14"/>
        <v>4.0711036496823769E-3</v>
      </c>
      <c r="K65">
        <f t="shared" si="15"/>
        <v>2</v>
      </c>
      <c r="M65" s="328">
        <f t="shared" si="16"/>
        <v>22.46032000000001</v>
      </c>
      <c r="N65" s="255">
        <f t="shared" si="17"/>
        <v>4.198190654205609E-3</v>
      </c>
      <c r="O65">
        <f t="shared" si="12"/>
        <v>3</v>
      </c>
    </row>
    <row r="66" spans="3:17" x14ac:dyDescent="0.25">
      <c r="C66" s="23" t="s">
        <v>151</v>
      </c>
      <c r="D66" s="23" t="s">
        <v>311</v>
      </c>
      <c r="E66" s="326">
        <v>225.19999999999996</v>
      </c>
      <c r="F66" s="324" cm="1">
        <f t="array" ref="F66">INDEX(CH_CostItems_Anytime!$G$96:$G$143,MATCH(1,(CH_CostItems_Anytime!$C$96:$C$143=TBL_Comparison!$C66)*(CH_CostItems_Anytime!$D$96:$D$143=TBL_Comparison!$D66),0),1)</f>
        <v>198.4</v>
      </c>
      <c r="G66" s="324" cm="1">
        <f t="array" ref="G66">INDEX(CH_CostItems_Anytime!$N$96:$N$143,MATCH(1,(CH_CostItems_Anytime!$C$96:$C$143=TBL_Comparison!$C66)*(CH_CostItems_Anytime!$D$96:$D$143=TBL_Comparison!$D66),0),1)</f>
        <v>204.8</v>
      </c>
      <c r="I66" s="328">
        <f t="shared" si="13"/>
        <v>-26.799999999999955</v>
      </c>
      <c r="J66" s="255">
        <f t="shared" si="14"/>
        <v>-4.7133309883925353E-3</v>
      </c>
      <c r="K66">
        <f t="shared" si="15"/>
        <v>25</v>
      </c>
      <c r="M66" s="328">
        <f t="shared" si="16"/>
        <v>-6.4000000000000057</v>
      </c>
      <c r="N66" s="255">
        <f t="shared" si="17"/>
        <v>-1.1962616822429918E-3</v>
      </c>
      <c r="O66">
        <f t="shared" si="12"/>
        <v>24</v>
      </c>
    </row>
    <row r="67" spans="3:17" x14ac:dyDescent="0.25">
      <c r="C67" s="23" t="s">
        <v>121</v>
      </c>
      <c r="D67" s="23" t="s">
        <v>707</v>
      </c>
      <c r="E67" s="326">
        <v>2198.926704</v>
      </c>
      <c r="F67" s="324" cm="1">
        <f t="array" ref="F67">INDEX(CH_CostItems_Anytime!$G$96:$G$143,MATCH(1,(CH_CostItems_Anytime!$C$96:$C$143=TBL_Comparison!$C67)*(CH_CostItems_Anytime!$D$96:$D$143=TBL_Comparison!$D67),0),1)</f>
        <v>2198.926704</v>
      </c>
      <c r="G67" s="324" cm="1">
        <f t="array" ref="G67">INDEX(CH_CostItems_Anytime!$N$96:$N$143,MATCH(1,(CH_CostItems_Anytime!$C$96:$C$143=TBL_Comparison!$C67)*(CH_CostItems_Anytime!$D$96:$D$143=TBL_Comparison!$D67),0),1)</f>
        <v>2198.926704</v>
      </c>
      <c r="I67" s="328">
        <f t="shared" si="13"/>
        <v>0</v>
      </c>
      <c r="J67" s="255">
        <f t="shared" si="14"/>
        <v>0</v>
      </c>
      <c r="K67">
        <f t="shared" si="15"/>
        <v>16</v>
      </c>
      <c r="M67" s="328">
        <f t="shared" si="16"/>
        <v>0</v>
      </c>
      <c r="N67" s="255">
        <f t="shared" si="17"/>
        <v>0</v>
      </c>
      <c r="O67">
        <f t="shared" si="12"/>
        <v>18</v>
      </c>
    </row>
    <row r="68" spans="3:17" x14ac:dyDescent="0.25">
      <c r="C68" s="23" t="s">
        <v>284</v>
      </c>
      <c r="D68" s="23" t="s">
        <v>814</v>
      </c>
      <c r="E68" s="326">
        <v>92.669841528319964</v>
      </c>
      <c r="F68" s="324" cm="1">
        <f t="array" ref="F68">INDEX(CH_CostItems_Anytime!$G$96:$G$143,MATCH(1,(CH_CostItems_Anytime!$C$96:$C$143=TBL_Comparison!$C68)*(CH_CostItems_Anytime!$D$96:$D$143=TBL_Comparison!$D68),0),1)</f>
        <v>75.856912635170474</v>
      </c>
      <c r="G68" s="324" cm="1">
        <f t="array" ref="G68">INDEX(CH_CostItems_Anytime!$N$96:$N$143,MATCH(1,(CH_CostItems_Anytime!$C$96:$C$143=TBL_Comparison!$C68)*(CH_CostItems_Anytime!$D$96:$D$143=TBL_Comparison!$D68),0),1)</f>
        <v>73.195915823632575</v>
      </c>
      <c r="I68" s="328">
        <f t="shared" si="13"/>
        <v>-16.81292889314949</v>
      </c>
      <c r="J68" s="255">
        <f t="shared" si="14"/>
        <v>-2.9568992073776804E-3</v>
      </c>
      <c r="K68">
        <f t="shared" si="15"/>
        <v>23</v>
      </c>
      <c r="M68" s="328">
        <f t="shared" si="16"/>
        <v>2.660996811537899</v>
      </c>
      <c r="N68" s="255">
        <f t="shared" si="17"/>
        <v>4.97382581595869E-4</v>
      </c>
      <c r="O68">
        <f t="shared" si="12"/>
        <v>8</v>
      </c>
    </row>
    <row r="69" spans="3:17" x14ac:dyDescent="0.25">
      <c r="C69" s="23" t="s">
        <v>284</v>
      </c>
      <c r="D69" s="23" t="s">
        <v>815</v>
      </c>
      <c r="E69" s="326">
        <v>25.683767969819392</v>
      </c>
      <c r="F69" s="324" cm="1">
        <f t="array" ref="F69">INDEX(CH_CostItems_Anytime!$G$96:$G$143,MATCH(1,(CH_CostItems_Anytime!$C$96:$C$143=TBL_Comparison!$C69)*(CH_CostItems_Anytime!$D$96:$D$143=TBL_Comparison!$D69),0),1)</f>
        <v>33.953989200578881</v>
      </c>
      <c r="G69" s="324" cm="1">
        <f t="array" ref="G69">INDEX(CH_CostItems_Anytime!$N$96:$N$143,MATCH(1,(CH_CostItems_Anytime!$C$96:$C$143=TBL_Comparison!$C69)*(CH_CostItems_Anytime!$D$96:$D$143=TBL_Comparison!$D69),0),1)</f>
        <v>30.574581962514646</v>
      </c>
      <c r="I69" s="328">
        <f t="shared" ref="I69:I70" si="20">IF(F69="-",0,F69)-IF(E69="-",0,E69)</f>
        <v>8.2702212307594891</v>
      </c>
      <c r="J69" s="255">
        <f t="shared" ref="J69:J70" si="21">IFERROR((F69-E69)/E$51,"-")</f>
        <v>1.4544884331268886E-3</v>
      </c>
      <c r="K69">
        <f t="shared" si="15"/>
        <v>4</v>
      </c>
      <c r="M69" s="328">
        <f t="shared" si="16"/>
        <v>3.3794072380642355</v>
      </c>
      <c r="N69" s="255">
        <f t="shared" si="17"/>
        <v>6.3166490431107209E-4</v>
      </c>
      <c r="O69">
        <f t="shared" ref="O69:O70" si="22">_xlfn.RANK.EQ(M69,$M$53:$M$78)</f>
        <v>6</v>
      </c>
    </row>
    <row r="70" spans="3:17" x14ac:dyDescent="0.25">
      <c r="C70" s="23" t="s">
        <v>284</v>
      </c>
      <c r="D70" s="23" t="s">
        <v>816</v>
      </c>
      <c r="E70" s="326">
        <v>0.81275275382597023</v>
      </c>
      <c r="F70" s="324" cm="1">
        <f t="array" ref="F70">INDEX(CH_CostItems_Anytime!$G$96:$G$143,MATCH(1,(CH_CostItems_Anytime!$C$96:$C$143=TBL_Comparison!$C70)*(CH_CostItems_Anytime!$D$96:$D$143=TBL_Comparison!$D70),0),1)</f>
        <v>0.87312233877090828</v>
      </c>
      <c r="G70" s="324" cm="1">
        <f t="array" ref="G70">INDEX(CH_CostItems_Anytime!$N$96:$N$143,MATCH(1,(CH_CostItems_Anytime!$C$96:$C$143=TBL_Comparison!$C70)*(CH_CostItems_Anytime!$D$96:$D$143=TBL_Comparison!$D70),0),1)</f>
        <v>1.0119988616008673</v>
      </c>
      <c r="I70" s="328">
        <f t="shared" si="20"/>
        <v>6.0369584944938048E-2</v>
      </c>
      <c r="J70" s="255">
        <f t="shared" si="21"/>
        <v>1.0617232667066135E-5</v>
      </c>
      <c r="K70">
        <f t="shared" si="15"/>
        <v>13</v>
      </c>
      <c r="M70" s="328">
        <f t="shared" si="16"/>
        <v>-0.13887652282995899</v>
      </c>
      <c r="N70" s="255">
        <f t="shared" si="17"/>
        <v>-2.5958228566347474E-5</v>
      </c>
      <c r="O70">
        <f t="shared" si="22"/>
        <v>23</v>
      </c>
    </row>
    <row r="71" spans="3:17" x14ac:dyDescent="0.25">
      <c r="C71" s="23" t="s">
        <v>273</v>
      </c>
      <c r="D71" s="23" t="s">
        <v>160</v>
      </c>
      <c r="E71" s="326">
        <v>7.4758041958041961</v>
      </c>
      <c r="F71" s="324" cm="1">
        <f t="array" ref="F71">INDEX(CH_CostItems_Anytime!$G$96:$G$143,MATCH(1,(CH_CostItems_Anytime!$C$96:$C$143=TBL_Comparison!$C71)*(CH_CostItems_Anytime!$D$96:$D$143=TBL_Comparison!$D71),0),1)</f>
        <v>8.1687585858585852</v>
      </c>
      <c r="G71" s="324" cm="1">
        <f t="array" ref="G71">INDEX(CH_CostItems_Anytime!$N$96:$N$143,MATCH(1,(CH_CostItems_Anytime!$C$96:$C$143=TBL_Comparison!$C71)*(CH_CostItems_Anytime!$D$96:$D$143=TBL_Comparison!$D71),0),1)</f>
        <v>8.0004000000000008</v>
      </c>
      <c r="I71" s="328">
        <f t="shared" si="13"/>
        <v>0.69295439005438908</v>
      </c>
      <c r="J71" s="255">
        <f t="shared" si="14"/>
        <v>1.2187027612634349E-4</v>
      </c>
      <c r="K71">
        <f t="shared" si="15"/>
        <v>9</v>
      </c>
      <c r="M71" s="328">
        <f t="shared" si="16"/>
        <v>0.16835858585858432</v>
      </c>
      <c r="N71" s="255">
        <f t="shared" si="17"/>
        <v>3.1468894553006415E-5</v>
      </c>
      <c r="O71">
        <f t="shared" ref="O71:O78" si="23">_xlfn.RANK.EQ(M71,$M$53:$M$78)</f>
        <v>12</v>
      </c>
    </row>
    <row r="72" spans="3:17" x14ac:dyDescent="0.25">
      <c r="C72" s="23" t="s">
        <v>273</v>
      </c>
      <c r="D72" s="23" t="s">
        <v>162</v>
      </c>
      <c r="E72" s="326">
        <v>0</v>
      </c>
      <c r="F72" s="324" cm="1">
        <f t="array" ref="F72">INDEX(CH_CostItems_Anytime!$G$96:$G$143,MATCH(1,(CH_CostItems_Anytime!$C$96:$C$143=TBL_Comparison!$C72)*(CH_CostItems_Anytime!$D$96:$D$143=TBL_Comparison!$D72),0),1)</f>
        <v>0</v>
      </c>
      <c r="G72" s="324" cm="1">
        <f t="array" ref="G72">INDEX(CH_CostItems_Anytime!$N$96:$N$143,MATCH(1,(CH_CostItems_Anytime!$C$96:$C$143=TBL_Comparison!$C72)*(CH_CostItems_Anytime!$D$96:$D$143=TBL_Comparison!$D72),0),1)</f>
        <v>0</v>
      </c>
      <c r="I72" s="328">
        <f t="shared" si="13"/>
        <v>0</v>
      </c>
      <c r="J72" s="255">
        <f t="shared" si="14"/>
        <v>0</v>
      </c>
      <c r="K72">
        <f t="shared" si="15"/>
        <v>16</v>
      </c>
      <c r="M72" s="328">
        <f t="shared" si="16"/>
        <v>0</v>
      </c>
      <c r="N72" s="255">
        <f t="shared" si="17"/>
        <v>0</v>
      </c>
      <c r="O72">
        <f t="shared" si="23"/>
        <v>18</v>
      </c>
      <c r="Q72"/>
    </row>
    <row r="73" spans="3:17" x14ac:dyDescent="0.25">
      <c r="C73" s="23" t="s">
        <v>273</v>
      </c>
      <c r="D73" s="23" t="s">
        <v>758</v>
      </c>
      <c r="E73" s="326" t="s">
        <v>9</v>
      </c>
      <c r="F73" s="324" cm="1">
        <f t="array" ref="F73">INDEX(CH_CostItems_Anytime!$G$96:$G$143,MATCH(1,(CH_CostItems_Anytime!$C$96:$C$143=TBL_Comparison!$C73)*(CH_CostItems_Anytime!$D$96:$D$143=TBL_Comparison!$D73),0),1)</f>
        <v>2.5168728956228956</v>
      </c>
      <c r="G73" s="324" cm="1">
        <f t="array" ref="G73">INDEX(CH_CostItems_Anytime!$N$96:$N$143,MATCH(1,(CH_CostItems_Anytime!$C$96:$C$143=TBL_Comparison!$C73)*(CH_CostItems_Anytime!$D$96:$D$143=TBL_Comparison!$D73),0),1)</f>
        <v>2.4649999999999999</v>
      </c>
      <c r="I73" s="328">
        <f t="shared" si="13"/>
        <v>2.5168728956228956</v>
      </c>
      <c r="J73" s="255" t="str">
        <f t="shared" si="14"/>
        <v>-</v>
      </c>
      <c r="K73">
        <f t="shared" si="15"/>
        <v>6</v>
      </c>
      <c r="M73" s="328">
        <f t="shared" si="16"/>
        <v>5.1872895622895765E-2</v>
      </c>
      <c r="N73" s="255">
        <f t="shared" si="17"/>
        <v>9.6958683407281804E-6</v>
      </c>
      <c r="O73">
        <f t="shared" si="23"/>
        <v>13</v>
      </c>
      <c r="Q73"/>
    </row>
    <row r="74" spans="3:17" x14ac:dyDescent="0.25">
      <c r="C74" s="23" t="s">
        <v>273</v>
      </c>
      <c r="D74" s="23" t="s">
        <v>757</v>
      </c>
      <c r="E74" s="326" t="s">
        <v>9</v>
      </c>
      <c r="F74" s="324" cm="1">
        <f t="array" ref="F74">INDEX(CH_CostItems_Anytime!$G$96:$G$143,MATCH(1,(CH_CostItems_Anytime!$C$96:$C$143=TBL_Comparison!$C74)*(CH_CostItems_Anytime!$D$96:$D$143=TBL_Comparison!$D74),0),1)</f>
        <v>0.53563956228956233</v>
      </c>
      <c r="G74" s="324" cm="1">
        <f t="array" ref="G74">INDEX(CH_CostItems_Anytime!$N$96:$N$143,MATCH(1,(CH_CostItems_Anytime!$C$96:$C$143=TBL_Comparison!$C74)*(CH_CostItems_Anytime!$D$96:$D$143=TBL_Comparison!$D74),0),1)</f>
        <v>0.52460000000000007</v>
      </c>
      <c r="I74" s="328">
        <f t="shared" si="13"/>
        <v>0.53563956228956233</v>
      </c>
      <c r="J74" s="255" t="str">
        <f t="shared" si="14"/>
        <v>-</v>
      </c>
      <c r="K74">
        <f t="shared" si="15"/>
        <v>10</v>
      </c>
      <c r="M74" s="328">
        <f t="shared" si="16"/>
        <v>1.1039562289562266E-2</v>
      </c>
      <c r="N74" s="255">
        <f t="shared" si="17"/>
        <v>2.0634695868340685E-6</v>
      </c>
      <c r="O74">
        <f t="shared" si="23"/>
        <v>17</v>
      </c>
      <c r="Q74"/>
    </row>
    <row r="75" spans="3:17" x14ac:dyDescent="0.25">
      <c r="C75" s="23" t="s">
        <v>273</v>
      </c>
      <c r="D75" s="23" t="s">
        <v>163</v>
      </c>
      <c r="E75" s="326">
        <v>7.2059233695449452</v>
      </c>
      <c r="F75" s="324" cm="1">
        <f t="array" ref="F75">INDEX(CH_CostItems_Anytime!$G$96:$G$143,MATCH(1,(CH_CostItems_Anytime!$C$96:$C$143=TBL_Comparison!$C75)*(CH_CostItems_Anytime!$D$96:$D$143=TBL_Comparison!$D75),0),1)</f>
        <v>6.9379952739165089</v>
      </c>
      <c r="G75" s="324" cm="1">
        <f t="array" ref="G75">INDEX(CH_CostItems_Anytime!$N$96:$N$143,MATCH(1,(CH_CostItems_Anytime!$C$96:$C$143=TBL_Comparison!$C75)*(CH_CostItems_Anytime!$D$96:$D$143=TBL_Comparison!$D75),0),1)</f>
        <v>6.5195940508151464</v>
      </c>
      <c r="I75" s="328">
        <f t="shared" si="13"/>
        <v>-0.26792809562843622</v>
      </c>
      <c r="J75" s="255">
        <f t="shared" si="14"/>
        <v>-4.7120664021884667E-5</v>
      </c>
      <c r="K75">
        <f t="shared" si="15"/>
        <v>20</v>
      </c>
      <c r="M75" s="328">
        <f t="shared" si="16"/>
        <v>0.41840122310136252</v>
      </c>
      <c r="N75" s="255">
        <f t="shared" si="17"/>
        <v>7.8205836093712616E-5</v>
      </c>
      <c r="O75">
        <f t="shared" si="23"/>
        <v>11</v>
      </c>
      <c r="Q75"/>
    </row>
    <row r="76" spans="3:17" x14ac:dyDescent="0.25">
      <c r="C76" s="23" t="s">
        <v>128</v>
      </c>
      <c r="D76" s="23" t="s">
        <v>283</v>
      </c>
      <c r="E76" s="326">
        <v>1681.7199999999998</v>
      </c>
      <c r="F76" s="324" cm="1">
        <f t="array" ref="F76">INDEX(CH_CostItems_Anytime!$G$96:$G$143,MATCH(1,(CH_CostItems_Anytime!$C$96:$C$143=TBL_Comparison!$C76)*(CH_CostItems_Anytime!$D$96:$D$143=TBL_Comparison!$D76),0),1)</f>
        <v>1317.0800000000002</v>
      </c>
      <c r="G76" s="324" cm="1">
        <f t="array" ref="G76">INDEX(CH_CostItems_Anytime!$N$96:$N$143,MATCH(1,(CH_CostItems_Anytime!$C$96:$C$143=TBL_Comparison!$C76)*(CH_CostItems_Anytime!$D$96:$D$143=TBL_Comparison!$D76),0),1)</f>
        <v>1271.8399999999999</v>
      </c>
      <c r="I76" s="328">
        <f t="shared" si="13"/>
        <v>-364.63999999999965</v>
      </c>
      <c r="J76" s="255">
        <f t="shared" si="14"/>
        <v>-6.4129440731621468E-2</v>
      </c>
      <c r="K76">
        <f t="shared" si="15"/>
        <v>26</v>
      </c>
      <c r="M76" s="328">
        <f t="shared" si="16"/>
        <v>45.240000000000236</v>
      </c>
      <c r="N76" s="255">
        <f t="shared" si="17"/>
        <v>8.4560747663551851E-3</v>
      </c>
      <c r="O76">
        <f t="shared" si="23"/>
        <v>1</v>
      </c>
      <c r="Q76"/>
    </row>
    <row r="77" spans="3:17" x14ac:dyDescent="0.25">
      <c r="C77" s="23"/>
      <c r="D77" s="23" t="s">
        <v>708</v>
      </c>
      <c r="E77" s="326">
        <v>516.8331610842198</v>
      </c>
      <c r="F77" s="324" cm="1">
        <f t="array" ref="F77">INDEX(CH_CostItems_Anytime!$G$96:$G$143,MATCH(1,(CH_CostItems_Anytime!$C$96:$C$143=TBL_Comparison!$C77)*(CH_CostItems_Anytime!$D$96:$D$143=TBL_Comparison!$D77),0),1)</f>
        <v>491.33729635606721</v>
      </c>
      <c r="G77" s="324" cm="1">
        <f t="array" ref="G77">INDEX(CH_CostItems_Anytime!$N$96:$N$143,MATCH(1,(CH_CostItems_Anytime!$C$96:$C$143=TBL_Comparison!$C77)*(CH_CostItems_Anytime!$D$96:$D$143=TBL_Comparison!$D77),0),1)</f>
        <v>479.05184954876495</v>
      </c>
      <c r="I77" s="328">
        <f t="shared" si="13"/>
        <v>-25.495864728152583</v>
      </c>
      <c r="J77" s="255">
        <f t="shared" si="14"/>
        <v>-4.4839719887711186E-3</v>
      </c>
      <c r="K77">
        <f t="shared" si="15"/>
        <v>24</v>
      </c>
      <c r="M77" s="328">
        <f t="shared" si="16"/>
        <v>12.285446807302264</v>
      </c>
      <c r="N77" s="255">
        <f t="shared" si="17"/>
        <v>2.2963451976265913E-3</v>
      </c>
      <c r="O77">
        <f t="shared" si="23"/>
        <v>4</v>
      </c>
    </row>
    <row r="78" spans="3:17" x14ac:dyDescent="0.25">
      <c r="C78" s="23"/>
      <c r="D78" s="23" t="s">
        <v>709</v>
      </c>
      <c r="E78" s="326">
        <v>294.38629695857099</v>
      </c>
      <c r="F78" s="324" cm="1">
        <f t="array" ref="F78">INDEX(CH_CostItems_Anytime!$G$96:$G$143,MATCH(1,(CH_CostItems_Anytime!$C$96:$C$143=TBL_Comparison!$C78)*(CH_CostItems_Anytime!$D$96:$D$143=TBL_Comparison!$D78),0),1)</f>
        <v>279.86394473695265</v>
      </c>
      <c r="G78" s="324" cm="1">
        <f t="array" ref="G78">INDEX(CH_CostItems_Anytime!$N$96:$N$143,MATCH(1,(CH_CostItems_Anytime!$C$96:$C$143=TBL_Comparison!$C78)*(CH_CostItems_Anytime!$D$96:$D$143=TBL_Comparison!$D78),0),1)</f>
        <v>272.86619872449455</v>
      </c>
      <c r="I78" s="328">
        <f t="shared" si="13"/>
        <v>-14.522352221618348</v>
      </c>
      <c r="J78" s="255">
        <f t="shared" si="14"/>
        <v>-2.5540542071083973E-3</v>
      </c>
      <c r="K78">
        <f t="shared" si="15"/>
        <v>22</v>
      </c>
      <c r="M78" s="328">
        <f t="shared" si="16"/>
        <v>6.9977460124580944</v>
      </c>
      <c r="N78" s="255">
        <f t="shared" si="17"/>
        <v>1.3079899088706719E-3</v>
      </c>
      <c r="O78">
        <f t="shared" si="23"/>
        <v>5</v>
      </c>
    </row>
    <row r="79" spans="3:17" x14ac:dyDescent="0.25">
      <c r="F79" s="325"/>
      <c r="G79" s="325"/>
    </row>
  </sheetData>
  <sheetProtection algorithmName="SHA-512" hashValue="s5zb5vKJneggIHqQhmAgAAszDARwvWJLyUfOxmh1lbBoZNoWq2SkvGQsMKoe6jDc2Tp6cm34tLoZypXjAp1o1A==" saltValue="zUER14O7g4BQcSxQMVSDxA==" spinCount="100000" sheet="1" objects="1" scenarios="1"/>
  <mergeCells count="1">
    <mergeCell ref="A2:A3"/>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76360-953B-4A18-A51A-C0DC634056FF}">
  <sheetPr>
    <tabColor rgb="FFFFB13F"/>
  </sheetPr>
  <dimension ref="A1:AZ257"/>
  <sheetViews>
    <sheetView showGridLines="0" topLeftCell="B1" zoomScale="85" zoomScaleNormal="85" workbookViewId="0">
      <pane ySplit="3" topLeftCell="A4" activePane="bottomLeft" state="frozen"/>
      <selection activeCell="K40" sqref="K40"/>
      <selection pane="bottomLeft" activeCell="P164" sqref="P164"/>
    </sheetView>
  </sheetViews>
  <sheetFormatPr defaultColWidth="10.5703125" defaultRowHeight="15" outlineLevelCol="1" x14ac:dyDescent="0.25"/>
  <cols>
    <col min="1" max="1" width="100.5703125" hidden="1" customWidth="1" outlineLevel="1"/>
    <col min="2" max="2" width="10.5703125" style="6" customWidth="1" collapsed="1"/>
    <col min="3" max="3" width="42.42578125" bestFit="1" customWidth="1"/>
    <col min="4" max="4" width="16.42578125" customWidth="1"/>
    <col min="5" max="5" width="10.5703125" customWidth="1"/>
    <col min="6" max="6" width="13.5703125" customWidth="1"/>
    <col min="7" max="14" width="10.5703125" customWidth="1"/>
    <col min="15" max="15" width="12.5703125" customWidth="1"/>
    <col min="16" max="16" width="10.5703125" customWidth="1"/>
    <col min="17" max="17" width="18.5703125" bestFit="1" customWidth="1"/>
    <col min="18" max="52" width="10.5703125" customWidth="1"/>
  </cols>
  <sheetData>
    <row r="1" spans="1:52" ht="15" hidden="1" customHeight="1" x14ac:dyDescent="0.25">
      <c r="A1" s="1" t="s">
        <v>20</v>
      </c>
      <c r="B1" s="21"/>
      <c r="C1" s="22"/>
      <c r="D1" s="22"/>
      <c r="E1" s="22"/>
      <c r="F1" s="123" t="s">
        <v>411</v>
      </c>
      <c r="G1" s="96"/>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row>
    <row r="2" spans="1:52" s="4" customFormat="1" ht="50.1" hidden="1" customHeight="1" x14ac:dyDescent="0.25">
      <c r="A2" s="382" t="s">
        <v>21</v>
      </c>
      <c r="B2" s="25"/>
      <c r="C2" s="25" t="str">
        <f>Disclaimer!$B$1</f>
        <v>VDO calculation model</v>
      </c>
      <c r="D2" s="25"/>
      <c r="E2" s="25"/>
      <c r="F2" s="172" t="str">
        <f>Calc_Rates!$D$5</f>
        <v>VDO 2022-23 - Draft</v>
      </c>
      <c r="G2" s="172" t="str">
        <f>Calc_Rates!$D$254</f>
        <v>VDO 2022 - Final</v>
      </c>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row>
    <row r="3" spans="1:52" s="4" customFormat="1" ht="30" hidden="1" customHeight="1" x14ac:dyDescent="0.25">
      <c r="A3" s="383"/>
      <c r="B3" s="27">
        <f ca="1">_xlfn.SHEET()</f>
        <v>28</v>
      </c>
      <c r="C3" s="26" t="s">
        <v>441</v>
      </c>
      <c r="D3" s="26"/>
      <c r="E3" s="26"/>
      <c r="F3" s="95" t="e">
        <f>SUM(#REF!,#REF!)</f>
        <v>#REF!</v>
      </c>
      <c r="G3" s="95" t="e">
        <f>SUM(#REF!,#REF!,#REF!,#REF!,#REF!,#REF!)</f>
        <v>#REF!</v>
      </c>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x14ac:dyDescent="0.25">
      <c r="B4"/>
    </row>
    <row r="5" spans="1:52" ht="16.5" thickBot="1" x14ac:dyDescent="0.3">
      <c r="A5" s="1" t="s">
        <v>23</v>
      </c>
      <c r="B5" s="9">
        <f ca="1">MAX(B$3:B4)+0.1</f>
        <v>28.1</v>
      </c>
      <c r="C5" s="28" t="s">
        <v>441</v>
      </c>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row>
    <row r="7" spans="1:52" ht="15.75" x14ac:dyDescent="0.25">
      <c r="C7" s="29" t="s">
        <v>410</v>
      </c>
    </row>
    <row r="8" spans="1:52" ht="15.75" x14ac:dyDescent="0.25">
      <c r="C8" s="271" t="s">
        <v>698</v>
      </c>
      <c r="D8" s="271" t="s">
        <v>91</v>
      </c>
      <c r="E8" s="271" t="s">
        <v>454</v>
      </c>
      <c r="F8" s="50" t="s">
        <v>268</v>
      </c>
      <c r="G8" s="271" t="s">
        <v>269</v>
      </c>
      <c r="H8" s="271" t="s">
        <v>270</v>
      </c>
      <c r="I8" s="271" t="s">
        <v>271</v>
      </c>
      <c r="J8" s="271" t="s">
        <v>272</v>
      </c>
      <c r="K8" s="271" t="s">
        <v>447</v>
      </c>
      <c r="M8" s="42" t="s">
        <v>455</v>
      </c>
      <c r="N8" s="42" t="s">
        <v>456</v>
      </c>
      <c r="O8" s="42" t="s">
        <v>457</v>
      </c>
    </row>
    <row r="9" spans="1:52" x14ac:dyDescent="0.25">
      <c r="C9" t="s">
        <v>689</v>
      </c>
      <c r="D9" t="s">
        <v>92</v>
      </c>
      <c r="E9" t="s">
        <v>556</v>
      </c>
      <c r="F9" s="261">
        <f>ROUNDUP(SUMIFS(INDEX(CH_BITariff1314372[[Ausnet]:[United Energy]],0,MATCH(F$8,CH_BITariff1314372[[#Headers],[Ausnet]:[United Energy]],0)),CH_BITariff1314372[Customer type],$D9,CH_BITariff1314372[Tariff type],$E9,CH_BITariff1314372[Decision],$C$7),0)</f>
        <v>1300</v>
      </c>
      <c r="G9" s="261">
        <f>ROUNDUP(SUMIFS(INDEX(CH_BITariff1314372[[Ausnet]:[United Energy]],0,MATCH(G$8,CH_BITariff1314372[[#Headers],[Ausnet]:[United Energy]],0)),CH_BITariff1314372[Customer type],$D9,CH_BITariff1314372[Tariff type],$E9,CH_BITariff1314372[Decision],$C$7),0)</f>
        <v>1077</v>
      </c>
      <c r="H9" s="261">
        <f>ROUNDUP(SUMIFS(INDEX(CH_BITariff1314372[[Ausnet]:[United Energy]],0,MATCH(H$8,CH_BITariff1314372[[#Headers],[Ausnet]:[United Energy]],0)),CH_BITariff1314372[Customer type],$D9,CH_BITariff1314372[Tariff type],$E9,CH_BITariff1314372[Decision],$C$7),0)</f>
        <v>1129</v>
      </c>
      <c r="I9" s="261">
        <f>ROUNDUP(SUMIFS(INDEX(CH_BITariff1314372[[Ausnet]:[United Energy]],0,MATCH(I$8,CH_BITariff1314372[[#Headers],[Ausnet]:[United Energy]],0)),CH_BITariff1314372[Customer type],$D9,CH_BITariff1314372[Tariff type],$E9,CH_BITariff1314372[Decision],$C$7),0)</f>
        <v>1143</v>
      </c>
      <c r="J9" s="261">
        <f>ROUNDUP(SUMIFS(INDEX(CH_BITariff1314372[[Ausnet]:[United Energy]],0,MATCH(J$8,CH_BITariff1314372[[#Headers],[Ausnet]:[United Energy]],0)),CH_BITariff1314372[Customer type],$D9,CH_BITariff1314372[Tariff type],$E9,CH_BITariff1314372[Decision],$C$7),0)</f>
        <v>1088</v>
      </c>
      <c r="K9" s="261">
        <f>AVERAGE(F9:J9)</f>
        <v>1147.4000000000001</v>
      </c>
      <c r="M9" s="261">
        <f>MIN($F9:$J9)</f>
        <v>1077</v>
      </c>
      <c r="N9" s="261">
        <f>MAX($F9:$J9)</f>
        <v>1300</v>
      </c>
      <c r="O9" s="261">
        <f>N9-M9</f>
        <v>223</v>
      </c>
    </row>
    <row r="10" spans="1:52" x14ac:dyDescent="0.25">
      <c r="C10" t="s">
        <v>690</v>
      </c>
      <c r="D10" t="s">
        <v>93</v>
      </c>
      <c r="E10" t="s">
        <v>556</v>
      </c>
      <c r="F10" s="261">
        <f>ROUNDUP(SUMIFS(INDEX(CH_BITariff1314372[[Ausnet]:[United Energy]],0,MATCH(F$8,CH_BITariff1314372[[#Headers],[Ausnet]:[United Energy]],0)),CH_BITariff1314372[Customer type],$D10,CH_BITariff1314372[Tariff type],$E10,CH_BITariff1314372[Decision],$C$7),0)</f>
        <v>6768</v>
      </c>
      <c r="G10" s="261">
        <f>ROUNDUP(SUMIFS(INDEX(CH_BITariff1314372[[Ausnet]:[United Energy]],0,MATCH(G$8,CH_BITariff1314372[[#Headers],[Ausnet]:[United Energy]],0)),CH_BITariff1314372[Customer type],$D10,CH_BITariff1314372[Tariff type],$E10,CH_BITariff1314372[Decision],$C$7),0)</f>
        <v>4548</v>
      </c>
      <c r="H10" s="261">
        <f>ROUNDUP(SUMIFS(INDEX(CH_BITariff1314372[[Ausnet]:[United Energy]],0,MATCH(H$8,CH_BITariff1314372[[#Headers],[Ausnet]:[United Energy]],0)),CH_BITariff1314372[Customer type],$D10,CH_BITariff1314372[Tariff type],$E10,CH_BITariff1314372[Decision],$C$7),0)</f>
        <v>5139</v>
      </c>
      <c r="I10" s="261">
        <f>ROUNDUP(SUMIFS(INDEX(CH_BITariff1314372[[Ausnet]:[United Energy]],0,MATCH(I$8,CH_BITariff1314372[[#Headers],[Ausnet]:[United Energy]],0)),CH_BITariff1314372[Customer type],$D10,CH_BITariff1314372[Tariff type],$E10,CH_BITariff1314372[Decision],$C$7),0)</f>
        <v>4787</v>
      </c>
      <c r="J10" s="261">
        <f>ROUNDUP(SUMIFS(INDEX(CH_BITariff1314372[[Ausnet]:[United Energy]],0,MATCH(J$8,CH_BITariff1314372[[#Headers],[Ausnet]:[United Energy]],0)),CH_BITariff1314372[Customer type],$D10,CH_BITariff1314372[Tariff type],$E10,CH_BITariff1314372[Decision],$C$7),0)</f>
        <v>4650</v>
      </c>
      <c r="K10" s="261">
        <f>AVERAGE(F10:J10)</f>
        <v>5178.3999999999996</v>
      </c>
      <c r="M10" s="261">
        <f>MIN($F10:$J10)</f>
        <v>4548</v>
      </c>
      <c r="N10" s="261">
        <f>MAX($F10:$J10)</f>
        <v>6768</v>
      </c>
      <c r="O10" s="261">
        <f>N10-M10</f>
        <v>2220</v>
      </c>
    </row>
    <row r="11" spans="1:52" x14ac:dyDescent="0.25">
      <c r="C11" t="s">
        <v>686</v>
      </c>
      <c r="D11" t="s">
        <v>92</v>
      </c>
      <c r="E11" t="s">
        <v>557</v>
      </c>
      <c r="F11" s="261">
        <f>ROUNDUP(SUMIFS(INDEX(CH_BITariff1314372[[Ausnet]:[United Energy]],0,MATCH(F$8,CH_BITariff1314372[[#Headers],[Ausnet]:[United Energy]],0)),CH_BITariff1314372[Customer type],$D11,CH_BITariff1314372[Tariff type],$E11,CH_BITariff1314372[Decision],$C$7),0)</f>
        <v>1223</v>
      </c>
      <c r="G11" s="261">
        <f>ROUNDUP(SUMIFS(INDEX(CH_BITariff1314372[[Ausnet]:[United Energy]],0,MATCH(G$8,CH_BITariff1314372[[#Headers],[Ausnet]:[United Energy]],0)),CH_BITariff1314372[Customer type],$D11,CH_BITariff1314372[Tariff type],$E11,CH_BITariff1314372[Decision],$C$7),0)</f>
        <v>1072</v>
      </c>
      <c r="H11" s="261">
        <f>ROUNDUP(SUMIFS(INDEX(CH_BITariff1314372[[Ausnet]:[United Energy]],0,MATCH(H$8,CH_BITariff1314372[[#Headers],[Ausnet]:[United Energy]],0)),CH_BITariff1314372[Customer type],$D11,CH_BITariff1314372[Tariff type],$E11,CH_BITariff1314372[Decision],$C$7),0)</f>
        <v>1053</v>
      </c>
      <c r="I11" s="261">
        <f>ROUNDUP(SUMIFS(INDEX(CH_BITariff1314372[[Ausnet]:[United Energy]],0,MATCH(I$8,CH_BITariff1314372[[#Headers],[Ausnet]:[United Energy]],0)),CH_BITariff1314372[Customer type],$D11,CH_BITariff1314372[Tariff type],$E11,CH_BITariff1314372[Decision],$C$7),0)</f>
        <v>1130</v>
      </c>
      <c r="J11" s="261">
        <f>ROUNDUP(SUMIFS(INDEX(CH_BITariff1314372[[Ausnet]:[United Energy]],0,MATCH(J$8,CH_BITariff1314372[[#Headers],[Ausnet]:[United Energy]],0)),CH_BITariff1314372[Customer type],$D11,CH_BITariff1314372[Tariff type],$E11,CH_BITariff1314372[Decision],$C$7),0)</f>
        <v>1082</v>
      </c>
      <c r="K11" s="261">
        <f>AVERAGE(F11:J11)</f>
        <v>1112</v>
      </c>
      <c r="M11" s="261">
        <f>MIN($F11:$J11)</f>
        <v>1053</v>
      </c>
      <c r="N11" s="261">
        <f>MAX($F11:$J11)</f>
        <v>1223</v>
      </c>
      <c r="O11" s="261">
        <f>N11-M11</f>
        <v>170</v>
      </c>
    </row>
    <row r="12" spans="1:52" x14ac:dyDescent="0.25">
      <c r="C12" t="s">
        <v>687</v>
      </c>
      <c r="D12" t="s">
        <v>93</v>
      </c>
      <c r="E12" t="s">
        <v>557</v>
      </c>
      <c r="F12" s="261">
        <f>ROUNDUP(SUMIFS(INDEX(CH_BITariff1314372[[Ausnet]:[United Energy]],0,MATCH(F$8,CH_BITariff1314372[[#Headers],[Ausnet]:[United Energy]],0)),CH_BITariff1314372[Customer type],$D12,CH_BITariff1314372[Tariff type],$E12,CH_BITariff1314372[Decision],$C$7),0)</f>
        <v>5145</v>
      </c>
      <c r="G12" s="261">
        <f>ROUNDUP(SUMIFS(INDEX(CH_BITariff1314372[[Ausnet]:[United Energy]],0,MATCH(G$8,CH_BITariff1314372[[#Headers],[Ausnet]:[United Energy]],0)),CH_BITariff1314372[Customer type],$D12,CH_BITariff1314372[Tariff type],$E12,CH_BITariff1314372[Decision],$C$7),0)</f>
        <v>4464</v>
      </c>
      <c r="H12" s="261">
        <f>ROUNDUP(SUMIFS(INDEX(CH_BITariff1314372[[Ausnet]:[United Energy]],0,MATCH(H$8,CH_BITariff1314372[[#Headers],[Ausnet]:[United Energy]],0)),CH_BITariff1314372[Customer type],$D12,CH_BITariff1314372[Tariff type],$E12,CH_BITariff1314372[Decision],$C$7),0)</f>
        <v>4643</v>
      </c>
      <c r="I12" s="261">
        <f>ROUNDUP(SUMIFS(INDEX(CH_BITariff1314372[[Ausnet]:[United Energy]],0,MATCH(I$8,CH_BITariff1314372[[#Headers],[Ausnet]:[United Energy]],0)),CH_BITariff1314372[Customer type],$D12,CH_BITariff1314372[Tariff type],$E12,CH_BITariff1314372[Decision],$C$7),0)</f>
        <v>4697</v>
      </c>
      <c r="J12" s="261">
        <f>ROUNDUP(SUMIFS(INDEX(CH_BITariff1314372[[Ausnet]:[United Energy]],0,MATCH(J$8,CH_BITariff1314372[[#Headers],[Ausnet]:[United Energy]],0)),CH_BITariff1314372[Customer type],$D12,CH_BITariff1314372[Tariff type],$E12,CH_BITariff1314372[Decision],$C$7),0)</f>
        <v>4567</v>
      </c>
      <c r="K12" s="261">
        <f>AVERAGE(F12:J12)</f>
        <v>4703.2</v>
      </c>
      <c r="M12" s="261">
        <f>MIN($F12:$J12)</f>
        <v>4464</v>
      </c>
      <c r="N12" s="261">
        <f>MAX($F12:$J12)</f>
        <v>5145</v>
      </c>
      <c r="O12" s="261">
        <f>N12-M12</f>
        <v>681</v>
      </c>
    </row>
    <row r="13" spans="1:52" x14ac:dyDescent="0.25">
      <c r="C13" t="s">
        <v>696</v>
      </c>
      <c r="D13" t="s">
        <v>92</v>
      </c>
      <c r="E13" t="s">
        <v>697</v>
      </c>
      <c r="F13" s="261">
        <f>F9+ROUNDUP(SUMIFS(INDEX(CH_BITariff1314372[[Ausnet]:[United Energy]],0,MATCH(F$8,CH_BITariff1314372[[#Headers],[Ausnet]:[United Energy]],0)),CH_BITariff1314372[Customer type],$D13,CH_BITariff1314372[Tariff type],$E13,CH_BITariff1314372[Decision],$C$7),0)</f>
        <v>1671</v>
      </c>
      <c r="G13" s="261">
        <f>G9+ROUNDUP(SUMIFS(INDEX(CH_BITariff1314372[[Ausnet]:[United Energy]],0,MATCH(G$8,CH_BITariff1314372[[#Headers],[Ausnet]:[United Energy]],0)),CH_BITariff1314372[Customer type],$D13,CH_BITariff1314372[Tariff type],$E13,CH_BITariff1314372[Decision],$C$7),0)</f>
        <v>1383</v>
      </c>
      <c r="H13" s="261">
        <f>H9+ROUNDUP(SUMIFS(INDEX(CH_BITariff1314372[[Ausnet]:[United Energy]],0,MATCH(H$8,CH_BITariff1314372[[#Headers],[Ausnet]:[United Energy]],0)),CH_BITariff1314372[Customer type],$D13,CH_BITariff1314372[Tariff type],$E13,CH_BITariff1314372[Decision],$C$7),0)</f>
        <v>1477</v>
      </c>
      <c r="I13" s="261">
        <f>I9+ROUNDUP(SUMIFS(INDEX(CH_BITariff1314372[[Ausnet]:[United Energy]],0,MATCH(I$8,CH_BITariff1314372[[#Headers],[Ausnet]:[United Energy]],0)),CH_BITariff1314372[Customer type],$D13,CH_BITariff1314372[Tariff type],$E13,CH_BITariff1314372[Decision],$C$7),0)</f>
        <v>1464</v>
      </c>
      <c r="J13" s="261">
        <f>J9+ROUNDUP(SUMIFS(INDEX(CH_BITariff1314372[[Ausnet]:[United Energy]],0,MATCH(J$8,CH_BITariff1314372[[#Headers],[Ausnet]:[United Energy]],0)),CH_BITariff1314372[Customer type],$D13,CH_BITariff1314372[Tariff type],$E13,CH_BITariff1314372[Decision],$C$7),0)</f>
        <v>1403</v>
      </c>
      <c r="K13" s="261">
        <f>AVERAGE(F13:J13)</f>
        <v>1479.6</v>
      </c>
      <c r="M13" s="261">
        <f>MIN($F13:$J13)</f>
        <v>1383</v>
      </c>
      <c r="N13" s="261">
        <f>MAX($F13:$J13)</f>
        <v>1671</v>
      </c>
      <c r="O13" s="261">
        <f>N13-M13</f>
        <v>288</v>
      </c>
    </row>
    <row r="15" spans="1:52" ht="15.75" x14ac:dyDescent="0.25">
      <c r="C15" s="29" t="s">
        <v>259</v>
      </c>
    </row>
    <row r="16" spans="1:52" ht="15.75" x14ac:dyDescent="0.25">
      <c r="C16" s="271" t="s">
        <v>698</v>
      </c>
      <c r="D16" s="271" t="s">
        <v>91</v>
      </c>
      <c r="E16" s="271" t="s">
        <v>454</v>
      </c>
      <c r="F16" s="50" t="s">
        <v>268</v>
      </c>
      <c r="G16" s="271" t="s">
        <v>269</v>
      </c>
      <c r="H16" s="271" t="s">
        <v>270</v>
      </c>
      <c r="I16" s="271" t="s">
        <v>271</v>
      </c>
      <c r="J16" s="271" t="s">
        <v>272</v>
      </c>
      <c r="K16" s="271" t="s">
        <v>447</v>
      </c>
      <c r="M16" s="42" t="s">
        <v>455</v>
      </c>
      <c r="N16" s="42" t="s">
        <v>456</v>
      </c>
      <c r="O16" s="42" t="s">
        <v>457</v>
      </c>
    </row>
    <row r="17" spans="3:23" x14ac:dyDescent="0.25">
      <c r="C17" t="s">
        <v>689</v>
      </c>
      <c r="D17" t="s">
        <v>92</v>
      </c>
      <c r="E17" t="s">
        <v>556</v>
      </c>
      <c r="F17" s="261" t="e">
        <f>ROUNDUP(SUMIFS(INDEX(CH_BITariff1314372[[Ausnet]:[United Energy]],0,MATCH(F$8,CH_BITariff1314372[[#Headers],[Ausnet]:[United Energy]],0)),CH_BITariff1314372[Customer type],$D17,CH_BITariff1314372[Tariff type],$E17,CH_BITariff1314372[Decision],$C$15),0)</f>
        <v>#N/A</v>
      </c>
      <c r="G17" s="261" t="e">
        <f>ROUNDUP(SUMIFS(INDEX(CH_BITariff1314372[[Ausnet]:[United Energy]],0,MATCH(G$8,CH_BITariff1314372[[#Headers],[Ausnet]:[United Energy]],0)),CH_BITariff1314372[Customer type],$D17,CH_BITariff1314372[Tariff type],$E17,CH_BITariff1314372[Decision],$C$15),0)</f>
        <v>#N/A</v>
      </c>
      <c r="H17" s="261" t="e">
        <f>ROUNDUP(SUMIFS(INDEX(CH_BITariff1314372[[Ausnet]:[United Energy]],0,MATCH(H$8,CH_BITariff1314372[[#Headers],[Ausnet]:[United Energy]],0)),CH_BITariff1314372[Customer type],$D17,CH_BITariff1314372[Tariff type],$E17,CH_BITariff1314372[Decision],$C$15),0)</f>
        <v>#N/A</v>
      </c>
      <c r="I17" s="261" t="e">
        <f>ROUNDUP(SUMIFS(INDEX(CH_BITariff1314372[[Ausnet]:[United Energy]],0,MATCH(I$8,CH_BITariff1314372[[#Headers],[Ausnet]:[United Energy]],0)),CH_BITariff1314372[Customer type],$D17,CH_BITariff1314372[Tariff type],$E17,CH_BITariff1314372[Decision],$C$15),0)</f>
        <v>#N/A</v>
      </c>
      <c r="J17" s="261" t="e">
        <f>ROUNDUP(SUMIFS(INDEX(CH_BITariff1314372[[Ausnet]:[United Energy]],0,MATCH(J$8,CH_BITariff1314372[[#Headers],[Ausnet]:[United Energy]],0)),CH_BITariff1314372[Customer type],$D17,CH_BITariff1314372[Tariff type],$E17,CH_BITariff1314372[Decision],$C$15),0)</f>
        <v>#N/A</v>
      </c>
      <c r="K17" s="261" t="e">
        <f>AVERAGE(F17:J17)</f>
        <v>#N/A</v>
      </c>
      <c r="M17" s="261" t="e">
        <f>MIN($F17:$J17)</f>
        <v>#N/A</v>
      </c>
      <c r="N17" s="261" t="e">
        <f>MAX($F17:$J17)</f>
        <v>#N/A</v>
      </c>
      <c r="O17" s="261" t="e">
        <f>N17-M17</f>
        <v>#N/A</v>
      </c>
    </row>
    <row r="18" spans="3:23" x14ac:dyDescent="0.25">
      <c r="C18" t="s">
        <v>690</v>
      </c>
      <c r="D18" t="s">
        <v>93</v>
      </c>
      <c r="E18" t="s">
        <v>556</v>
      </c>
      <c r="F18" s="261" t="e">
        <f>ROUNDUP(SUMIFS(INDEX(CH_BITariff1314372[[Ausnet]:[United Energy]],0,MATCH(F$8,CH_BITariff1314372[[#Headers],[Ausnet]:[United Energy]],0)),CH_BITariff1314372[Customer type],$D18,CH_BITariff1314372[Tariff type],$E18,CH_BITariff1314372[Decision],$C$15),0)</f>
        <v>#N/A</v>
      </c>
      <c r="G18" s="261" t="e">
        <f>ROUNDUP(SUMIFS(INDEX(CH_BITariff1314372[[Ausnet]:[United Energy]],0,MATCH(G$8,CH_BITariff1314372[[#Headers],[Ausnet]:[United Energy]],0)),CH_BITariff1314372[Customer type],$D18,CH_BITariff1314372[Tariff type],$E18,CH_BITariff1314372[Decision],$C$15),0)</f>
        <v>#N/A</v>
      </c>
      <c r="H18" s="261" t="e">
        <f>ROUNDUP(SUMIFS(INDEX(CH_BITariff1314372[[Ausnet]:[United Energy]],0,MATCH(H$8,CH_BITariff1314372[[#Headers],[Ausnet]:[United Energy]],0)),CH_BITariff1314372[Customer type],$D18,CH_BITariff1314372[Tariff type],$E18,CH_BITariff1314372[Decision],$C$15),0)</f>
        <v>#N/A</v>
      </c>
      <c r="I18" s="261" t="e">
        <f>ROUNDUP(SUMIFS(INDEX(CH_BITariff1314372[[Ausnet]:[United Energy]],0,MATCH(I$8,CH_BITariff1314372[[#Headers],[Ausnet]:[United Energy]],0)),CH_BITariff1314372[Customer type],$D18,CH_BITariff1314372[Tariff type],$E18,CH_BITariff1314372[Decision],$C$15),0)</f>
        <v>#N/A</v>
      </c>
      <c r="J18" s="261" t="e">
        <f>ROUNDUP(SUMIFS(INDEX(CH_BITariff1314372[[Ausnet]:[United Energy]],0,MATCH(J$8,CH_BITariff1314372[[#Headers],[Ausnet]:[United Energy]],0)),CH_BITariff1314372[Customer type],$D18,CH_BITariff1314372[Tariff type],$E18,CH_BITariff1314372[Decision],$C$15),0)</f>
        <v>#N/A</v>
      </c>
      <c r="K18" s="261" t="e">
        <f>AVERAGE(F18:J18)</f>
        <v>#N/A</v>
      </c>
      <c r="M18" s="261" t="e">
        <f>MIN($F18:$J18)</f>
        <v>#N/A</v>
      </c>
      <c r="N18" s="261" t="e">
        <f>MAX($F18:$J18)</f>
        <v>#N/A</v>
      </c>
      <c r="O18" s="261" t="e">
        <f>N18-M18</f>
        <v>#N/A</v>
      </c>
    </row>
    <row r="19" spans="3:23" x14ac:dyDescent="0.25">
      <c r="C19" t="s">
        <v>686</v>
      </c>
      <c r="D19" t="s">
        <v>92</v>
      </c>
      <c r="E19" t="s">
        <v>557</v>
      </c>
      <c r="F19" s="261" t="e">
        <f>ROUNDUP(SUMIFS(INDEX(CH_BITariff1314372[[Ausnet]:[United Energy]],0,MATCH(F$8,CH_BITariff1314372[[#Headers],[Ausnet]:[United Energy]],0)),CH_BITariff1314372[Customer type],$D19,CH_BITariff1314372[Tariff type],$E19,CH_BITariff1314372[Decision],$C$15),0)</f>
        <v>#N/A</v>
      </c>
      <c r="G19" s="261" t="e">
        <f>ROUNDUP(SUMIFS(INDEX(CH_BITariff1314372[[Ausnet]:[United Energy]],0,MATCH(G$8,CH_BITariff1314372[[#Headers],[Ausnet]:[United Energy]],0)),CH_BITariff1314372[Customer type],$D19,CH_BITariff1314372[Tariff type],$E19,CH_BITariff1314372[Decision],$C$15),0)</f>
        <v>#N/A</v>
      </c>
      <c r="H19" s="261" t="e">
        <f>ROUNDUP(SUMIFS(INDEX(CH_BITariff1314372[[Ausnet]:[United Energy]],0,MATCH(H$8,CH_BITariff1314372[[#Headers],[Ausnet]:[United Energy]],0)),CH_BITariff1314372[Customer type],$D19,CH_BITariff1314372[Tariff type],$E19,CH_BITariff1314372[Decision],$C$15),0)</f>
        <v>#N/A</v>
      </c>
      <c r="I19" s="261" t="e">
        <f>ROUNDUP(SUMIFS(INDEX(CH_BITariff1314372[[Ausnet]:[United Energy]],0,MATCH(I$8,CH_BITariff1314372[[#Headers],[Ausnet]:[United Energy]],0)),CH_BITariff1314372[Customer type],$D19,CH_BITariff1314372[Tariff type],$E19,CH_BITariff1314372[Decision],$C$15),0)</f>
        <v>#N/A</v>
      </c>
      <c r="J19" s="261" t="e">
        <f>ROUNDUP(SUMIFS(INDEX(CH_BITariff1314372[[Ausnet]:[United Energy]],0,MATCH(J$8,CH_BITariff1314372[[#Headers],[Ausnet]:[United Energy]],0)),CH_BITariff1314372[Customer type],$D19,CH_BITariff1314372[Tariff type],$E19,CH_BITariff1314372[Decision],$C$15),0)</f>
        <v>#N/A</v>
      </c>
      <c r="K19" s="261" t="e">
        <f>AVERAGE(F19:J19)</f>
        <v>#N/A</v>
      </c>
      <c r="M19" s="261" t="e">
        <f>MIN($F19:$J19)</f>
        <v>#N/A</v>
      </c>
      <c r="N19" s="261" t="e">
        <f>MAX($F19:$J19)</f>
        <v>#N/A</v>
      </c>
      <c r="O19" s="261" t="e">
        <f>N19-M19</f>
        <v>#N/A</v>
      </c>
    </row>
    <row r="20" spans="3:23" x14ac:dyDescent="0.25">
      <c r="C20" t="s">
        <v>687</v>
      </c>
      <c r="D20" t="s">
        <v>93</v>
      </c>
      <c r="E20" t="s">
        <v>557</v>
      </c>
      <c r="F20" s="261" t="e">
        <f>ROUNDUP(SUMIFS(INDEX(CH_BITariff1314372[[Ausnet]:[United Energy]],0,MATCH(F$8,CH_BITariff1314372[[#Headers],[Ausnet]:[United Energy]],0)),CH_BITariff1314372[Customer type],$D20,CH_BITariff1314372[Tariff type],$E20,CH_BITariff1314372[Decision],$C$15),0)</f>
        <v>#N/A</v>
      </c>
      <c r="G20" s="261" t="e">
        <f>ROUNDUP(SUMIFS(INDEX(CH_BITariff1314372[[Ausnet]:[United Energy]],0,MATCH(G$8,CH_BITariff1314372[[#Headers],[Ausnet]:[United Energy]],0)),CH_BITariff1314372[Customer type],$D20,CH_BITariff1314372[Tariff type],$E20,CH_BITariff1314372[Decision],$C$15),0)</f>
        <v>#N/A</v>
      </c>
      <c r="H20" s="261" t="e">
        <f>ROUNDUP(SUMIFS(INDEX(CH_BITariff1314372[[Ausnet]:[United Energy]],0,MATCH(H$8,CH_BITariff1314372[[#Headers],[Ausnet]:[United Energy]],0)),CH_BITariff1314372[Customer type],$D20,CH_BITariff1314372[Tariff type],$E20,CH_BITariff1314372[Decision],$C$15),0)</f>
        <v>#N/A</v>
      </c>
      <c r="I20" s="261" t="e">
        <f>ROUNDUP(SUMIFS(INDEX(CH_BITariff1314372[[Ausnet]:[United Energy]],0,MATCH(I$8,CH_BITariff1314372[[#Headers],[Ausnet]:[United Energy]],0)),CH_BITariff1314372[Customer type],$D20,CH_BITariff1314372[Tariff type],$E20,CH_BITariff1314372[Decision],$C$15),0)</f>
        <v>#N/A</v>
      </c>
      <c r="J20" s="261" t="e">
        <f>ROUNDUP(SUMIFS(INDEX(CH_BITariff1314372[[Ausnet]:[United Energy]],0,MATCH(J$8,CH_BITariff1314372[[#Headers],[Ausnet]:[United Energy]],0)),CH_BITariff1314372[Customer type],$D20,CH_BITariff1314372[Tariff type],$E20,CH_BITariff1314372[Decision],$C$15),0)</f>
        <v>#N/A</v>
      </c>
      <c r="K20" s="261" t="e">
        <f>AVERAGE(F20:J20)</f>
        <v>#N/A</v>
      </c>
      <c r="M20" s="261" t="e">
        <f>MIN($F20:$J20)</f>
        <v>#N/A</v>
      </c>
      <c r="N20" s="261" t="e">
        <f>MAX($F20:$J20)</f>
        <v>#N/A</v>
      </c>
      <c r="O20" s="261" t="e">
        <f>N20-M20</f>
        <v>#N/A</v>
      </c>
    </row>
    <row r="21" spans="3:23" x14ac:dyDescent="0.25">
      <c r="C21" t="s">
        <v>696</v>
      </c>
      <c r="D21" t="s">
        <v>92</v>
      </c>
      <c r="E21" t="s">
        <v>697</v>
      </c>
      <c r="F21" s="261" t="e">
        <f>F17+ROUNDUP(SUMIFS(INDEX(CH_BITariff1314372[[Ausnet]:[United Energy]],0,MATCH(F$8,CH_BITariff1314372[[#Headers],[Ausnet]:[United Energy]],0)),CH_BITariff1314372[Customer type],$D21,CH_BITariff1314372[Tariff type],$E21,CH_BITariff1314372[Decision],$C$15),0)</f>
        <v>#N/A</v>
      </c>
      <c r="G21" s="261" t="e">
        <f>G17+ROUNDUP(SUMIFS(INDEX(CH_BITariff1314372[[Ausnet]:[United Energy]],0,MATCH(G$8,CH_BITariff1314372[[#Headers],[Ausnet]:[United Energy]],0)),CH_BITariff1314372[Customer type],$D21,CH_BITariff1314372[Tariff type],$E21,CH_BITariff1314372[Decision],$C$15),0)</f>
        <v>#N/A</v>
      </c>
      <c r="H21" s="261" t="e">
        <f>H17+ROUNDUP(SUMIFS(INDEX(CH_BITariff1314372[[Ausnet]:[United Energy]],0,MATCH(H$8,CH_BITariff1314372[[#Headers],[Ausnet]:[United Energy]],0)),CH_BITariff1314372[Customer type],$D21,CH_BITariff1314372[Tariff type],$E21,CH_BITariff1314372[Decision],$C$15),0)</f>
        <v>#N/A</v>
      </c>
      <c r="I21" s="261" t="e">
        <f>I17+ROUNDUP(SUMIFS(INDEX(CH_BITariff1314372[[Ausnet]:[United Energy]],0,MATCH(I$8,CH_BITariff1314372[[#Headers],[Ausnet]:[United Energy]],0)),CH_BITariff1314372[Customer type],$D21,CH_BITariff1314372[Tariff type],$E21,CH_BITariff1314372[Decision],$C$15),0)</f>
        <v>#N/A</v>
      </c>
      <c r="J21" s="261" t="e">
        <f>J17+ROUNDUP(SUMIFS(INDEX(CH_BITariff1314372[[Ausnet]:[United Energy]],0,MATCH(J$8,CH_BITariff1314372[[#Headers],[Ausnet]:[United Energy]],0)),CH_BITariff1314372[Customer type],$D21,CH_BITariff1314372[Tariff type],$E21,CH_BITariff1314372[Decision],$C$15),0)</f>
        <v>#N/A</v>
      </c>
      <c r="K21" s="261" t="e">
        <f>AVERAGE(F21:J21)</f>
        <v>#N/A</v>
      </c>
      <c r="M21" s="261" t="e">
        <f>MIN($F21:$J21)</f>
        <v>#N/A</v>
      </c>
      <c r="N21" s="261" t="e">
        <f>MAX($F21:$J21)</f>
        <v>#N/A</v>
      </c>
      <c r="O21" s="261" t="e">
        <f>N21-M21</f>
        <v>#N/A</v>
      </c>
    </row>
    <row r="22" spans="3:23" x14ac:dyDescent="0.25">
      <c r="C22" s="130"/>
      <c r="D22" s="130"/>
      <c r="E22" s="130"/>
      <c r="F22" s="130"/>
      <c r="G22" s="130"/>
      <c r="H22" s="130"/>
      <c r="I22" s="130"/>
      <c r="J22" s="130"/>
      <c r="K22" s="130"/>
      <c r="L22" s="130"/>
      <c r="M22" s="130"/>
      <c r="N22" s="130"/>
      <c r="O22" s="130"/>
      <c r="P22" s="130"/>
      <c r="Q22" s="130"/>
      <c r="R22" s="130"/>
      <c r="S22" s="130"/>
      <c r="T22" s="130"/>
      <c r="U22" s="130"/>
      <c r="V22" s="130"/>
      <c r="W22" s="130"/>
    </row>
    <row r="23" spans="3:23" ht="15.75" x14ac:dyDescent="0.25">
      <c r="C23" s="29" t="s">
        <v>688</v>
      </c>
      <c r="L23" s="130"/>
      <c r="M23" s="130" t="s">
        <v>458</v>
      </c>
      <c r="N23" s="130"/>
      <c r="O23" s="130"/>
      <c r="P23" s="130" t="s">
        <v>700</v>
      </c>
      <c r="Q23" s="130"/>
      <c r="R23" s="130"/>
      <c r="S23" s="130" t="s">
        <v>701</v>
      </c>
      <c r="T23" s="130"/>
      <c r="U23" s="130"/>
      <c r="V23" s="130"/>
      <c r="W23" s="130"/>
    </row>
    <row r="24" spans="3:23" ht="15.75" x14ac:dyDescent="0.25">
      <c r="C24" s="271" t="s">
        <v>698</v>
      </c>
      <c r="D24" s="271" t="s">
        <v>91</v>
      </c>
      <c r="E24" s="271" t="s">
        <v>454</v>
      </c>
      <c r="F24" s="50" t="s">
        <v>268</v>
      </c>
      <c r="G24" s="271" t="s">
        <v>269</v>
      </c>
      <c r="H24" s="271" t="s">
        <v>270</v>
      </c>
      <c r="I24" s="271" t="s">
        <v>271</v>
      </c>
      <c r="J24" s="271" t="s">
        <v>272</v>
      </c>
      <c r="K24" s="271" t="s">
        <v>447</v>
      </c>
      <c r="L24" s="130"/>
      <c r="M24" s="42" t="s">
        <v>455</v>
      </c>
      <c r="N24" s="42" t="s">
        <v>456</v>
      </c>
      <c r="P24" s="42" t="s">
        <v>455</v>
      </c>
      <c r="Q24" s="42" t="s">
        <v>456</v>
      </c>
      <c r="R24" s="130"/>
      <c r="S24" s="42" t="s">
        <v>455</v>
      </c>
      <c r="T24" s="42" t="s">
        <v>456</v>
      </c>
      <c r="U24" s="130"/>
      <c r="V24" s="130"/>
      <c r="W24" s="130"/>
    </row>
    <row r="25" spans="3:23" x14ac:dyDescent="0.25">
      <c r="C25" t="s">
        <v>689</v>
      </c>
      <c r="D25" t="s">
        <v>92</v>
      </c>
      <c r="E25" t="s">
        <v>556</v>
      </c>
      <c r="F25" s="121" t="e">
        <f>F17-F9</f>
        <v>#N/A</v>
      </c>
      <c r="G25" s="121" t="e">
        <f t="shared" ref="G25:K25" si="0">G17-G9</f>
        <v>#N/A</v>
      </c>
      <c r="H25" s="121" t="e">
        <f t="shared" si="0"/>
        <v>#N/A</v>
      </c>
      <c r="I25" s="121" t="e">
        <f t="shared" si="0"/>
        <v>#N/A</v>
      </c>
      <c r="J25" s="121" t="e">
        <f t="shared" si="0"/>
        <v>#N/A</v>
      </c>
      <c r="K25" s="121" t="e">
        <f t="shared" si="0"/>
        <v>#N/A</v>
      </c>
      <c r="L25" s="130"/>
      <c r="M25" s="261" t="e">
        <f>MIN($F25:$K25)</f>
        <v>#N/A</v>
      </c>
      <c r="N25" s="261" t="e">
        <f>MAX($F25:$K25)</f>
        <v>#N/A</v>
      </c>
      <c r="P25" s="261">
        <f>_xlfn.MINIFS($F25:$K25,$F25:$K25,"&lt;0")</f>
        <v>0</v>
      </c>
      <c r="Q25" s="261">
        <f>_xlfn.MAXIFS($F25:$K25,$F25:$K25,"&lt;0")</f>
        <v>0</v>
      </c>
      <c r="R25" s="261"/>
      <c r="S25" s="261">
        <f>_xlfn.MINIFS($F25:$K25,$F25:$K25,"&gt;0")</f>
        <v>0</v>
      </c>
      <c r="T25" s="261">
        <f>_xlfn.MAXIFS($F25:$K25,$F25:$K25,"&gt;0")</f>
        <v>0</v>
      </c>
      <c r="U25" s="130"/>
      <c r="V25" s="130"/>
      <c r="W25" s="130"/>
    </row>
    <row r="26" spans="3:23" x14ac:dyDescent="0.25">
      <c r="C26" t="s">
        <v>690</v>
      </c>
      <c r="D26" t="s">
        <v>93</v>
      </c>
      <c r="E26" t="s">
        <v>556</v>
      </c>
      <c r="F26" s="121" t="e">
        <f t="shared" ref="F26:K29" si="1">F18-F10</f>
        <v>#N/A</v>
      </c>
      <c r="G26" s="121" t="e">
        <f t="shared" si="1"/>
        <v>#N/A</v>
      </c>
      <c r="H26" s="121" t="e">
        <f t="shared" si="1"/>
        <v>#N/A</v>
      </c>
      <c r="I26" s="121" t="e">
        <f t="shared" si="1"/>
        <v>#N/A</v>
      </c>
      <c r="J26" s="121" t="e">
        <f t="shared" si="1"/>
        <v>#N/A</v>
      </c>
      <c r="K26" s="121" t="e">
        <f t="shared" si="1"/>
        <v>#N/A</v>
      </c>
      <c r="L26" s="130"/>
      <c r="M26" s="261" t="e">
        <f>MIN($F26:$K26)</f>
        <v>#N/A</v>
      </c>
      <c r="N26" s="261" t="e">
        <f>MAX($F26:$K26)</f>
        <v>#N/A</v>
      </c>
      <c r="P26" s="261">
        <f>_xlfn.MINIFS($F26:$K26,$F26:$K26,"&lt;0")</f>
        <v>0</v>
      </c>
      <c r="Q26" s="261">
        <f>_xlfn.MAXIFS($F26:$K26,$F26:$K26,"&lt;0")</f>
        <v>0</v>
      </c>
      <c r="R26" s="261"/>
      <c r="S26" s="261">
        <f>_xlfn.MINIFS($F26:$K26,$F26:$K26,"&gt;0")</f>
        <v>0</v>
      </c>
      <c r="T26" s="261">
        <f>_xlfn.MAXIFS($F26:$K26,$F26:$K26,"&gt;0")</f>
        <v>0</v>
      </c>
      <c r="U26" s="130"/>
      <c r="V26" s="130"/>
      <c r="W26" s="130"/>
    </row>
    <row r="27" spans="3:23" x14ac:dyDescent="0.25">
      <c r="C27" t="s">
        <v>686</v>
      </c>
      <c r="D27" t="s">
        <v>92</v>
      </c>
      <c r="E27" t="s">
        <v>556</v>
      </c>
      <c r="F27" s="121" t="e">
        <f t="shared" si="1"/>
        <v>#N/A</v>
      </c>
      <c r="G27" s="121" t="e">
        <f t="shared" si="1"/>
        <v>#N/A</v>
      </c>
      <c r="H27" s="121" t="e">
        <f t="shared" si="1"/>
        <v>#N/A</v>
      </c>
      <c r="I27" s="121" t="e">
        <f t="shared" si="1"/>
        <v>#N/A</v>
      </c>
      <c r="J27" s="121" t="e">
        <f t="shared" si="1"/>
        <v>#N/A</v>
      </c>
      <c r="K27" s="121" t="e">
        <f t="shared" si="1"/>
        <v>#N/A</v>
      </c>
      <c r="L27" s="130"/>
      <c r="M27" s="261" t="e">
        <f>MIN($F27:$K27)</f>
        <v>#N/A</v>
      </c>
      <c r="N27" s="261" t="e">
        <f>MAX($F27:$K27)</f>
        <v>#N/A</v>
      </c>
      <c r="P27" s="261">
        <f>_xlfn.MINIFS($F27:$K27,$F27:$K27,"&lt;0")</f>
        <v>0</v>
      </c>
      <c r="Q27" s="261">
        <f>_xlfn.MAXIFS($F27:$K27,$F27:$K27,"&lt;0")</f>
        <v>0</v>
      </c>
      <c r="R27" s="261"/>
      <c r="S27" s="261">
        <f>_xlfn.MINIFS($F27:$K27,$F27:$K27,"&gt;0")</f>
        <v>0</v>
      </c>
      <c r="T27" s="261">
        <f>_xlfn.MAXIFS($F27:$K27,$F27:$K27,"&gt;0")</f>
        <v>0</v>
      </c>
      <c r="U27" s="130"/>
      <c r="V27" s="130"/>
      <c r="W27" s="130"/>
    </row>
    <row r="28" spans="3:23" x14ac:dyDescent="0.25">
      <c r="C28" t="s">
        <v>687</v>
      </c>
      <c r="D28" t="s">
        <v>93</v>
      </c>
      <c r="E28" t="s">
        <v>556</v>
      </c>
      <c r="F28" s="121" t="e">
        <f t="shared" si="1"/>
        <v>#N/A</v>
      </c>
      <c r="G28" s="121" t="e">
        <f t="shared" si="1"/>
        <v>#N/A</v>
      </c>
      <c r="H28" s="121" t="e">
        <f t="shared" si="1"/>
        <v>#N/A</v>
      </c>
      <c r="I28" s="121" t="e">
        <f t="shared" si="1"/>
        <v>#N/A</v>
      </c>
      <c r="J28" s="121" t="e">
        <f t="shared" si="1"/>
        <v>#N/A</v>
      </c>
      <c r="K28" s="121" t="e">
        <f t="shared" si="1"/>
        <v>#N/A</v>
      </c>
      <c r="L28" s="130"/>
      <c r="M28" s="261" t="e">
        <f>MIN($F28:$K28)</f>
        <v>#N/A</v>
      </c>
      <c r="N28" s="261" t="e">
        <f>MAX($F28:$K28)</f>
        <v>#N/A</v>
      </c>
      <c r="P28" s="261">
        <f>_xlfn.MINIFS($F28:$K28,$F28:$K28,"&lt;0")</f>
        <v>0</v>
      </c>
      <c r="Q28" s="261">
        <f>_xlfn.MAXIFS($F28:$K28,$F28:$K28,"&lt;0")</f>
        <v>0</v>
      </c>
      <c r="R28" s="261"/>
      <c r="S28" s="261">
        <f>_xlfn.MINIFS($F28:$K28,$F28:$K28,"&gt;0")</f>
        <v>0</v>
      </c>
      <c r="T28" s="261">
        <f>_xlfn.MAXIFS($F28:$K28,$F28:$K28,"&gt;0")</f>
        <v>0</v>
      </c>
      <c r="U28" s="130"/>
      <c r="V28" s="130"/>
      <c r="W28" s="130"/>
    </row>
    <row r="29" spans="3:23" x14ac:dyDescent="0.25">
      <c r="C29" t="s">
        <v>696</v>
      </c>
      <c r="D29" t="s">
        <v>92</v>
      </c>
      <c r="E29" t="s">
        <v>697</v>
      </c>
      <c r="F29" s="121" t="e">
        <f t="shared" si="1"/>
        <v>#N/A</v>
      </c>
      <c r="G29" s="121" t="e">
        <f t="shared" si="1"/>
        <v>#N/A</v>
      </c>
      <c r="H29" s="121" t="e">
        <f t="shared" si="1"/>
        <v>#N/A</v>
      </c>
      <c r="I29" s="121" t="e">
        <f t="shared" si="1"/>
        <v>#N/A</v>
      </c>
      <c r="J29" s="121" t="e">
        <f t="shared" si="1"/>
        <v>#N/A</v>
      </c>
      <c r="K29" s="121" t="e">
        <f t="shared" si="1"/>
        <v>#N/A</v>
      </c>
      <c r="L29" s="130"/>
      <c r="M29" s="261" t="e">
        <f>MIN($F29:$K29)</f>
        <v>#N/A</v>
      </c>
      <c r="N29" s="261" t="e">
        <f>MAX($F29:$K29)</f>
        <v>#N/A</v>
      </c>
      <c r="P29" s="261">
        <f>_xlfn.MINIFS($F29:$K29,$F29:$K29,"&lt;0")</f>
        <v>0</v>
      </c>
      <c r="Q29" s="261">
        <f>_xlfn.MAXIFS($F29:$K29,$F29:$K29,"&lt;0")</f>
        <v>0</v>
      </c>
      <c r="R29" s="261"/>
      <c r="S29" s="261">
        <f>_xlfn.MINIFS($F29:$K29,$F29:$K29,"&gt;0")</f>
        <v>0</v>
      </c>
      <c r="T29" s="261">
        <f>_xlfn.MAXIFS($F29:$K29,$F29:$K29,"&gt;0")</f>
        <v>0</v>
      </c>
      <c r="U29" s="130"/>
      <c r="V29" s="130"/>
      <c r="W29" s="130"/>
    </row>
    <row r="30" spans="3:23" x14ac:dyDescent="0.25">
      <c r="C30" s="130"/>
      <c r="D30" s="130"/>
      <c r="E30" s="130"/>
      <c r="F30" s="130"/>
      <c r="G30" s="130"/>
      <c r="H30" s="130"/>
      <c r="I30" s="130"/>
      <c r="J30" s="130"/>
      <c r="K30" s="130"/>
      <c r="L30" s="130"/>
      <c r="M30" s="130"/>
      <c r="N30" s="130"/>
      <c r="O30" s="130"/>
      <c r="P30" s="130"/>
      <c r="Q30" s="130"/>
      <c r="R30" s="130"/>
      <c r="S30" s="130"/>
      <c r="T30" s="130"/>
      <c r="U30" s="130"/>
      <c r="V30" s="130"/>
      <c r="W30" s="130"/>
    </row>
    <row r="31" spans="3:23" ht="15.75" x14ac:dyDescent="0.25">
      <c r="C31" s="29" t="s">
        <v>699</v>
      </c>
      <c r="L31" s="130"/>
      <c r="M31" s="130" t="s">
        <v>458</v>
      </c>
      <c r="N31" s="130"/>
      <c r="O31" s="130"/>
      <c r="P31" s="130" t="s">
        <v>700</v>
      </c>
      <c r="Q31" s="130"/>
      <c r="R31" s="130"/>
      <c r="S31" s="130" t="s">
        <v>701</v>
      </c>
      <c r="T31" s="130"/>
      <c r="U31" s="130"/>
      <c r="V31" s="130"/>
      <c r="W31" s="130"/>
    </row>
    <row r="32" spans="3:23" ht="15.75" x14ac:dyDescent="0.25">
      <c r="C32" s="271" t="s">
        <v>698</v>
      </c>
      <c r="D32" s="271" t="s">
        <v>91</v>
      </c>
      <c r="E32" s="271" t="s">
        <v>454</v>
      </c>
      <c r="F32" s="50" t="s">
        <v>268</v>
      </c>
      <c r="G32" s="271" t="s">
        <v>269</v>
      </c>
      <c r="H32" s="271" t="s">
        <v>270</v>
      </c>
      <c r="I32" s="271" t="s">
        <v>271</v>
      </c>
      <c r="J32" s="271" t="s">
        <v>272</v>
      </c>
      <c r="K32" s="271" t="s">
        <v>447</v>
      </c>
      <c r="L32" s="130"/>
      <c r="M32" s="42" t="s">
        <v>455</v>
      </c>
      <c r="N32" s="42" t="s">
        <v>456</v>
      </c>
      <c r="P32" s="42" t="s">
        <v>455</v>
      </c>
      <c r="Q32" s="42" t="s">
        <v>456</v>
      </c>
      <c r="R32" s="130"/>
      <c r="S32" s="42" t="s">
        <v>455</v>
      </c>
      <c r="T32" s="42" t="s">
        <v>456</v>
      </c>
      <c r="U32" s="130"/>
      <c r="V32" s="130"/>
      <c r="W32" s="130"/>
    </row>
    <row r="33" spans="1:52" x14ac:dyDescent="0.25">
      <c r="C33" t="s">
        <v>689</v>
      </c>
      <c r="D33" t="s">
        <v>92</v>
      </c>
      <c r="E33" t="s">
        <v>556</v>
      </c>
      <c r="F33" s="263" t="e">
        <f>F25/F9</f>
        <v>#N/A</v>
      </c>
      <c r="G33" s="263" t="e">
        <f t="shared" ref="G33:K33" si="2">G25/G9</f>
        <v>#N/A</v>
      </c>
      <c r="H33" s="263" t="e">
        <f t="shared" si="2"/>
        <v>#N/A</v>
      </c>
      <c r="I33" s="263" t="e">
        <f t="shared" si="2"/>
        <v>#N/A</v>
      </c>
      <c r="J33" s="263" t="e">
        <f t="shared" si="2"/>
        <v>#N/A</v>
      </c>
      <c r="K33" s="263" t="e">
        <f t="shared" si="2"/>
        <v>#N/A</v>
      </c>
      <c r="L33" s="264"/>
      <c r="M33" s="262" t="e">
        <f>MIN($F33:$K33)</f>
        <v>#N/A</v>
      </c>
      <c r="N33" s="262" t="e">
        <f>MAX($F33:$K33)</f>
        <v>#N/A</v>
      </c>
      <c r="O33" s="262"/>
      <c r="P33" s="262">
        <f>_xlfn.MINIFS($F33:$K33,$F33:$K33,"&lt;0")</f>
        <v>0</v>
      </c>
      <c r="Q33" s="262">
        <f>_xlfn.MAXIFS($F33:$K33,$F33:$K33,"&lt;0")</f>
        <v>0</v>
      </c>
      <c r="R33" s="262"/>
      <c r="S33" s="262">
        <f>_xlfn.MINIFS($F33:$K33,$F33:$K33,"&gt;0")</f>
        <v>0</v>
      </c>
      <c r="T33" s="262">
        <f>_xlfn.MAXIFS($F33:$K33,$F33:$K33,"&gt;0")</f>
        <v>0</v>
      </c>
      <c r="U33" s="264"/>
      <c r="V33" s="264"/>
      <c r="W33" s="130"/>
    </row>
    <row r="34" spans="1:52" x14ac:dyDescent="0.25">
      <c r="C34" t="s">
        <v>690</v>
      </c>
      <c r="D34" t="s">
        <v>93</v>
      </c>
      <c r="E34" t="s">
        <v>556</v>
      </c>
      <c r="F34" s="263" t="e">
        <f t="shared" ref="F34:K37" si="3">F26/F10</f>
        <v>#N/A</v>
      </c>
      <c r="G34" s="263" t="e">
        <f t="shared" si="3"/>
        <v>#N/A</v>
      </c>
      <c r="H34" s="263" t="e">
        <f t="shared" si="3"/>
        <v>#N/A</v>
      </c>
      <c r="I34" s="263" t="e">
        <f t="shared" si="3"/>
        <v>#N/A</v>
      </c>
      <c r="J34" s="263" t="e">
        <f t="shared" si="3"/>
        <v>#N/A</v>
      </c>
      <c r="K34" s="263" t="e">
        <f t="shared" si="3"/>
        <v>#N/A</v>
      </c>
      <c r="L34" s="264"/>
      <c r="M34" s="262" t="e">
        <f>MIN($F34:$K34)</f>
        <v>#N/A</v>
      </c>
      <c r="N34" s="262" t="e">
        <f>MAX($F34:$K34)</f>
        <v>#N/A</v>
      </c>
      <c r="O34" s="262"/>
      <c r="P34" s="262">
        <f>_xlfn.MINIFS($F34:$K34,$F34:$K34,"&lt;0")</f>
        <v>0</v>
      </c>
      <c r="Q34" s="262">
        <f>_xlfn.MAXIFS($F34:$K34,$F34:$K34,"&lt;0")</f>
        <v>0</v>
      </c>
      <c r="R34" s="262"/>
      <c r="S34" s="262">
        <f>_xlfn.MINIFS($F34:$K34,$F34:$K34,"&gt;0")</f>
        <v>0</v>
      </c>
      <c r="T34" s="262">
        <f>_xlfn.MAXIFS($F34:$K34,$F34:$K34,"&gt;0")</f>
        <v>0</v>
      </c>
      <c r="U34" s="264"/>
      <c r="V34" s="264"/>
      <c r="W34" s="130"/>
    </row>
    <row r="35" spans="1:52" x14ac:dyDescent="0.25">
      <c r="C35" t="s">
        <v>686</v>
      </c>
      <c r="D35" t="s">
        <v>92</v>
      </c>
      <c r="E35" t="s">
        <v>556</v>
      </c>
      <c r="F35" s="263" t="e">
        <f t="shared" si="3"/>
        <v>#N/A</v>
      </c>
      <c r="G35" s="263" t="e">
        <f t="shared" si="3"/>
        <v>#N/A</v>
      </c>
      <c r="H35" s="263" t="e">
        <f t="shared" si="3"/>
        <v>#N/A</v>
      </c>
      <c r="I35" s="263" t="e">
        <f t="shared" si="3"/>
        <v>#N/A</v>
      </c>
      <c r="J35" s="263" t="e">
        <f t="shared" si="3"/>
        <v>#N/A</v>
      </c>
      <c r="K35" s="263" t="e">
        <f t="shared" si="3"/>
        <v>#N/A</v>
      </c>
      <c r="L35" s="264"/>
      <c r="M35" s="262" t="e">
        <f>MIN($F35:$K35)</f>
        <v>#N/A</v>
      </c>
      <c r="N35" s="262" t="e">
        <f>MAX($F35:$K35)</f>
        <v>#N/A</v>
      </c>
      <c r="O35" s="262"/>
      <c r="P35" s="262">
        <f>_xlfn.MINIFS($F35:$K35,$F35:$K35,"&lt;0")</f>
        <v>0</v>
      </c>
      <c r="Q35" s="262">
        <f>_xlfn.MAXIFS($F35:$K35,$F35:$K35,"&lt;0")</f>
        <v>0</v>
      </c>
      <c r="R35" s="262"/>
      <c r="S35" s="262">
        <f>_xlfn.MINIFS($F35:$K35,$F35:$K35,"&gt;0")</f>
        <v>0</v>
      </c>
      <c r="T35" s="262">
        <f>_xlfn.MAXIFS($F35:$K35,$F35:$K35,"&gt;0")</f>
        <v>0</v>
      </c>
      <c r="U35" s="264"/>
      <c r="V35" s="264"/>
      <c r="W35" s="130"/>
    </row>
    <row r="36" spans="1:52" x14ac:dyDescent="0.25">
      <c r="C36" t="s">
        <v>687</v>
      </c>
      <c r="D36" t="s">
        <v>93</v>
      </c>
      <c r="E36" t="s">
        <v>556</v>
      </c>
      <c r="F36" s="263" t="e">
        <f t="shared" si="3"/>
        <v>#N/A</v>
      </c>
      <c r="G36" s="263" t="e">
        <f t="shared" si="3"/>
        <v>#N/A</v>
      </c>
      <c r="H36" s="263" t="e">
        <f t="shared" si="3"/>
        <v>#N/A</v>
      </c>
      <c r="I36" s="263" t="e">
        <f t="shared" si="3"/>
        <v>#N/A</v>
      </c>
      <c r="J36" s="263" t="e">
        <f t="shared" si="3"/>
        <v>#N/A</v>
      </c>
      <c r="K36" s="263" t="e">
        <f t="shared" si="3"/>
        <v>#N/A</v>
      </c>
      <c r="L36" s="264"/>
      <c r="M36" s="262" t="e">
        <f>MIN($F36:$K36)</f>
        <v>#N/A</v>
      </c>
      <c r="N36" s="262" t="e">
        <f>MAX($F36:$K36)</f>
        <v>#N/A</v>
      </c>
      <c r="O36" s="262"/>
      <c r="P36" s="262">
        <f>_xlfn.MINIFS($F36:$K36,$F36:$K36,"&lt;0")</f>
        <v>0</v>
      </c>
      <c r="Q36" s="262">
        <f>_xlfn.MAXIFS($F36:$K36,$F36:$K36,"&lt;0")</f>
        <v>0</v>
      </c>
      <c r="R36" s="262"/>
      <c r="S36" s="262">
        <f>_xlfn.MINIFS($F36:$K36,$F36:$K36,"&gt;0")</f>
        <v>0</v>
      </c>
      <c r="T36" s="262">
        <f>_xlfn.MAXIFS($F36:$K36,$F36:$K36,"&gt;0")</f>
        <v>0</v>
      </c>
      <c r="U36" s="264"/>
      <c r="V36" s="264"/>
      <c r="W36" s="130"/>
    </row>
    <row r="37" spans="1:52" x14ac:dyDescent="0.25">
      <c r="C37" t="s">
        <v>696</v>
      </c>
      <c r="D37" t="s">
        <v>92</v>
      </c>
      <c r="E37" t="s">
        <v>697</v>
      </c>
      <c r="F37" s="263" t="e">
        <f t="shared" si="3"/>
        <v>#N/A</v>
      </c>
      <c r="G37" s="263" t="e">
        <f t="shared" si="3"/>
        <v>#N/A</v>
      </c>
      <c r="H37" s="263" t="e">
        <f t="shared" si="3"/>
        <v>#N/A</v>
      </c>
      <c r="I37" s="263" t="e">
        <f t="shared" si="3"/>
        <v>#N/A</v>
      </c>
      <c r="J37" s="263" t="e">
        <f t="shared" si="3"/>
        <v>#N/A</v>
      </c>
      <c r="K37" s="263" t="e">
        <f t="shared" si="3"/>
        <v>#N/A</v>
      </c>
      <c r="L37" s="264"/>
      <c r="M37" s="262" t="e">
        <f>MIN($F37:$K37)</f>
        <v>#N/A</v>
      </c>
      <c r="N37" s="262" t="e">
        <f>MAX($F37:$K37)</f>
        <v>#N/A</v>
      </c>
      <c r="O37" s="262"/>
      <c r="P37" s="262">
        <f>_xlfn.MINIFS($F37:$K37,$F37:$K37,"&lt;0")</f>
        <v>0</v>
      </c>
      <c r="Q37" s="262">
        <f>_xlfn.MAXIFS($F37:$K37,$F37:$K37,"&lt;0")</f>
        <v>0</v>
      </c>
      <c r="R37" s="262"/>
      <c r="S37" s="262">
        <f>_xlfn.MINIFS($F37:$K37,$F37:$K37,"&gt;0")</f>
        <v>0</v>
      </c>
      <c r="T37" s="262">
        <f>_xlfn.MAXIFS($F37:$K37,$F37:$K37,"&gt;0")</f>
        <v>0</v>
      </c>
      <c r="U37" s="264"/>
      <c r="V37" s="264"/>
      <c r="W37" s="130"/>
    </row>
    <row r="38" spans="1:52" x14ac:dyDescent="0.25">
      <c r="C38" s="130"/>
      <c r="D38" s="130"/>
      <c r="E38" s="130"/>
      <c r="F38" s="130"/>
      <c r="G38" s="130"/>
      <c r="H38" s="130"/>
      <c r="I38" s="130"/>
      <c r="J38" s="130"/>
      <c r="K38" s="130"/>
      <c r="L38" s="130"/>
      <c r="M38" s="130"/>
      <c r="N38" s="130"/>
      <c r="O38" s="130"/>
      <c r="P38" s="130"/>
      <c r="Q38" s="130"/>
      <c r="R38" s="130"/>
      <c r="S38" s="130"/>
      <c r="T38" s="130"/>
      <c r="U38" s="130"/>
      <c r="V38" s="130"/>
      <c r="W38" s="130"/>
    </row>
    <row r="39" spans="1:52" x14ac:dyDescent="0.25">
      <c r="C39" s="130"/>
      <c r="D39" s="130"/>
      <c r="E39" s="130"/>
      <c r="F39" s="130"/>
      <c r="G39" s="130"/>
      <c r="H39" s="130"/>
      <c r="I39" s="130"/>
      <c r="J39" s="130"/>
      <c r="K39" s="130"/>
      <c r="L39" s="130"/>
      <c r="M39" s="130"/>
      <c r="N39" s="130"/>
      <c r="O39" s="130"/>
      <c r="P39" s="130"/>
      <c r="Q39" s="130"/>
      <c r="R39" s="130"/>
      <c r="S39" s="130"/>
      <c r="T39" s="130"/>
      <c r="U39" s="130"/>
      <c r="V39" s="130"/>
      <c r="W39" s="130"/>
    </row>
    <row r="40" spans="1:52" x14ac:dyDescent="0.25">
      <c r="C40" s="130"/>
      <c r="D40" s="130"/>
      <c r="E40" s="130"/>
      <c r="F40" s="130"/>
      <c r="G40" s="130"/>
      <c r="H40" s="130"/>
      <c r="I40" s="130"/>
      <c r="J40" s="130"/>
      <c r="K40" s="130"/>
      <c r="L40" s="130"/>
      <c r="M40" s="130"/>
      <c r="N40" s="130"/>
      <c r="O40" s="130"/>
      <c r="P40" s="130"/>
      <c r="Q40" s="130"/>
      <c r="R40" s="130"/>
      <c r="S40" s="130"/>
      <c r="T40" s="130"/>
      <c r="U40" s="130"/>
      <c r="V40" s="130"/>
      <c r="W40" s="130"/>
    </row>
    <row r="41" spans="1:52" x14ac:dyDescent="0.25">
      <c r="C41" s="130"/>
      <c r="D41" s="130"/>
      <c r="E41" s="130"/>
      <c r="F41" s="130"/>
      <c r="G41" s="130"/>
      <c r="H41" s="130"/>
      <c r="I41" s="130"/>
      <c r="J41" s="130"/>
      <c r="K41" s="130"/>
      <c r="L41" s="130"/>
      <c r="M41" s="130"/>
      <c r="N41" s="130"/>
      <c r="O41" s="130"/>
      <c r="P41" s="130"/>
      <c r="Q41" s="130"/>
      <c r="R41" s="130"/>
      <c r="S41" s="130"/>
      <c r="T41" s="130"/>
      <c r="U41" s="130"/>
      <c r="V41" s="130"/>
      <c r="W41" s="130"/>
    </row>
    <row r="42" spans="1:52" ht="16.5" thickBot="1" x14ac:dyDescent="0.3">
      <c r="A42" s="1" t="s">
        <v>23</v>
      </c>
      <c r="B42" s="9">
        <f ca="1">MAX(B$3:B6)+0.1</f>
        <v>28.200000000000003</v>
      </c>
      <c r="C42" s="28" t="s">
        <v>437</v>
      </c>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row>
    <row r="43" spans="1:52" x14ac:dyDescent="0.25">
      <c r="C43" s="130"/>
      <c r="D43" s="130"/>
      <c r="E43" s="130"/>
      <c r="F43" s="130"/>
      <c r="G43" s="130"/>
      <c r="H43" s="130"/>
      <c r="I43" s="130"/>
      <c r="J43" s="130"/>
      <c r="K43" s="130"/>
      <c r="L43" s="130"/>
      <c r="M43" s="130"/>
      <c r="N43" s="130"/>
      <c r="O43" s="130"/>
      <c r="P43" s="130"/>
      <c r="Q43" s="130"/>
      <c r="R43" s="130"/>
      <c r="S43" s="130"/>
      <c r="T43" s="130"/>
      <c r="U43" s="130"/>
      <c r="V43" s="130"/>
      <c r="W43" s="130"/>
    </row>
    <row r="44" spans="1:52" x14ac:dyDescent="0.25">
      <c r="C44" s="130" t="s">
        <v>716</v>
      </c>
      <c r="D44" s="130" t="s">
        <v>317</v>
      </c>
      <c r="E44" s="130"/>
      <c r="F44" s="130"/>
      <c r="G44" s="130"/>
      <c r="H44" s="130"/>
      <c r="I44" s="130"/>
      <c r="J44" s="130"/>
      <c r="K44" s="130"/>
      <c r="L44" s="130"/>
      <c r="M44" s="130"/>
      <c r="N44" s="130"/>
      <c r="O44" s="130"/>
      <c r="P44" s="130"/>
      <c r="Q44" s="130"/>
      <c r="R44" s="130"/>
      <c r="S44" s="130"/>
      <c r="T44" s="130"/>
      <c r="U44" s="130"/>
      <c r="V44" s="130"/>
      <c r="W44" s="130"/>
    </row>
    <row r="45" spans="1:52" x14ac:dyDescent="0.25">
      <c r="C45" s="130"/>
      <c r="D45" s="130"/>
      <c r="E45" s="130"/>
      <c r="F45" s="130"/>
      <c r="G45" s="130"/>
      <c r="H45" s="130"/>
      <c r="I45" s="130"/>
      <c r="J45" s="130"/>
      <c r="K45" s="130"/>
      <c r="L45" s="130"/>
      <c r="M45" s="130"/>
      <c r="N45" s="130"/>
      <c r="O45" s="130"/>
      <c r="P45" s="130"/>
      <c r="Q45" s="130"/>
      <c r="R45" s="130"/>
      <c r="S45" s="130"/>
      <c r="T45" s="130"/>
      <c r="U45" s="130"/>
      <c r="V45" s="130"/>
      <c r="W45" s="130"/>
    </row>
    <row r="46" spans="1:52" x14ac:dyDescent="0.25">
      <c r="C46" s="130"/>
      <c r="D46" s="130"/>
      <c r="E46" s="130"/>
      <c r="F46" s="130"/>
      <c r="G46" s="130"/>
      <c r="H46" s="130"/>
      <c r="I46" s="130"/>
      <c r="J46" s="130"/>
      <c r="K46" s="130"/>
      <c r="L46" s="130"/>
      <c r="M46" s="130"/>
      <c r="N46" s="130"/>
      <c r="O46" s="130"/>
      <c r="P46" s="130"/>
      <c r="Q46" s="130"/>
      <c r="R46" s="130"/>
      <c r="S46" s="130"/>
      <c r="T46" s="130"/>
      <c r="U46" s="130"/>
      <c r="V46" s="130"/>
      <c r="W46" s="130"/>
    </row>
    <row r="47" spans="1:52" x14ac:dyDescent="0.25">
      <c r="C47" s="130"/>
      <c r="D47" s="130"/>
      <c r="E47" s="130"/>
      <c r="F47" s="130"/>
      <c r="G47" s="130"/>
      <c r="H47" s="130"/>
      <c r="I47" s="130"/>
      <c r="J47" s="130"/>
      <c r="K47" s="130"/>
      <c r="L47" s="130"/>
      <c r="M47" s="130"/>
      <c r="N47" s="130"/>
      <c r="O47" s="130"/>
      <c r="P47" s="130"/>
      <c r="Q47" s="130"/>
      <c r="R47" s="130"/>
      <c r="S47" s="130"/>
      <c r="T47" s="130"/>
      <c r="U47" s="130"/>
      <c r="V47" s="130"/>
      <c r="W47" s="130"/>
    </row>
    <row r="48" spans="1:52" x14ac:dyDescent="0.25">
      <c r="C48" s="130"/>
      <c r="D48" s="130"/>
      <c r="E48" s="130"/>
      <c r="F48" s="130"/>
      <c r="G48" s="130"/>
      <c r="H48" s="130"/>
      <c r="I48" s="130"/>
      <c r="J48" s="130"/>
      <c r="K48" s="130"/>
      <c r="L48" s="130"/>
      <c r="M48" s="130"/>
      <c r="N48" s="130"/>
      <c r="O48" s="130"/>
      <c r="P48" s="130"/>
      <c r="Q48" s="130"/>
      <c r="R48" s="130"/>
      <c r="S48" s="130"/>
      <c r="T48" s="130"/>
      <c r="U48" s="130"/>
      <c r="V48" s="130"/>
      <c r="W48" s="130"/>
    </row>
    <row r="49" spans="3:23" x14ac:dyDescent="0.25">
      <c r="C49" s="130"/>
      <c r="D49" s="130"/>
      <c r="E49" s="130"/>
      <c r="F49" s="130"/>
      <c r="G49" s="130"/>
      <c r="H49" s="130"/>
      <c r="I49" s="130"/>
      <c r="J49" s="130"/>
      <c r="K49" s="130"/>
      <c r="L49" s="130"/>
      <c r="M49" s="130"/>
      <c r="N49" s="130"/>
      <c r="O49" s="130"/>
      <c r="P49" s="130"/>
      <c r="Q49" s="130"/>
      <c r="R49" s="130"/>
      <c r="S49" s="130"/>
      <c r="T49" s="130"/>
      <c r="U49" s="130"/>
      <c r="V49" s="130"/>
      <c r="W49" s="130"/>
    </row>
    <row r="50" spans="3:23" x14ac:dyDescent="0.25">
      <c r="C50" s="130"/>
      <c r="D50" s="130"/>
      <c r="E50" s="130"/>
      <c r="F50" s="130"/>
      <c r="G50" s="130"/>
      <c r="H50" s="130"/>
      <c r="I50" s="130"/>
      <c r="J50" s="130"/>
      <c r="K50" s="130"/>
      <c r="L50" s="130"/>
      <c r="M50" s="130"/>
      <c r="N50" s="130"/>
      <c r="O50" s="130"/>
      <c r="P50" s="130"/>
      <c r="Q50" s="130"/>
      <c r="R50" s="130"/>
      <c r="S50" s="130"/>
      <c r="T50" s="130"/>
      <c r="U50" s="130"/>
      <c r="V50" s="130"/>
      <c r="W50" s="130"/>
    </row>
    <row r="51" spans="3:23" x14ac:dyDescent="0.25">
      <c r="C51" s="130"/>
      <c r="D51" s="130"/>
      <c r="E51" s="130"/>
      <c r="F51" s="130"/>
      <c r="G51" s="130"/>
      <c r="H51" s="130"/>
      <c r="I51" s="130"/>
      <c r="J51" s="130"/>
      <c r="K51" s="130"/>
      <c r="L51" s="130"/>
      <c r="M51" s="130"/>
      <c r="N51" s="130"/>
      <c r="O51" s="130"/>
      <c r="P51" s="130"/>
      <c r="Q51" s="130"/>
      <c r="R51" s="130"/>
      <c r="S51" s="130"/>
      <c r="T51" s="130"/>
      <c r="U51" s="130"/>
      <c r="V51" s="130"/>
      <c r="W51" s="130"/>
    </row>
    <row r="52" spans="3:23" x14ac:dyDescent="0.25">
      <c r="C52" s="130"/>
      <c r="D52" s="130"/>
      <c r="E52" s="130"/>
      <c r="F52" s="130"/>
      <c r="G52" s="130"/>
      <c r="H52" s="130"/>
      <c r="I52" s="130"/>
      <c r="J52" s="130"/>
      <c r="K52" s="130"/>
      <c r="L52" s="130"/>
      <c r="M52" s="130"/>
      <c r="N52" s="130"/>
      <c r="O52" s="130"/>
      <c r="P52" s="130"/>
      <c r="Q52" s="130"/>
      <c r="R52" s="130"/>
      <c r="S52" s="130"/>
      <c r="T52" s="130"/>
      <c r="U52" s="130"/>
      <c r="V52" s="130"/>
      <c r="W52" s="130"/>
    </row>
    <row r="53" spans="3:23" x14ac:dyDescent="0.25">
      <c r="C53" s="130"/>
      <c r="D53" s="130"/>
      <c r="E53" s="130"/>
      <c r="F53" s="130"/>
      <c r="G53" s="130"/>
      <c r="H53" s="130"/>
      <c r="I53" s="130"/>
      <c r="J53" s="130"/>
      <c r="K53" s="130"/>
      <c r="L53" s="130"/>
      <c r="M53" s="130"/>
      <c r="N53" s="130"/>
      <c r="O53" s="130"/>
      <c r="P53" s="130"/>
      <c r="Q53" s="130"/>
      <c r="R53" s="130"/>
      <c r="S53" s="130"/>
      <c r="T53" s="130"/>
      <c r="U53" s="130"/>
      <c r="V53" s="130"/>
      <c r="W53" s="130"/>
    </row>
    <row r="54" spans="3:23" x14ac:dyDescent="0.25">
      <c r="C54" s="130"/>
      <c r="D54" s="130"/>
      <c r="E54" s="130"/>
      <c r="F54" s="130"/>
      <c r="G54" s="130"/>
      <c r="H54" s="130"/>
      <c r="I54" s="130"/>
      <c r="J54" s="130"/>
      <c r="K54" s="130"/>
      <c r="L54" s="130"/>
      <c r="M54" s="130"/>
      <c r="N54" s="130"/>
      <c r="O54" s="130"/>
      <c r="P54" s="130"/>
      <c r="Q54" s="130"/>
      <c r="R54" s="130"/>
      <c r="S54" s="130"/>
      <c r="T54" s="130"/>
      <c r="U54" s="130"/>
      <c r="V54" s="130"/>
      <c r="W54" s="130"/>
    </row>
    <row r="55" spans="3:23" x14ac:dyDescent="0.25">
      <c r="C55" s="130"/>
      <c r="D55" s="130"/>
      <c r="E55" s="130"/>
      <c r="F55" s="130"/>
      <c r="G55" s="130"/>
      <c r="H55" s="130"/>
      <c r="I55" s="130"/>
      <c r="J55" s="130"/>
      <c r="K55" s="130"/>
      <c r="L55" s="130"/>
      <c r="M55" s="130"/>
      <c r="N55" s="130"/>
      <c r="O55" s="130"/>
      <c r="P55" s="130"/>
      <c r="Q55" s="130"/>
      <c r="R55" s="130"/>
      <c r="S55" s="130"/>
      <c r="T55" s="130"/>
      <c r="U55" s="130"/>
      <c r="V55" s="130"/>
      <c r="W55" s="130"/>
    </row>
    <row r="56" spans="3:23" x14ac:dyDescent="0.25">
      <c r="C56" s="130"/>
      <c r="D56" s="130"/>
      <c r="E56" s="130"/>
      <c r="F56" s="130"/>
      <c r="G56" s="130"/>
      <c r="H56" s="130"/>
      <c r="I56" s="130"/>
      <c r="J56" s="130"/>
      <c r="K56" s="130"/>
      <c r="L56" s="130"/>
      <c r="M56" s="130"/>
      <c r="N56" s="130"/>
      <c r="O56" s="130"/>
      <c r="P56" s="130"/>
      <c r="Q56" s="130"/>
      <c r="R56" s="130"/>
      <c r="S56" s="130"/>
      <c r="T56" s="130"/>
      <c r="U56" s="130"/>
      <c r="V56" s="130"/>
      <c r="W56" s="130"/>
    </row>
    <row r="57" spans="3:23" x14ac:dyDescent="0.25">
      <c r="C57" s="130"/>
      <c r="D57" s="130"/>
      <c r="E57" s="130"/>
      <c r="F57" s="130"/>
      <c r="G57" s="130"/>
      <c r="H57" s="130"/>
      <c r="I57" s="130"/>
      <c r="J57" s="130"/>
      <c r="K57" s="130"/>
      <c r="L57" s="130"/>
      <c r="M57" s="130"/>
      <c r="N57" s="130"/>
      <c r="O57" s="130"/>
      <c r="P57" s="130"/>
      <c r="Q57" s="130"/>
      <c r="R57" s="130"/>
      <c r="S57" s="130"/>
      <c r="T57" s="130"/>
      <c r="U57" s="130"/>
      <c r="V57" s="130"/>
      <c r="W57" s="130"/>
    </row>
    <row r="58" spans="3:23" x14ac:dyDescent="0.25">
      <c r="C58" s="130"/>
      <c r="D58" s="130"/>
      <c r="E58" s="130"/>
      <c r="F58" s="130"/>
      <c r="G58" s="130"/>
      <c r="H58" s="130"/>
      <c r="I58" s="130"/>
      <c r="J58" s="130"/>
      <c r="K58" s="130"/>
      <c r="L58" s="130"/>
      <c r="M58" s="130"/>
      <c r="N58" s="130"/>
      <c r="O58" s="130"/>
      <c r="P58" s="130"/>
      <c r="Q58" s="130"/>
      <c r="R58" s="130"/>
      <c r="S58" s="130"/>
      <c r="T58" s="130"/>
      <c r="U58" s="130"/>
      <c r="V58" s="130"/>
      <c r="W58" s="130"/>
    </row>
    <row r="59" spans="3:23" x14ac:dyDescent="0.25">
      <c r="C59" s="130"/>
      <c r="D59" s="130"/>
      <c r="E59" s="130"/>
      <c r="F59" s="130"/>
      <c r="G59" s="130"/>
      <c r="H59" s="130"/>
      <c r="I59" s="130"/>
      <c r="J59" s="130"/>
      <c r="K59" s="130"/>
      <c r="L59" s="130"/>
      <c r="M59" s="130"/>
      <c r="N59" s="130"/>
      <c r="O59" s="130"/>
      <c r="P59" s="130"/>
      <c r="Q59" s="130"/>
      <c r="R59" s="130"/>
      <c r="S59" s="130"/>
      <c r="T59" s="130"/>
      <c r="U59" s="130"/>
      <c r="V59" s="130"/>
      <c r="W59" s="130"/>
    </row>
    <row r="60" spans="3:23" x14ac:dyDescent="0.25">
      <c r="C60" s="130"/>
      <c r="D60" s="130"/>
      <c r="E60" s="130"/>
      <c r="F60" s="130"/>
      <c r="G60" s="130"/>
      <c r="H60" s="130"/>
      <c r="I60" s="130"/>
      <c r="J60" s="130"/>
      <c r="K60" s="130"/>
      <c r="L60" s="130"/>
      <c r="M60" s="130"/>
      <c r="N60" s="130"/>
      <c r="O60" s="130"/>
      <c r="P60" s="130"/>
      <c r="Q60" s="130"/>
      <c r="R60" s="130"/>
      <c r="S60" s="130"/>
      <c r="T60" s="130"/>
      <c r="U60" s="130"/>
      <c r="V60" s="130"/>
      <c r="W60" s="130"/>
    </row>
    <row r="61" spans="3:23" x14ac:dyDescent="0.25">
      <c r="C61" s="130"/>
      <c r="D61" s="130"/>
      <c r="E61" s="130"/>
      <c r="F61" s="130"/>
      <c r="G61" s="130"/>
      <c r="H61" s="130"/>
      <c r="I61" s="130"/>
      <c r="J61" s="130"/>
      <c r="K61" s="130"/>
      <c r="L61" s="130"/>
      <c r="M61" s="130"/>
      <c r="N61" s="130"/>
      <c r="O61" s="130"/>
      <c r="P61" s="130"/>
      <c r="Q61" s="130"/>
      <c r="R61" s="130"/>
      <c r="S61" s="130"/>
      <c r="T61" s="130"/>
      <c r="U61" s="130"/>
      <c r="V61" s="130"/>
      <c r="W61" s="130"/>
    </row>
    <row r="62" spans="3:23" x14ac:dyDescent="0.25">
      <c r="C62" s="130"/>
      <c r="D62" s="130"/>
      <c r="E62" s="130"/>
      <c r="F62" s="130"/>
      <c r="G62" s="130"/>
      <c r="H62" s="130"/>
      <c r="I62" s="130"/>
      <c r="J62" s="130"/>
      <c r="K62" s="130"/>
      <c r="L62" s="130"/>
      <c r="M62" s="130"/>
      <c r="N62" s="130"/>
      <c r="O62" s="130"/>
      <c r="P62" s="130"/>
      <c r="Q62" s="130"/>
      <c r="R62" s="130"/>
      <c r="S62" s="130"/>
      <c r="T62" s="130"/>
      <c r="U62" s="130"/>
      <c r="V62" s="130"/>
      <c r="W62" s="130"/>
    </row>
    <row r="63" spans="3:23" x14ac:dyDescent="0.25">
      <c r="C63" s="130"/>
      <c r="D63" s="130"/>
      <c r="E63" s="130"/>
      <c r="F63" s="130"/>
      <c r="G63" s="130"/>
      <c r="H63" s="130"/>
      <c r="I63" s="130"/>
      <c r="J63" s="130"/>
      <c r="K63" s="130"/>
      <c r="L63" s="130"/>
      <c r="M63" s="130"/>
      <c r="N63" s="130"/>
      <c r="O63" s="130"/>
      <c r="P63" s="130"/>
      <c r="Q63" s="130"/>
      <c r="R63" s="130"/>
      <c r="S63" s="130"/>
      <c r="T63" s="130"/>
      <c r="U63" s="130"/>
      <c r="V63" s="130"/>
      <c r="W63" s="130"/>
    </row>
    <row r="64" spans="3:23" x14ac:dyDescent="0.25">
      <c r="C64" s="130"/>
      <c r="D64" s="130"/>
      <c r="E64" s="130"/>
      <c r="F64" s="130"/>
      <c r="G64" s="130"/>
      <c r="H64" s="130"/>
      <c r="I64" s="130"/>
      <c r="J64" s="130"/>
      <c r="K64" s="130"/>
      <c r="L64" s="130"/>
      <c r="M64" s="130"/>
      <c r="N64" s="130"/>
      <c r="O64" s="130"/>
      <c r="P64" s="130"/>
      <c r="Q64" s="130"/>
      <c r="R64" s="130"/>
      <c r="S64" s="130"/>
      <c r="T64" s="130"/>
      <c r="U64" s="130"/>
      <c r="V64" s="130"/>
      <c r="W64" s="130"/>
    </row>
    <row r="65" spans="3:23" x14ac:dyDescent="0.25">
      <c r="C65" s="130"/>
      <c r="D65" s="130"/>
      <c r="E65" s="130"/>
      <c r="F65" s="130"/>
      <c r="G65" s="130"/>
      <c r="H65" s="130"/>
      <c r="I65" s="130"/>
      <c r="J65" s="130"/>
      <c r="K65" s="130"/>
      <c r="L65" s="130"/>
      <c r="M65" s="130"/>
      <c r="N65" s="130"/>
      <c r="O65" s="130"/>
      <c r="P65" s="130"/>
      <c r="Q65" s="130"/>
      <c r="R65" s="130"/>
      <c r="S65" s="130"/>
      <c r="T65" s="130"/>
      <c r="U65" s="130"/>
      <c r="V65" s="130"/>
      <c r="W65" s="130"/>
    </row>
    <row r="66" spans="3:23" x14ac:dyDescent="0.25">
      <c r="C66" s="130"/>
      <c r="D66" s="130"/>
      <c r="E66" s="130"/>
      <c r="F66" s="130"/>
      <c r="G66" s="130"/>
      <c r="H66" s="130"/>
      <c r="I66" s="130"/>
      <c r="J66" s="130"/>
      <c r="K66" s="130"/>
      <c r="L66" s="130"/>
      <c r="M66" s="130"/>
      <c r="N66" s="130"/>
      <c r="O66" s="130"/>
      <c r="P66" s="130"/>
      <c r="Q66" s="130"/>
      <c r="R66" s="130"/>
      <c r="S66" s="130"/>
      <c r="T66" s="130"/>
      <c r="U66" s="130"/>
      <c r="V66" s="130"/>
      <c r="W66" s="130"/>
    </row>
    <row r="67" spans="3:23" x14ac:dyDescent="0.25">
      <c r="C67" s="130"/>
      <c r="D67" s="130"/>
      <c r="E67" s="130"/>
      <c r="F67" s="130"/>
      <c r="G67" s="130"/>
      <c r="H67" s="130"/>
      <c r="I67" s="130"/>
      <c r="J67" s="130"/>
      <c r="K67" s="130"/>
      <c r="L67" s="130"/>
      <c r="M67" s="130"/>
      <c r="N67" s="130"/>
      <c r="O67" s="130"/>
      <c r="P67" s="130"/>
      <c r="Q67" s="130"/>
      <c r="R67" s="130"/>
      <c r="S67" s="130"/>
      <c r="T67" s="130"/>
      <c r="U67" s="130"/>
      <c r="V67" s="130"/>
      <c r="W67" s="130"/>
    </row>
    <row r="68" spans="3:23" x14ac:dyDescent="0.25">
      <c r="C68" s="130"/>
      <c r="D68" s="130"/>
      <c r="E68" s="130"/>
      <c r="F68" s="130"/>
      <c r="G68" s="130"/>
      <c r="H68" s="130"/>
      <c r="I68" s="130"/>
      <c r="J68" s="130"/>
      <c r="K68" s="130"/>
      <c r="L68" s="130"/>
      <c r="M68" s="130"/>
      <c r="N68" s="130"/>
      <c r="O68" s="130"/>
      <c r="P68" s="130"/>
      <c r="Q68" s="130"/>
      <c r="R68" s="130"/>
      <c r="S68" s="130"/>
      <c r="T68" s="130"/>
      <c r="U68" s="130"/>
      <c r="V68" s="130"/>
      <c r="W68" s="130"/>
    </row>
    <row r="69" spans="3:23" x14ac:dyDescent="0.25">
      <c r="C69" s="130"/>
      <c r="D69" s="130"/>
      <c r="E69" s="130"/>
      <c r="F69" s="130"/>
      <c r="G69" s="130"/>
      <c r="H69" s="130"/>
      <c r="I69" s="130"/>
      <c r="J69" s="130"/>
      <c r="K69" s="130"/>
      <c r="L69" s="130"/>
      <c r="M69" s="130"/>
      <c r="N69" s="130"/>
      <c r="O69" s="130"/>
      <c r="P69" s="130"/>
      <c r="Q69" s="130"/>
      <c r="R69" s="130"/>
      <c r="S69" s="130"/>
      <c r="T69" s="130"/>
      <c r="U69" s="130"/>
      <c r="V69" s="130"/>
      <c r="W69" s="130"/>
    </row>
    <row r="70" spans="3:23" x14ac:dyDescent="0.25">
      <c r="C70" s="130"/>
      <c r="D70" s="130"/>
      <c r="E70" s="130"/>
      <c r="F70" s="130"/>
      <c r="G70" s="130"/>
      <c r="H70" s="130"/>
      <c r="I70" s="130"/>
      <c r="J70" s="130"/>
      <c r="K70" s="130"/>
      <c r="L70" s="130"/>
      <c r="M70" s="130"/>
      <c r="N70" s="130"/>
      <c r="O70" s="130"/>
      <c r="P70" s="130"/>
      <c r="Q70" s="130"/>
      <c r="R70" s="130"/>
      <c r="S70" s="130"/>
      <c r="T70" s="130"/>
      <c r="U70" s="130"/>
      <c r="V70" s="130"/>
      <c r="W70" s="130"/>
    </row>
    <row r="71" spans="3:23" x14ac:dyDescent="0.25">
      <c r="C71" s="130"/>
      <c r="D71" s="130"/>
      <c r="E71" s="130"/>
      <c r="F71" s="130"/>
      <c r="G71" s="130"/>
      <c r="H71" s="130"/>
      <c r="I71" s="130"/>
      <c r="J71" s="130"/>
      <c r="K71" s="130"/>
      <c r="L71" s="130"/>
      <c r="M71" s="130"/>
      <c r="N71" s="130"/>
      <c r="O71" s="130"/>
      <c r="P71" s="130"/>
      <c r="Q71" s="130"/>
      <c r="R71" s="130"/>
      <c r="S71" s="130"/>
      <c r="T71" s="130"/>
      <c r="U71" s="130"/>
      <c r="V71" s="130"/>
      <c r="W71" s="130"/>
    </row>
    <row r="72" spans="3:23" x14ac:dyDescent="0.25">
      <c r="C72" s="130"/>
      <c r="D72" s="130"/>
      <c r="E72" s="130"/>
      <c r="F72" s="130"/>
      <c r="G72" s="130"/>
      <c r="H72" s="130"/>
      <c r="I72" s="130"/>
      <c r="J72" s="130"/>
      <c r="K72" s="130"/>
      <c r="L72" s="130"/>
      <c r="M72" s="130"/>
      <c r="N72" s="130"/>
      <c r="O72" s="130"/>
      <c r="P72" s="130"/>
      <c r="Q72" s="130"/>
      <c r="R72" s="130"/>
      <c r="S72" s="130"/>
      <c r="T72" s="130"/>
      <c r="U72" s="130"/>
      <c r="V72" s="130"/>
      <c r="W72" s="130"/>
    </row>
    <row r="73" spans="3:23" x14ac:dyDescent="0.25">
      <c r="C73" s="130"/>
      <c r="D73" s="130"/>
      <c r="E73" s="130"/>
      <c r="F73" s="130"/>
      <c r="G73" s="130"/>
      <c r="H73" s="130"/>
      <c r="I73" s="130"/>
      <c r="J73" s="130"/>
      <c r="K73" s="130"/>
      <c r="L73" s="130"/>
      <c r="M73" s="130"/>
      <c r="N73" s="130"/>
      <c r="O73" s="130"/>
      <c r="P73" s="130"/>
      <c r="Q73" s="130"/>
      <c r="R73" s="130"/>
      <c r="S73" s="130"/>
      <c r="T73" s="130"/>
      <c r="U73" s="130"/>
      <c r="V73" s="130"/>
      <c r="W73" s="130"/>
    </row>
    <row r="74" spans="3:23" x14ac:dyDescent="0.25">
      <c r="C74" s="130"/>
      <c r="D74" s="130"/>
      <c r="E74" s="130"/>
      <c r="F74" s="130"/>
      <c r="G74" s="130"/>
      <c r="H74" s="130"/>
      <c r="I74" s="130"/>
      <c r="J74" s="130"/>
      <c r="K74" s="130"/>
      <c r="L74" s="130"/>
      <c r="M74" s="130"/>
      <c r="N74" s="130"/>
      <c r="O74" s="130"/>
      <c r="P74" s="130"/>
      <c r="Q74" s="130"/>
      <c r="R74" s="130"/>
      <c r="S74" s="130"/>
      <c r="T74" s="130"/>
      <c r="U74" s="130"/>
      <c r="V74" s="130"/>
      <c r="W74" s="130"/>
    </row>
    <row r="75" spans="3:23" x14ac:dyDescent="0.25">
      <c r="C75" s="130"/>
      <c r="D75" s="130"/>
      <c r="E75" s="130"/>
      <c r="F75" s="130"/>
      <c r="G75" s="130"/>
      <c r="H75" s="130"/>
      <c r="I75" s="130"/>
      <c r="J75" s="130"/>
      <c r="K75" s="130"/>
      <c r="L75" s="130"/>
      <c r="M75" s="130"/>
      <c r="N75" s="130"/>
      <c r="O75" s="130"/>
      <c r="P75" s="130"/>
      <c r="Q75" s="130"/>
      <c r="R75" s="130"/>
      <c r="S75" s="130"/>
      <c r="T75" s="130"/>
      <c r="U75" s="130"/>
      <c r="V75" s="130"/>
      <c r="W75" s="130"/>
    </row>
    <row r="76" spans="3:23" x14ac:dyDescent="0.25">
      <c r="C76" s="130"/>
      <c r="D76" s="130"/>
      <c r="E76" s="130"/>
      <c r="F76" s="130"/>
      <c r="G76" s="130"/>
      <c r="H76" s="130"/>
      <c r="I76" s="130"/>
      <c r="J76" s="130"/>
      <c r="K76" s="130"/>
      <c r="L76" s="130"/>
      <c r="M76" s="130"/>
      <c r="N76" s="130"/>
      <c r="O76" s="130"/>
      <c r="P76" s="130"/>
      <c r="Q76" s="130"/>
      <c r="R76" s="130"/>
      <c r="S76" s="130"/>
      <c r="T76" s="130"/>
      <c r="U76" s="130"/>
      <c r="V76" s="130"/>
      <c r="W76" s="130"/>
    </row>
    <row r="77" spans="3:23" x14ac:dyDescent="0.25">
      <c r="C77" s="130"/>
      <c r="D77" s="130"/>
      <c r="E77" s="130"/>
      <c r="F77" s="130"/>
      <c r="G77" s="130"/>
      <c r="H77" s="130"/>
      <c r="I77" s="130"/>
      <c r="J77" s="130"/>
      <c r="K77" s="130"/>
      <c r="L77" s="130"/>
      <c r="M77" s="130"/>
      <c r="N77" s="130"/>
      <c r="O77" s="130"/>
      <c r="P77" s="130"/>
      <c r="Q77" s="130"/>
      <c r="R77" s="130"/>
      <c r="S77" s="130"/>
      <c r="T77" s="130"/>
      <c r="U77" s="130"/>
      <c r="V77" s="130"/>
      <c r="W77" s="130"/>
    </row>
    <row r="78" spans="3:23" x14ac:dyDescent="0.25">
      <c r="C78" s="130"/>
      <c r="D78" s="130"/>
      <c r="E78" s="130"/>
      <c r="F78" s="130"/>
      <c r="G78" s="130"/>
      <c r="H78" s="130"/>
      <c r="I78" s="130"/>
      <c r="J78" s="130"/>
      <c r="K78" s="130"/>
      <c r="L78" s="130"/>
      <c r="M78" s="130"/>
      <c r="N78" s="130"/>
      <c r="O78" s="130"/>
      <c r="P78" s="130"/>
      <c r="Q78" s="130"/>
      <c r="R78" s="130"/>
      <c r="S78" s="130"/>
      <c r="T78" s="130"/>
      <c r="U78" s="130"/>
      <c r="V78" s="130"/>
      <c r="W78" s="130"/>
    </row>
    <row r="79" spans="3:23" x14ac:dyDescent="0.25">
      <c r="C79" s="130"/>
      <c r="D79" s="130"/>
      <c r="E79" s="130"/>
      <c r="F79" s="130"/>
      <c r="G79" s="130"/>
      <c r="H79" s="130"/>
      <c r="I79" s="130"/>
      <c r="J79" s="130"/>
      <c r="K79" s="130"/>
      <c r="L79" s="130"/>
      <c r="M79" s="130"/>
      <c r="N79" s="130"/>
      <c r="O79" s="130"/>
      <c r="P79" s="130"/>
      <c r="Q79" s="130"/>
      <c r="R79" s="130"/>
      <c r="S79" s="130"/>
      <c r="T79" s="130"/>
      <c r="U79" s="130"/>
      <c r="V79" s="130"/>
      <c r="W79" s="130"/>
    </row>
    <row r="80" spans="3:23" x14ac:dyDescent="0.25">
      <c r="C80" s="130"/>
      <c r="D80" s="130"/>
      <c r="E80" s="130"/>
      <c r="F80" s="130"/>
      <c r="G80" s="130"/>
      <c r="H80" s="130"/>
      <c r="I80" s="130"/>
      <c r="J80" s="130"/>
      <c r="K80" s="130"/>
      <c r="L80" s="130"/>
      <c r="M80" s="130"/>
      <c r="N80" s="130"/>
      <c r="O80" s="130"/>
      <c r="P80" s="130"/>
      <c r="Q80" s="130"/>
      <c r="R80" s="130"/>
      <c r="S80" s="130"/>
      <c r="T80" s="130"/>
      <c r="U80" s="130"/>
      <c r="V80" s="130"/>
      <c r="W80" s="130"/>
    </row>
    <row r="81" spans="3:23" x14ac:dyDescent="0.25">
      <c r="C81" s="130"/>
      <c r="D81" s="130"/>
      <c r="E81" s="130"/>
      <c r="F81" s="130"/>
      <c r="G81" s="130"/>
      <c r="H81" s="130"/>
      <c r="I81" s="130"/>
      <c r="J81" s="130"/>
      <c r="K81" s="130"/>
      <c r="L81" s="130"/>
      <c r="M81" s="130"/>
      <c r="N81" s="130"/>
      <c r="O81" s="130"/>
      <c r="P81" s="130"/>
      <c r="Q81" s="130"/>
      <c r="R81" s="130"/>
      <c r="S81" s="130"/>
      <c r="T81" s="130"/>
      <c r="U81" s="130"/>
      <c r="V81" s="130"/>
      <c r="W81" s="130"/>
    </row>
    <row r="82" spans="3:23" x14ac:dyDescent="0.25">
      <c r="C82" s="130"/>
      <c r="D82" s="130"/>
      <c r="E82" s="130"/>
      <c r="F82" s="130"/>
      <c r="G82" s="130"/>
      <c r="H82" s="130"/>
      <c r="I82" s="130"/>
      <c r="J82" s="130"/>
      <c r="K82" s="130"/>
      <c r="L82" s="130"/>
      <c r="M82" s="130"/>
      <c r="N82" s="130"/>
      <c r="O82" s="130"/>
      <c r="P82" s="130"/>
      <c r="Q82" s="130"/>
      <c r="R82" s="130"/>
      <c r="S82" s="130"/>
      <c r="T82" s="130"/>
      <c r="U82" s="130"/>
      <c r="V82" s="130"/>
      <c r="W82" s="130"/>
    </row>
    <row r="83" spans="3:23" x14ac:dyDescent="0.25">
      <c r="C83" s="130"/>
      <c r="D83" s="130"/>
      <c r="E83" s="130"/>
      <c r="F83" s="130"/>
      <c r="G83" s="130"/>
      <c r="H83" s="130"/>
      <c r="I83" s="130"/>
      <c r="J83" s="130"/>
      <c r="K83" s="130"/>
      <c r="L83" s="130"/>
      <c r="M83" s="130"/>
      <c r="N83" s="130"/>
      <c r="O83" s="130"/>
      <c r="P83" s="130"/>
      <c r="Q83" s="130"/>
      <c r="R83" s="130"/>
      <c r="S83" s="130"/>
      <c r="T83" s="130"/>
      <c r="U83" s="130"/>
      <c r="V83" s="130"/>
      <c r="W83" s="130"/>
    </row>
    <row r="84" spans="3:23" x14ac:dyDescent="0.25">
      <c r="C84" s="130"/>
      <c r="D84" s="130"/>
      <c r="E84" s="130"/>
      <c r="F84" s="130"/>
      <c r="G84" s="130"/>
      <c r="H84" s="130"/>
      <c r="I84" s="130"/>
      <c r="J84" s="130"/>
      <c r="K84" s="130"/>
      <c r="L84" s="130"/>
      <c r="M84" s="130"/>
      <c r="N84" s="130"/>
      <c r="O84" s="130"/>
      <c r="P84" s="130"/>
      <c r="Q84" s="130"/>
      <c r="R84" s="130"/>
      <c r="S84" s="130"/>
      <c r="T84" s="130"/>
      <c r="U84" s="130"/>
      <c r="V84" s="130"/>
      <c r="W84" s="130"/>
    </row>
    <row r="85" spans="3:23" x14ac:dyDescent="0.25">
      <c r="C85" s="130"/>
      <c r="D85" s="130"/>
      <c r="E85" s="130"/>
      <c r="F85" s="130"/>
      <c r="G85" s="130"/>
      <c r="H85" s="130"/>
      <c r="I85" s="130"/>
      <c r="J85" s="130"/>
      <c r="K85" s="130"/>
      <c r="L85" s="130"/>
      <c r="M85" s="130"/>
      <c r="N85" s="130"/>
      <c r="O85" s="130"/>
      <c r="P85" s="130"/>
      <c r="Q85" s="130"/>
      <c r="R85" s="130"/>
      <c r="S85" s="130"/>
      <c r="T85" s="130"/>
      <c r="U85" s="130"/>
      <c r="V85" s="130"/>
      <c r="W85" s="130"/>
    </row>
    <row r="86" spans="3:23" x14ac:dyDescent="0.25">
      <c r="C86" s="130"/>
      <c r="D86" s="130"/>
      <c r="E86" s="130"/>
      <c r="F86" s="130"/>
      <c r="G86" s="130"/>
      <c r="H86" s="130"/>
      <c r="I86" s="130"/>
      <c r="J86" s="130"/>
      <c r="K86" s="130"/>
      <c r="L86" s="130"/>
      <c r="M86" s="130"/>
      <c r="N86" s="130"/>
      <c r="O86" s="130"/>
      <c r="P86" s="130"/>
      <c r="Q86" s="130"/>
      <c r="R86" s="130"/>
      <c r="S86" s="130"/>
      <c r="T86" s="130"/>
      <c r="U86" s="130"/>
      <c r="V86" s="130"/>
      <c r="W86" s="130"/>
    </row>
    <row r="87" spans="3:23" x14ac:dyDescent="0.25">
      <c r="C87" s="130"/>
      <c r="D87" s="130"/>
      <c r="E87" s="130"/>
      <c r="F87" s="130"/>
      <c r="G87" s="130"/>
      <c r="H87" s="130"/>
      <c r="I87" s="130"/>
      <c r="J87" s="130"/>
      <c r="K87" s="130"/>
      <c r="L87" s="130"/>
      <c r="M87" s="130"/>
      <c r="N87" s="130"/>
      <c r="O87" s="130"/>
      <c r="P87" s="130"/>
      <c r="Q87" s="130"/>
      <c r="R87" s="130"/>
      <c r="S87" s="130"/>
      <c r="T87" s="130"/>
      <c r="U87" s="130"/>
      <c r="V87" s="130"/>
      <c r="W87" s="130"/>
    </row>
    <row r="88" spans="3:23" x14ac:dyDescent="0.25">
      <c r="C88" s="130"/>
      <c r="D88" s="130"/>
      <c r="E88" s="130"/>
      <c r="F88" s="130"/>
      <c r="G88" s="130"/>
      <c r="H88" s="130"/>
      <c r="I88" s="130"/>
      <c r="J88" s="130"/>
      <c r="K88" s="130"/>
      <c r="L88" s="130"/>
      <c r="M88" s="130"/>
      <c r="N88" s="130"/>
      <c r="O88" s="130"/>
      <c r="P88" s="130"/>
      <c r="Q88" s="130"/>
      <c r="R88" s="130"/>
      <c r="S88" s="130"/>
      <c r="T88" s="130"/>
      <c r="U88" s="130"/>
      <c r="V88" s="130"/>
      <c r="W88" s="130"/>
    </row>
    <row r="89" spans="3:23" x14ac:dyDescent="0.25">
      <c r="C89" s="130"/>
      <c r="D89" s="130"/>
      <c r="E89" s="130"/>
      <c r="F89" s="130"/>
      <c r="G89" s="130"/>
      <c r="H89" s="130"/>
      <c r="I89" s="130"/>
      <c r="J89" s="130"/>
      <c r="K89" s="130"/>
      <c r="L89" s="130"/>
      <c r="M89" s="130"/>
      <c r="N89" s="130"/>
      <c r="O89" s="130"/>
      <c r="P89" s="130"/>
      <c r="Q89" s="130"/>
      <c r="R89" s="130"/>
      <c r="S89" s="130"/>
      <c r="T89" s="130"/>
      <c r="U89" s="130"/>
      <c r="V89" s="130"/>
      <c r="W89" s="130"/>
    </row>
    <row r="90" spans="3:23" x14ac:dyDescent="0.25">
      <c r="C90" s="130"/>
      <c r="D90" s="130"/>
      <c r="E90" s="130"/>
      <c r="F90" s="130"/>
      <c r="G90" s="130"/>
      <c r="H90" s="130"/>
      <c r="I90" s="130"/>
      <c r="J90" s="130"/>
      <c r="K90" s="130"/>
      <c r="L90" s="130"/>
      <c r="M90" s="130"/>
      <c r="N90" s="130"/>
      <c r="O90" s="130"/>
      <c r="P90" s="130"/>
      <c r="Q90" s="130"/>
      <c r="R90" s="130"/>
      <c r="S90" s="130"/>
      <c r="T90" s="130"/>
      <c r="U90" s="130"/>
      <c r="V90" s="130"/>
      <c r="W90" s="130"/>
    </row>
    <row r="91" spans="3:23" x14ac:dyDescent="0.25">
      <c r="C91" s="130"/>
      <c r="D91" s="130"/>
      <c r="E91" s="130"/>
      <c r="F91" s="130"/>
      <c r="G91" s="130"/>
      <c r="H91" s="130"/>
      <c r="I91" s="130"/>
      <c r="J91" s="130"/>
      <c r="K91" s="130"/>
      <c r="L91" s="130"/>
      <c r="M91" s="130"/>
      <c r="N91" s="130"/>
      <c r="O91" s="130"/>
      <c r="P91" s="130"/>
      <c r="Q91" s="130"/>
      <c r="R91" s="130"/>
      <c r="S91" s="130"/>
      <c r="T91" s="130"/>
      <c r="U91" s="130"/>
      <c r="V91" s="130"/>
      <c r="W91" s="130"/>
    </row>
    <row r="92" spans="3:23" x14ac:dyDescent="0.25">
      <c r="C92" s="130"/>
      <c r="D92" s="130"/>
      <c r="E92" s="130"/>
      <c r="F92" s="130"/>
      <c r="G92" s="130"/>
      <c r="H92" s="130"/>
      <c r="I92" s="130"/>
      <c r="J92" s="130"/>
      <c r="K92" s="130"/>
      <c r="L92" s="130"/>
      <c r="M92" s="130"/>
      <c r="N92" s="130"/>
      <c r="O92" s="130"/>
      <c r="P92" s="130"/>
      <c r="Q92" s="130"/>
      <c r="R92" s="130"/>
      <c r="S92" s="130"/>
      <c r="T92" s="130"/>
      <c r="U92" s="130"/>
      <c r="V92" s="130"/>
      <c r="W92" s="130"/>
    </row>
    <row r="93" spans="3:23" x14ac:dyDescent="0.25">
      <c r="C93" s="130"/>
      <c r="D93" s="130"/>
      <c r="E93" s="130"/>
      <c r="F93" s="130"/>
      <c r="G93" s="130"/>
      <c r="H93" s="130"/>
      <c r="I93" s="130"/>
      <c r="J93" s="130"/>
      <c r="K93" s="130"/>
      <c r="L93" s="130"/>
      <c r="M93" s="130"/>
      <c r="N93" s="130"/>
      <c r="O93" s="130"/>
      <c r="P93" s="130"/>
      <c r="Q93" s="130"/>
      <c r="R93" s="130"/>
      <c r="S93" s="130"/>
      <c r="T93" s="130"/>
      <c r="U93" s="130"/>
      <c r="V93" s="130"/>
      <c r="W93" s="130"/>
    </row>
    <row r="94" spans="3:23" x14ac:dyDescent="0.25">
      <c r="C94" s="130"/>
      <c r="D94" s="130"/>
      <c r="E94" s="130"/>
      <c r="F94" s="130"/>
      <c r="G94" s="130"/>
      <c r="H94" s="130"/>
      <c r="I94" s="130"/>
      <c r="J94" s="130"/>
      <c r="K94" s="130"/>
      <c r="L94" s="130"/>
      <c r="M94" s="130"/>
      <c r="N94" s="130"/>
      <c r="O94" s="130"/>
      <c r="P94" s="130"/>
      <c r="Q94" s="130"/>
      <c r="R94" s="130"/>
      <c r="S94" s="130"/>
      <c r="T94" s="130"/>
      <c r="U94" s="130"/>
      <c r="V94" s="130"/>
      <c r="W94" s="130"/>
    </row>
    <row r="95" spans="3:23" x14ac:dyDescent="0.25">
      <c r="C95" s="130"/>
      <c r="D95" s="130"/>
      <c r="E95" s="130"/>
      <c r="F95" s="130"/>
      <c r="G95" s="130"/>
      <c r="H95" s="130"/>
      <c r="I95" s="130"/>
      <c r="J95" s="130"/>
      <c r="K95" s="130"/>
      <c r="L95" s="130"/>
      <c r="M95" s="130"/>
      <c r="N95" s="130"/>
      <c r="O95" s="130"/>
      <c r="P95" s="130"/>
      <c r="Q95" s="130"/>
      <c r="R95" s="130"/>
      <c r="S95" s="130"/>
      <c r="T95" s="130"/>
      <c r="U95" s="130"/>
      <c r="V95" s="130"/>
      <c r="W95" s="130"/>
    </row>
    <row r="96" spans="3:23" x14ac:dyDescent="0.25">
      <c r="C96" s="130"/>
      <c r="D96" s="130"/>
      <c r="E96" s="130"/>
      <c r="F96" s="130"/>
      <c r="G96" s="130"/>
      <c r="H96" s="130"/>
      <c r="I96" s="130"/>
      <c r="J96" s="130"/>
      <c r="K96" s="130"/>
      <c r="L96" s="130"/>
      <c r="M96" s="130"/>
      <c r="N96" s="130"/>
      <c r="O96" s="130"/>
      <c r="P96" s="130"/>
      <c r="Q96" s="130"/>
      <c r="R96" s="130"/>
      <c r="S96" s="130"/>
      <c r="T96" s="130"/>
      <c r="U96" s="130"/>
      <c r="V96" s="130"/>
      <c r="W96" s="130"/>
    </row>
    <row r="97" spans="3:23" x14ac:dyDescent="0.25">
      <c r="C97" s="130"/>
      <c r="D97" s="130"/>
      <c r="E97" s="130"/>
      <c r="F97" s="130"/>
      <c r="G97" s="130"/>
      <c r="H97" s="130"/>
      <c r="I97" s="130"/>
      <c r="J97" s="130"/>
      <c r="K97" s="130"/>
      <c r="L97" s="130"/>
      <c r="M97" s="130"/>
      <c r="N97" s="130"/>
      <c r="O97" s="130"/>
      <c r="P97" s="130"/>
      <c r="Q97" s="130"/>
      <c r="R97" s="130"/>
      <c r="S97" s="130"/>
      <c r="T97" s="130"/>
      <c r="U97" s="130"/>
      <c r="V97" s="130"/>
      <c r="W97" s="130"/>
    </row>
    <row r="98" spans="3:23" x14ac:dyDescent="0.25">
      <c r="C98" s="130"/>
      <c r="D98" s="130"/>
      <c r="E98" s="130"/>
      <c r="F98" s="130"/>
      <c r="G98" s="130"/>
      <c r="H98" s="130"/>
      <c r="I98" s="130"/>
      <c r="J98" s="130"/>
      <c r="K98" s="130"/>
      <c r="L98" s="130"/>
      <c r="M98" s="130"/>
      <c r="N98" s="130"/>
      <c r="O98" s="130"/>
      <c r="P98" s="130"/>
      <c r="Q98" s="130"/>
      <c r="R98" s="130"/>
      <c r="S98" s="130"/>
      <c r="T98" s="130"/>
      <c r="U98" s="130"/>
      <c r="V98" s="130"/>
      <c r="W98" s="130"/>
    </row>
    <row r="99" spans="3:23" x14ac:dyDescent="0.25">
      <c r="C99" s="130"/>
      <c r="D99" s="130"/>
      <c r="E99" s="130"/>
      <c r="F99" s="130"/>
      <c r="G99" s="130"/>
      <c r="H99" s="130"/>
      <c r="I99" s="130"/>
      <c r="J99" s="130"/>
      <c r="K99" s="130"/>
      <c r="L99" s="130"/>
      <c r="M99" s="130"/>
      <c r="N99" s="130"/>
      <c r="O99" s="130"/>
      <c r="P99" s="130"/>
      <c r="Q99" s="130"/>
      <c r="R99" s="130"/>
      <c r="S99" s="130"/>
      <c r="T99" s="130"/>
      <c r="U99" s="130"/>
      <c r="V99" s="130"/>
      <c r="W99" s="130"/>
    </row>
    <row r="100" spans="3:23" x14ac:dyDescent="0.25">
      <c r="C100" s="130"/>
      <c r="D100" s="130"/>
      <c r="H100" s="130"/>
      <c r="L100" s="130"/>
      <c r="P100" s="130"/>
      <c r="R100" s="130"/>
      <c r="S100" s="130"/>
      <c r="T100" s="130"/>
      <c r="V100" s="130"/>
      <c r="W100" s="130"/>
    </row>
    <row r="101" spans="3:23" x14ac:dyDescent="0.25">
      <c r="C101" s="130"/>
      <c r="D101" s="130"/>
      <c r="H101" s="130"/>
      <c r="L101" s="130"/>
      <c r="P101" s="130"/>
      <c r="R101" s="130"/>
      <c r="S101" s="130"/>
      <c r="T101" s="130"/>
      <c r="V101" s="130"/>
      <c r="W101" s="130"/>
    </row>
    <row r="102" spans="3:23" x14ac:dyDescent="0.25">
      <c r="C102" s="130"/>
      <c r="D102" s="130"/>
      <c r="H102" s="130"/>
      <c r="L102" s="130"/>
      <c r="P102" s="130"/>
      <c r="R102" s="130"/>
      <c r="S102" s="130"/>
      <c r="T102" s="130"/>
      <c r="V102" s="130"/>
      <c r="W102" s="130"/>
    </row>
    <row r="103" spans="3:23" x14ac:dyDescent="0.25">
      <c r="C103" s="130"/>
      <c r="D103" s="130"/>
      <c r="H103" s="130"/>
      <c r="L103" s="130"/>
      <c r="P103" s="130"/>
      <c r="R103" s="130"/>
      <c r="S103" s="130"/>
      <c r="T103" s="130"/>
      <c r="V103" s="130"/>
      <c r="W103" s="130"/>
    </row>
    <row r="104" spans="3:23" x14ac:dyDescent="0.25">
      <c r="C104" s="130"/>
      <c r="D104" s="130"/>
      <c r="H104" s="130"/>
      <c r="L104" s="130"/>
      <c r="P104" s="130"/>
      <c r="R104" s="130"/>
      <c r="S104" s="130"/>
      <c r="T104" s="130"/>
      <c r="V104" s="130"/>
      <c r="W104" s="130"/>
    </row>
    <row r="105" spans="3:23" x14ac:dyDescent="0.25">
      <c r="C105" s="130"/>
      <c r="D105" s="130"/>
      <c r="H105" s="130"/>
      <c r="L105" s="130"/>
      <c r="P105" s="130"/>
      <c r="R105" s="130"/>
      <c r="S105" s="130"/>
      <c r="T105" s="130"/>
      <c r="V105" s="130"/>
      <c r="W105" s="130"/>
    </row>
    <row r="106" spans="3:23" x14ac:dyDescent="0.25">
      <c r="C106" s="130"/>
      <c r="D106" s="130"/>
      <c r="H106" s="130"/>
      <c r="L106" s="130"/>
      <c r="P106" s="130"/>
      <c r="R106" s="130"/>
      <c r="S106" s="130"/>
      <c r="T106" s="130"/>
      <c r="V106" s="130"/>
      <c r="W106" s="130"/>
    </row>
    <row r="107" spans="3:23" x14ac:dyDescent="0.25">
      <c r="C107" s="130"/>
      <c r="D107" s="130"/>
      <c r="H107" s="130"/>
      <c r="L107" s="130"/>
      <c r="P107" s="130"/>
      <c r="R107" s="130"/>
      <c r="S107" s="130"/>
      <c r="T107" s="130"/>
      <c r="V107" s="130"/>
      <c r="W107" s="130"/>
    </row>
    <row r="108" spans="3:23" x14ac:dyDescent="0.25">
      <c r="C108" s="130"/>
      <c r="D108" s="130"/>
      <c r="H108" s="130"/>
      <c r="L108" s="130"/>
      <c r="P108" s="130"/>
      <c r="R108" s="130"/>
      <c r="S108" s="130"/>
      <c r="T108" s="130"/>
      <c r="V108" s="130"/>
      <c r="W108" s="130"/>
    </row>
    <row r="109" spans="3:23" x14ac:dyDescent="0.25">
      <c r="C109" s="130"/>
      <c r="D109" s="130"/>
      <c r="H109" s="130"/>
      <c r="L109" s="130"/>
      <c r="P109" s="130"/>
      <c r="R109" s="130"/>
      <c r="S109" s="130"/>
      <c r="T109" s="130"/>
      <c r="V109" s="130"/>
      <c r="W109" s="130"/>
    </row>
    <row r="110" spans="3:23" x14ac:dyDescent="0.25">
      <c r="C110" s="130"/>
      <c r="D110" s="130"/>
      <c r="H110" s="130"/>
      <c r="L110" s="130"/>
      <c r="P110" s="130"/>
      <c r="R110" s="130"/>
      <c r="S110" s="130"/>
      <c r="T110" s="130"/>
      <c r="V110" s="130"/>
      <c r="W110" s="130"/>
    </row>
    <row r="111" spans="3:23" x14ac:dyDescent="0.25">
      <c r="C111" s="130"/>
      <c r="D111" s="130"/>
      <c r="H111" s="130"/>
      <c r="L111" s="130"/>
      <c r="P111" s="130"/>
      <c r="R111" s="130"/>
      <c r="S111" s="130"/>
      <c r="T111" s="130"/>
      <c r="V111" s="130"/>
      <c r="W111" s="130"/>
    </row>
    <row r="112" spans="3:23" x14ac:dyDescent="0.25">
      <c r="C112" s="130"/>
      <c r="D112" s="130"/>
      <c r="H112" s="130"/>
      <c r="L112" s="130"/>
      <c r="P112" s="130"/>
      <c r="R112" s="130"/>
      <c r="S112" s="130"/>
      <c r="T112" s="130"/>
      <c r="V112" s="130"/>
      <c r="W112" s="130"/>
    </row>
    <row r="113" spans="3:23" x14ac:dyDescent="0.25">
      <c r="C113" s="130"/>
      <c r="D113" s="130"/>
      <c r="H113" s="130"/>
      <c r="L113" s="130"/>
      <c r="P113" s="130"/>
      <c r="R113" s="130"/>
      <c r="S113" s="130"/>
      <c r="T113" s="130"/>
      <c r="V113" s="130"/>
      <c r="W113" s="130"/>
    </row>
    <row r="114" spans="3:23" x14ac:dyDescent="0.25">
      <c r="C114" s="130"/>
      <c r="D114" s="130"/>
      <c r="H114" s="130"/>
      <c r="L114" s="130"/>
      <c r="P114" s="130"/>
      <c r="R114" s="130"/>
      <c r="S114" s="130"/>
      <c r="T114" s="130"/>
      <c r="V114" s="130"/>
      <c r="W114" s="130"/>
    </row>
    <row r="115" spans="3:23" x14ac:dyDescent="0.25">
      <c r="C115" s="130"/>
      <c r="D115" s="130"/>
      <c r="H115" s="130"/>
      <c r="L115" s="130"/>
      <c r="P115" s="130"/>
      <c r="R115" s="130"/>
      <c r="S115" s="130"/>
      <c r="T115" s="130"/>
      <c r="V115" s="130"/>
      <c r="W115" s="130"/>
    </row>
    <row r="116" spans="3:23" x14ac:dyDescent="0.25">
      <c r="C116" s="130"/>
      <c r="D116" s="130"/>
      <c r="H116" s="130"/>
      <c r="L116" s="130"/>
      <c r="P116" s="130"/>
      <c r="R116" s="130"/>
      <c r="S116" s="130"/>
      <c r="T116" s="130"/>
      <c r="V116" s="130"/>
      <c r="W116" s="130"/>
    </row>
    <row r="117" spans="3:23" x14ac:dyDescent="0.25">
      <c r="C117" s="130"/>
      <c r="D117" s="130"/>
      <c r="H117" s="130"/>
      <c r="L117" s="130"/>
      <c r="P117" s="130"/>
      <c r="R117" s="130"/>
      <c r="S117" s="130"/>
      <c r="T117" s="130"/>
      <c r="V117" s="130"/>
      <c r="W117" s="130"/>
    </row>
    <row r="118" spans="3:23" x14ac:dyDescent="0.25">
      <c r="C118" s="130"/>
      <c r="D118" s="130"/>
      <c r="H118" s="130"/>
      <c r="L118" s="130"/>
      <c r="P118" s="130"/>
      <c r="R118" s="130"/>
      <c r="S118" s="130"/>
      <c r="T118" s="130"/>
      <c r="V118" s="130"/>
      <c r="W118" s="130"/>
    </row>
    <row r="119" spans="3:23" x14ac:dyDescent="0.25">
      <c r="C119" s="130"/>
      <c r="D119" s="130"/>
      <c r="H119" s="130"/>
      <c r="L119" s="130"/>
      <c r="P119" s="130"/>
      <c r="R119" s="130"/>
      <c r="S119" s="130"/>
      <c r="T119" s="130"/>
      <c r="V119" s="130"/>
      <c r="W119" s="130"/>
    </row>
    <row r="120" spans="3:23" x14ac:dyDescent="0.25">
      <c r="C120" s="130"/>
      <c r="D120" s="130"/>
      <c r="H120" s="130"/>
      <c r="L120" s="130"/>
      <c r="P120" s="130"/>
      <c r="R120" s="130"/>
      <c r="S120" s="130"/>
      <c r="T120" s="130"/>
      <c r="V120" s="130"/>
      <c r="W120" s="130"/>
    </row>
    <row r="121" spans="3:23" x14ac:dyDescent="0.25">
      <c r="C121" s="130"/>
      <c r="D121" s="130"/>
      <c r="H121" s="130"/>
      <c r="L121" s="130"/>
      <c r="P121" s="130"/>
      <c r="R121" s="130"/>
      <c r="S121" s="130"/>
      <c r="T121" s="130"/>
      <c r="V121" s="130"/>
      <c r="W121" s="130"/>
    </row>
    <row r="122" spans="3:23" x14ac:dyDescent="0.25">
      <c r="C122" s="130"/>
      <c r="D122" s="130"/>
      <c r="H122" s="130"/>
      <c r="L122" s="130"/>
      <c r="P122" s="130"/>
      <c r="R122" s="130"/>
      <c r="S122" s="130"/>
      <c r="T122" s="130"/>
      <c r="V122" s="130"/>
      <c r="W122" s="130"/>
    </row>
    <row r="123" spans="3:23" x14ac:dyDescent="0.25">
      <c r="C123" s="130"/>
      <c r="D123" s="130"/>
      <c r="H123" s="130"/>
      <c r="L123" s="130"/>
      <c r="P123" s="130"/>
      <c r="R123" s="130"/>
      <c r="S123" s="130"/>
      <c r="T123" s="130"/>
      <c r="V123" s="130"/>
      <c r="W123" s="130"/>
    </row>
    <row r="124" spans="3:23" x14ac:dyDescent="0.25">
      <c r="C124" s="130"/>
      <c r="D124" s="130"/>
      <c r="H124" s="130"/>
      <c r="L124" s="130"/>
      <c r="P124" s="130"/>
      <c r="R124" s="130"/>
      <c r="S124" s="130"/>
      <c r="T124" s="130"/>
      <c r="V124" s="130"/>
      <c r="W124" s="130"/>
    </row>
    <row r="125" spans="3:23" x14ac:dyDescent="0.25">
      <c r="C125" s="130"/>
      <c r="D125" s="130"/>
      <c r="H125" s="130"/>
      <c r="L125" s="130"/>
      <c r="P125" s="130"/>
      <c r="R125" s="130"/>
      <c r="S125" s="130"/>
      <c r="T125" s="130"/>
      <c r="V125" s="130"/>
      <c r="W125" s="130"/>
    </row>
    <row r="126" spans="3:23" x14ac:dyDescent="0.25">
      <c r="C126" s="130"/>
      <c r="D126" s="130"/>
      <c r="H126" s="130"/>
      <c r="L126" s="130"/>
      <c r="P126" s="130"/>
      <c r="R126" s="130"/>
      <c r="S126" s="130"/>
      <c r="T126" s="130"/>
      <c r="V126" s="130"/>
      <c r="W126" s="130"/>
    </row>
    <row r="127" spans="3:23" x14ac:dyDescent="0.25">
      <c r="C127" s="130"/>
      <c r="D127" s="130"/>
      <c r="H127" s="130"/>
      <c r="L127" s="130"/>
      <c r="P127" s="130"/>
      <c r="R127" s="130"/>
      <c r="S127" s="130"/>
      <c r="T127" s="130"/>
      <c r="V127" s="130"/>
      <c r="W127" s="130"/>
    </row>
    <row r="128" spans="3:23" x14ac:dyDescent="0.25">
      <c r="C128" s="130"/>
      <c r="D128" s="130"/>
      <c r="H128" s="130"/>
      <c r="L128" s="130"/>
      <c r="P128" s="130"/>
      <c r="R128" s="130"/>
      <c r="S128" s="130"/>
      <c r="T128" s="130"/>
      <c r="V128" s="130"/>
      <c r="W128" s="130"/>
    </row>
    <row r="129" spans="2:52" x14ac:dyDescent="0.25">
      <c r="C129" s="130"/>
      <c r="D129" s="130"/>
      <c r="H129" s="130"/>
      <c r="L129" s="130"/>
      <c r="P129" s="130"/>
      <c r="R129" s="130"/>
      <c r="S129" s="130"/>
      <c r="T129" s="130"/>
      <c r="V129" s="130"/>
      <c r="W129" s="130"/>
    </row>
    <row r="130" spans="2:52" x14ac:dyDescent="0.25">
      <c r="C130" s="130"/>
      <c r="D130" s="130"/>
      <c r="H130" s="130"/>
      <c r="L130" s="130"/>
      <c r="P130" s="130"/>
      <c r="R130" s="130"/>
      <c r="S130" s="130"/>
      <c r="T130" s="130"/>
      <c r="V130" s="130"/>
      <c r="W130" s="130"/>
    </row>
    <row r="131" spans="2:52" x14ac:dyDescent="0.25">
      <c r="C131" s="130"/>
      <c r="D131" s="130"/>
      <c r="H131" s="130"/>
      <c r="L131" s="130"/>
      <c r="P131" s="130"/>
      <c r="R131" s="130"/>
      <c r="S131" s="130"/>
      <c r="T131" s="130"/>
      <c r="V131" s="130"/>
      <c r="W131" s="130"/>
    </row>
    <row r="132" spans="2:52" x14ac:dyDescent="0.25">
      <c r="C132" s="130"/>
      <c r="D132" s="130"/>
      <c r="H132" s="130"/>
      <c r="L132" s="130"/>
      <c r="P132" s="130"/>
      <c r="R132" s="130"/>
      <c r="S132" s="130"/>
      <c r="T132" s="130"/>
      <c r="V132" s="130"/>
      <c r="W132" s="130"/>
    </row>
    <row r="133" spans="2:52" x14ac:dyDescent="0.25">
      <c r="C133" s="130"/>
      <c r="D133" s="130"/>
      <c r="H133" s="130"/>
      <c r="L133" s="130"/>
      <c r="P133" s="130"/>
      <c r="R133" s="130"/>
      <c r="S133" s="130"/>
      <c r="T133" s="130"/>
      <c r="V133" s="130"/>
      <c r="W133" s="130"/>
    </row>
    <row r="134" spans="2:52" x14ac:dyDescent="0.25">
      <c r="C134" s="130"/>
      <c r="D134" s="130"/>
      <c r="H134" s="130"/>
      <c r="L134" s="130"/>
      <c r="P134" s="130"/>
      <c r="R134" s="130"/>
      <c r="S134" s="130"/>
      <c r="T134" s="130"/>
      <c r="V134" s="130"/>
      <c r="W134" s="130"/>
    </row>
    <row r="135" spans="2:52" x14ac:dyDescent="0.25">
      <c r="C135" s="130"/>
      <c r="D135" s="130"/>
      <c r="H135" s="130"/>
      <c r="L135" s="130"/>
      <c r="P135" s="130"/>
      <c r="R135" s="130"/>
      <c r="S135" s="130"/>
      <c r="T135" s="130"/>
      <c r="V135" s="130"/>
      <c r="W135" s="130"/>
    </row>
    <row r="136" spans="2:52" x14ac:dyDescent="0.25">
      <c r="C136" s="130"/>
      <c r="D136" s="130"/>
      <c r="H136" s="130"/>
      <c r="L136" s="130"/>
      <c r="P136" s="130"/>
      <c r="R136" s="130"/>
      <c r="S136" s="130"/>
      <c r="T136" s="130"/>
      <c r="V136" s="130"/>
      <c r="W136" s="130"/>
    </row>
    <row r="137" spans="2:52" ht="15.75" x14ac:dyDescent="0.25">
      <c r="C137" s="149" t="s">
        <v>423</v>
      </c>
      <c r="D137" s="130"/>
      <c r="E137" s="130"/>
      <c r="F137" s="130"/>
      <c r="G137" s="130"/>
      <c r="H137" s="130"/>
      <c r="I137" s="130"/>
      <c r="J137" s="130"/>
      <c r="K137" s="130"/>
      <c r="L137" s="130"/>
      <c r="M137" s="130"/>
      <c r="N137" s="130"/>
      <c r="O137" s="130"/>
      <c r="P137" s="130"/>
      <c r="Q137" s="130"/>
      <c r="R137" s="130"/>
      <c r="T137" s="130"/>
      <c r="U137" s="130"/>
      <c r="V137" s="130"/>
      <c r="W137" s="130"/>
    </row>
    <row r="138" spans="2:52" s="252" customFormat="1" x14ac:dyDescent="0.25">
      <c r="B138" s="272"/>
      <c r="C138" s="273"/>
      <c r="D138" s="385" t="s">
        <v>448</v>
      </c>
      <c r="E138" s="385"/>
      <c r="F138" s="385"/>
      <c r="G138" s="294"/>
      <c r="H138" s="385" t="s">
        <v>269</v>
      </c>
      <c r="I138" s="385"/>
      <c r="J138" s="385"/>
      <c r="K138" s="294"/>
      <c r="L138" s="385" t="s">
        <v>270</v>
      </c>
      <c r="M138" s="385"/>
      <c r="N138" s="385"/>
      <c r="O138" s="294"/>
      <c r="P138" s="385" t="s">
        <v>271</v>
      </c>
      <c r="Q138" s="385"/>
      <c r="R138" s="385"/>
      <c r="T138" s="385" t="s">
        <v>272</v>
      </c>
      <c r="U138" s="385"/>
      <c r="V138" s="385"/>
      <c r="X138" s="385" t="s">
        <v>447</v>
      </c>
      <c r="Y138" s="385"/>
      <c r="Z138" s="385"/>
    </row>
    <row r="139" spans="2:52" s="276" customFormat="1" x14ac:dyDescent="0.25">
      <c r="B139" s="274"/>
      <c r="C139" s="275"/>
      <c r="D139" s="275" t="str">
        <f>IF($D$44="Yes","2021 VDO","")</f>
        <v/>
      </c>
      <c r="E139" s="275" t="s">
        <v>506</v>
      </c>
      <c r="F139" s="275" t="s">
        <v>809</v>
      </c>
      <c r="G139" s="275"/>
      <c r="H139" s="275" t="str">
        <f>IF($D$44="Yes","2021 VDO","")</f>
        <v/>
      </c>
      <c r="I139" s="275" t="s">
        <v>506</v>
      </c>
      <c r="J139" s="275" t="s">
        <v>809</v>
      </c>
      <c r="K139" s="275"/>
      <c r="L139" s="275" t="str">
        <f>IF($D$44="Yes","2021 VDO","")</f>
        <v/>
      </c>
      <c r="M139" s="275" t="s">
        <v>506</v>
      </c>
      <c r="N139" s="275" t="s">
        <v>809</v>
      </c>
      <c r="O139" s="275"/>
      <c r="P139" s="275" t="str">
        <f>IF($D$44="Yes","2021 VDO","")</f>
        <v/>
      </c>
      <c r="Q139" s="275" t="s">
        <v>506</v>
      </c>
      <c r="R139" s="275" t="s">
        <v>809</v>
      </c>
      <c r="T139" s="275" t="str">
        <f>IF($D$44="Yes","2021 VDO","")</f>
        <v/>
      </c>
      <c r="U139" s="275" t="s">
        <v>506</v>
      </c>
      <c r="V139" s="275" t="s">
        <v>809</v>
      </c>
      <c r="X139" s="275" t="str">
        <f>IF($D$44="Yes","2021 VDO","")</f>
        <v/>
      </c>
      <c r="Y139" s="275" t="s">
        <v>506</v>
      </c>
      <c r="Z139" s="275" t="s">
        <v>809</v>
      </c>
      <c r="AA139" s="275"/>
      <c r="AB139" s="275"/>
      <c r="AC139" s="275"/>
      <c r="AD139" s="275"/>
      <c r="AE139" s="275"/>
      <c r="AF139" s="275"/>
      <c r="AG139" s="275"/>
      <c r="AH139" s="275"/>
      <c r="AI139" s="275"/>
      <c r="AJ139" s="275"/>
      <c r="AK139" s="275"/>
      <c r="AL139" s="275"/>
      <c r="AM139" s="275"/>
      <c r="AN139" s="275"/>
      <c r="AO139" s="275"/>
      <c r="AP139" s="275"/>
      <c r="AQ139" s="275"/>
      <c r="AR139" s="275"/>
      <c r="AS139" s="275"/>
      <c r="AT139" s="275"/>
      <c r="AU139" s="275"/>
      <c r="AV139" s="275"/>
      <c r="AW139" s="275"/>
      <c r="AX139" s="275"/>
      <c r="AY139" s="275"/>
      <c r="AZ139" s="275"/>
    </row>
    <row r="140" spans="2:52" x14ac:dyDescent="0.25">
      <c r="C140" s="130" t="s">
        <v>712</v>
      </c>
      <c r="D140" s="279" t="str">
        <f>IF($D$44="Yes",1507,"")</f>
        <v/>
      </c>
      <c r="E140" s="279">
        <f>F9</f>
        <v>1300</v>
      </c>
      <c r="F140" s="279" t="e">
        <f>F17</f>
        <v>#N/A</v>
      </c>
      <c r="G140" s="279"/>
      <c r="H140" s="279" t="str">
        <f>IF($D$44="Yes",1270,"")</f>
        <v/>
      </c>
      <c r="I140" s="279">
        <f>G9</f>
        <v>1077</v>
      </c>
      <c r="J140" s="279" t="e">
        <f>G17</f>
        <v>#N/A</v>
      </c>
      <c r="K140" s="279"/>
      <c r="L140" s="279" t="str">
        <f>IF($D$44="Yes",1328,"")</f>
        <v/>
      </c>
      <c r="M140" s="279">
        <f>H9</f>
        <v>1129</v>
      </c>
      <c r="N140" s="279" t="e">
        <f>H17</f>
        <v>#N/A</v>
      </c>
      <c r="O140" s="279"/>
      <c r="P140" s="279" t="str">
        <f>IF($D$44="Yes",1368,"")</f>
        <v/>
      </c>
      <c r="Q140" s="279">
        <f>I9</f>
        <v>1143</v>
      </c>
      <c r="R140" s="279" t="e">
        <f>I17</f>
        <v>#N/A</v>
      </c>
      <c r="S140" s="261"/>
      <c r="T140" s="279" t="str">
        <f>IF($D$44="Yes",1319,"")</f>
        <v/>
      </c>
      <c r="U140" s="279">
        <f>J9</f>
        <v>1088</v>
      </c>
      <c r="V140" s="279" t="e">
        <f>J17</f>
        <v>#N/A</v>
      </c>
      <c r="W140" s="261"/>
      <c r="X140" s="279" t="str">
        <f>IF($D$44="Yes",1358,"")</f>
        <v/>
      </c>
      <c r="Y140" s="279">
        <f>K9</f>
        <v>1147.4000000000001</v>
      </c>
      <c r="Z140" s="279" t="e">
        <f>K17</f>
        <v>#N/A</v>
      </c>
      <c r="AA140" s="131"/>
      <c r="AB140" s="131"/>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row>
    <row r="141" spans="2:52" x14ac:dyDescent="0.25">
      <c r="C141" s="130"/>
      <c r="D141" s="279"/>
      <c r="E141" s="279" t="str">
        <f>IF($D$44="Yes",ABS(E140-D140),"")</f>
        <v/>
      </c>
      <c r="F141" s="279" t="e">
        <f>ABS(F140-E140)</f>
        <v>#N/A</v>
      </c>
      <c r="G141" s="279"/>
      <c r="H141" s="279"/>
      <c r="I141" s="279" t="str">
        <f>IF($D$44="Yes",ABS(I140-H140),"")</f>
        <v/>
      </c>
      <c r="J141" s="279" t="e">
        <f>ABS(J140-I140)</f>
        <v>#N/A</v>
      </c>
      <c r="K141" s="279"/>
      <c r="L141" s="279"/>
      <c r="M141" s="279" t="str">
        <f>IF($D$44="Yes",ABS(M140-L140),"")</f>
        <v/>
      </c>
      <c r="N141" s="279" t="e">
        <f>ABS(N140-M140)</f>
        <v>#N/A</v>
      </c>
      <c r="O141" s="279"/>
      <c r="P141" s="279"/>
      <c r="Q141" s="279" t="str">
        <f>IF($D$44="Yes",ABS(Q140-P140),"")</f>
        <v/>
      </c>
      <c r="R141" s="279" t="e">
        <f>ABS(R140-Q140)</f>
        <v>#N/A</v>
      </c>
      <c r="S141" s="261"/>
      <c r="T141" s="279"/>
      <c r="U141" s="279" t="str">
        <f>IF($D$44="Yes",ABS(U140-T140),"")</f>
        <v/>
      </c>
      <c r="V141" s="279" t="e">
        <f>ABS(V140-U140)</f>
        <v>#N/A</v>
      </c>
      <c r="W141" s="261"/>
      <c r="X141" s="279"/>
      <c r="Y141" s="279" t="str">
        <f>IF($D$44="Yes",ABS(Y140-X140),"")</f>
        <v/>
      </c>
      <c r="Z141" s="279" t="e">
        <f>ABS(Z140-Y140)</f>
        <v>#N/A</v>
      </c>
      <c r="AA141" s="132"/>
      <c r="AB141" s="132"/>
      <c r="AC141" s="132"/>
      <c r="AD141" s="132"/>
      <c r="AE141" s="132"/>
      <c r="AF141" s="132"/>
      <c r="AG141" s="132"/>
      <c r="AH141" s="132"/>
      <c r="AI141" s="132"/>
      <c r="AJ141" s="132"/>
      <c r="AK141" s="132"/>
      <c r="AL141" s="132"/>
      <c r="AM141" s="132"/>
      <c r="AN141" s="132"/>
      <c r="AO141" s="132"/>
      <c r="AP141" s="132"/>
      <c r="AQ141" s="132"/>
      <c r="AR141" s="132"/>
      <c r="AS141" s="132"/>
      <c r="AT141" s="132"/>
      <c r="AU141" s="132"/>
      <c r="AV141" s="132"/>
      <c r="AW141" s="132"/>
      <c r="AX141" s="132"/>
      <c r="AY141" s="132"/>
      <c r="AZ141" s="132"/>
    </row>
    <row r="142" spans="2:52" x14ac:dyDescent="0.25">
      <c r="C142" s="130"/>
      <c r="D142" s="279"/>
      <c r="E142" s="279" t="str">
        <f>IF($D$44="Yes",E140-D140,"")</f>
        <v/>
      </c>
      <c r="F142" s="279" t="e">
        <f>F140-E140</f>
        <v>#N/A</v>
      </c>
      <c r="G142" s="279"/>
      <c r="H142" s="279"/>
      <c r="I142" s="279" t="str">
        <f>IF($D$44="Yes",I140-H140,"")</f>
        <v/>
      </c>
      <c r="J142" s="279" t="e">
        <f>J140-I140</f>
        <v>#N/A</v>
      </c>
      <c r="K142" s="279"/>
      <c r="L142" s="279"/>
      <c r="M142" s="279" t="str">
        <f>IF($D$44="Yes",M140-L140,"")</f>
        <v/>
      </c>
      <c r="N142" s="279" t="e">
        <f>N140-M140</f>
        <v>#N/A</v>
      </c>
      <c r="O142" s="279"/>
      <c r="P142" s="279"/>
      <c r="Q142" s="279" t="str">
        <f>IF($D$44="Yes",Q140-P140,"")</f>
        <v/>
      </c>
      <c r="R142" s="279" t="e">
        <f>R140-Q140</f>
        <v>#N/A</v>
      </c>
      <c r="S142" s="261"/>
      <c r="T142" s="279"/>
      <c r="U142" s="279" t="str">
        <f>IF($D$44="Yes",U140-T140,"")</f>
        <v/>
      </c>
      <c r="V142" s="279" t="e">
        <f>V140-U140</f>
        <v>#N/A</v>
      </c>
      <c r="W142" s="261"/>
      <c r="X142" s="279"/>
      <c r="Y142" s="279" t="str">
        <f>IF($D$44="Yes",Y140-X140,"")</f>
        <v/>
      </c>
      <c r="Z142" s="279" t="e">
        <f>Z140-Y140</f>
        <v>#N/A</v>
      </c>
      <c r="AA142" s="133"/>
      <c r="AB142" s="133"/>
      <c r="AC142" s="133"/>
      <c r="AD142" s="133"/>
      <c r="AE142" s="133"/>
      <c r="AF142" s="133"/>
      <c r="AG142" s="133"/>
      <c r="AH142" s="133"/>
      <c r="AI142" s="133"/>
      <c r="AJ142" s="133"/>
      <c r="AK142" s="133"/>
      <c r="AL142" s="133"/>
      <c r="AM142" s="133"/>
      <c r="AN142" s="133"/>
      <c r="AO142" s="133"/>
      <c r="AP142" s="133"/>
      <c r="AQ142" s="133"/>
      <c r="AR142" s="133"/>
      <c r="AS142" s="133"/>
      <c r="AT142" s="133"/>
      <c r="AU142" s="133"/>
      <c r="AV142" s="133"/>
      <c r="AW142" s="133"/>
      <c r="AX142" s="133"/>
      <c r="AY142" s="133"/>
      <c r="AZ142" s="133"/>
    </row>
    <row r="143" spans="2:52" x14ac:dyDescent="0.25">
      <c r="C143" s="130" t="s">
        <v>713</v>
      </c>
      <c r="D143" s="279" t="str">
        <f>IF($D$44="Yes",6887,"")</f>
        <v/>
      </c>
      <c r="E143" s="279">
        <f>F10</f>
        <v>6768</v>
      </c>
      <c r="F143" s="279" t="e">
        <f>F18</f>
        <v>#N/A</v>
      </c>
      <c r="G143" s="279"/>
      <c r="H143" s="279" t="str">
        <f>IF($D$44="Yes",4931,"")</f>
        <v/>
      </c>
      <c r="I143" s="279">
        <f>G10</f>
        <v>4548</v>
      </c>
      <c r="J143" s="279" t="e">
        <f>G18</f>
        <v>#N/A</v>
      </c>
      <c r="K143" s="279"/>
      <c r="L143" s="279" t="str">
        <f>IF($D$44="Yes",5258,"")</f>
        <v/>
      </c>
      <c r="M143" s="279">
        <f>H10</f>
        <v>5139</v>
      </c>
      <c r="N143" s="279" t="e">
        <f>H18</f>
        <v>#N/A</v>
      </c>
      <c r="O143" s="279"/>
      <c r="P143" s="279" t="str">
        <f>IF($D$44="Yes",5095,"")</f>
        <v/>
      </c>
      <c r="Q143" s="279">
        <f>I10</f>
        <v>4787</v>
      </c>
      <c r="R143" s="279" t="e">
        <f>I18</f>
        <v>#N/A</v>
      </c>
      <c r="S143" s="261"/>
      <c r="T143" s="279" t="str">
        <f>IF($D$44="Yes",5270,"")</f>
        <v/>
      </c>
      <c r="U143" s="279">
        <f>J10</f>
        <v>4650</v>
      </c>
      <c r="V143" s="279" t="e">
        <f>J18</f>
        <v>#N/A</v>
      </c>
      <c r="W143" s="261"/>
      <c r="X143" s="279" t="str">
        <f>IF($D$44="Yes",5488,"")</f>
        <v/>
      </c>
      <c r="Y143" s="279">
        <f>K10</f>
        <v>5178.3999999999996</v>
      </c>
      <c r="Z143" s="279" t="e">
        <f>K18</f>
        <v>#N/A</v>
      </c>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row>
    <row r="144" spans="2:52" x14ac:dyDescent="0.25">
      <c r="C144" s="130"/>
      <c r="D144" s="279"/>
      <c r="E144" s="279" t="str">
        <f>IF($D$44="Yes",ABS(E143-D143),"")</f>
        <v/>
      </c>
      <c r="F144" s="279" t="e">
        <f>ABS(F143-E143)</f>
        <v>#N/A</v>
      </c>
      <c r="G144" s="279"/>
      <c r="H144" s="279"/>
      <c r="I144" s="279" t="str">
        <f>IF($D$44="Yes",ABS(I143-H143),"")</f>
        <v/>
      </c>
      <c r="J144" s="279" t="e">
        <f>ABS(J143-I143)</f>
        <v>#N/A</v>
      </c>
      <c r="K144" s="279"/>
      <c r="L144" s="279"/>
      <c r="M144" s="279" t="str">
        <f>IF($D$44="Yes",ABS(M143-L143),"")</f>
        <v/>
      </c>
      <c r="N144" s="279" t="e">
        <f>ABS(N143-M143)</f>
        <v>#N/A</v>
      </c>
      <c r="O144" s="279"/>
      <c r="P144" s="279"/>
      <c r="Q144" s="279" t="str">
        <f>IF($D$44="Yes",ABS(Q143-P143),"")</f>
        <v/>
      </c>
      <c r="R144" s="279" t="e">
        <f>ABS(R143-Q143)</f>
        <v>#N/A</v>
      </c>
      <c r="S144" s="261"/>
      <c r="T144" s="279"/>
      <c r="U144" s="279" t="str">
        <f>IF($D$44="Yes",ABS(U143-T143),"")</f>
        <v/>
      </c>
      <c r="V144" s="279" t="e">
        <f>ABS(V143-U143)</f>
        <v>#N/A</v>
      </c>
      <c r="W144" s="261"/>
      <c r="X144" s="279"/>
      <c r="Y144" s="279" t="str">
        <f>IF($D$44="Yes",ABS(Y143-X143),"")</f>
        <v/>
      </c>
      <c r="Z144" s="279" t="e">
        <f>ABS(Z143-Y143)</f>
        <v>#N/A</v>
      </c>
      <c r="AA144" s="132"/>
      <c r="AB144" s="132"/>
      <c r="AC144" s="132"/>
      <c r="AD144" s="132"/>
      <c r="AE144" s="132"/>
      <c r="AF144" s="132"/>
      <c r="AG144" s="132"/>
      <c r="AH144" s="132"/>
      <c r="AI144" s="132"/>
      <c r="AJ144" s="132"/>
      <c r="AK144" s="132"/>
      <c r="AL144" s="132"/>
      <c r="AM144" s="132"/>
      <c r="AN144" s="132"/>
      <c r="AO144" s="132"/>
      <c r="AP144" s="132"/>
      <c r="AQ144" s="132"/>
      <c r="AR144" s="132"/>
      <c r="AS144" s="132"/>
      <c r="AT144" s="132"/>
      <c r="AU144" s="132"/>
      <c r="AV144" s="132"/>
      <c r="AW144" s="132"/>
      <c r="AX144" s="132"/>
      <c r="AY144" s="132"/>
      <c r="AZ144" s="132"/>
    </row>
    <row r="145" spans="1:52" x14ac:dyDescent="0.25">
      <c r="C145" s="130"/>
      <c r="D145" s="279"/>
      <c r="E145" s="279" t="str">
        <f>IF($D$44="Yes",E143-D143,"")</f>
        <v/>
      </c>
      <c r="F145" s="279" t="e">
        <f>F143-E143</f>
        <v>#N/A</v>
      </c>
      <c r="G145" s="279"/>
      <c r="H145" s="279"/>
      <c r="I145" s="279" t="str">
        <f>IF($D$44="Yes",I143-H143,"")</f>
        <v/>
      </c>
      <c r="J145" s="279" t="e">
        <f>J143-I143</f>
        <v>#N/A</v>
      </c>
      <c r="K145" s="279"/>
      <c r="L145" s="279"/>
      <c r="M145" s="279" t="str">
        <f>IF($D$44="Yes",M143-L143,"")</f>
        <v/>
      </c>
      <c r="N145" s="279" t="e">
        <f>N143-M143</f>
        <v>#N/A</v>
      </c>
      <c r="O145" s="279"/>
      <c r="P145" s="279"/>
      <c r="Q145" s="279" t="str">
        <f>IF($D$44="Yes",Q143-P143,"")</f>
        <v/>
      </c>
      <c r="R145" s="279" t="e">
        <f>R143-Q143</f>
        <v>#N/A</v>
      </c>
      <c r="S145" s="261"/>
      <c r="T145" s="279"/>
      <c r="U145" s="279" t="str">
        <f>IF($D$44="Yes",U143-T143,"")</f>
        <v/>
      </c>
      <c r="V145" s="279" t="e">
        <f>V143-U143</f>
        <v>#N/A</v>
      </c>
      <c r="W145" s="261"/>
      <c r="X145" s="279"/>
      <c r="Y145" s="279" t="str">
        <f>IF($D$44="Yes",Y143-X143,"")</f>
        <v/>
      </c>
      <c r="Z145" s="279" t="e">
        <f>Z143-Y143</f>
        <v>#N/A</v>
      </c>
      <c r="AA145" s="133"/>
      <c r="AB145" s="133"/>
      <c r="AC145" s="133"/>
      <c r="AD145" s="133"/>
      <c r="AE145" s="133"/>
      <c r="AF145" s="133"/>
      <c r="AG145" s="133"/>
      <c r="AH145" s="133"/>
      <c r="AI145" s="133"/>
      <c r="AJ145" s="133"/>
      <c r="AK145" s="133"/>
      <c r="AL145" s="133"/>
      <c r="AM145" s="133"/>
      <c r="AN145" s="133"/>
      <c r="AO145" s="133"/>
      <c r="AP145" s="133"/>
      <c r="AQ145" s="133"/>
      <c r="AR145" s="133"/>
      <c r="AS145" s="133"/>
      <c r="AT145" s="133"/>
      <c r="AU145" s="133"/>
      <c r="AV145" s="133"/>
      <c r="AW145" s="133"/>
      <c r="AX145" s="133"/>
      <c r="AY145" s="133"/>
      <c r="AZ145" s="133"/>
    </row>
    <row r="146" spans="1:52" x14ac:dyDescent="0.25">
      <c r="C146" s="130" t="s">
        <v>714</v>
      </c>
      <c r="D146" s="279" t="str">
        <f>D140</f>
        <v/>
      </c>
      <c r="E146" s="279">
        <f>F11</f>
        <v>1223</v>
      </c>
      <c r="F146" s="279" t="e">
        <f>F19</f>
        <v>#N/A</v>
      </c>
      <c r="G146" s="279"/>
      <c r="H146" s="279" t="str">
        <f>H140</f>
        <v/>
      </c>
      <c r="I146" s="279">
        <f>G11</f>
        <v>1072</v>
      </c>
      <c r="J146" s="279" t="e">
        <f>G19</f>
        <v>#N/A</v>
      </c>
      <c r="K146" s="279"/>
      <c r="L146" s="279" t="str">
        <f>L140</f>
        <v/>
      </c>
      <c r="M146" s="279">
        <f>H11</f>
        <v>1053</v>
      </c>
      <c r="N146" s="279" t="e">
        <f>H19</f>
        <v>#N/A</v>
      </c>
      <c r="O146" s="279"/>
      <c r="P146" s="279" t="str">
        <f>P140</f>
        <v/>
      </c>
      <c r="Q146" s="279">
        <f>I11</f>
        <v>1130</v>
      </c>
      <c r="R146" s="279" t="e">
        <f>I19</f>
        <v>#N/A</v>
      </c>
      <c r="S146" s="261"/>
      <c r="T146" s="279" t="str">
        <f>T140</f>
        <v/>
      </c>
      <c r="U146" s="279">
        <f>J11</f>
        <v>1082</v>
      </c>
      <c r="V146" s="279" t="e">
        <f>J19</f>
        <v>#N/A</v>
      </c>
      <c r="W146" s="261"/>
      <c r="X146" s="279" t="str">
        <f>X140</f>
        <v/>
      </c>
      <c r="Y146" s="279">
        <f>K11</f>
        <v>1112</v>
      </c>
      <c r="Z146" s="279" t="e">
        <f>K19</f>
        <v>#N/A</v>
      </c>
    </row>
    <row r="147" spans="1:52" x14ac:dyDescent="0.25">
      <c r="C147" s="130"/>
      <c r="D147" s="279"/>
      <c r="E147" s="279" t="str">
        <f>IF($D$44="Yes",ABS(E146-D146),"")</f>
        <v/>
      </c>
      <c r="F147" s="279" t="e">
        <f>ABS(F146-E146)</f>
        <v>#N/A</v>
      </c>
      <c r="G147" s="279"/>
      <c r="H147" s="279"/>
      <c r="I147" s="279" t="str">
        <f>IF($D$44="Yes",ABS(I146-H146),"")</f>
        <v/>
      </c>
      <c r="J147" s="279" t="e">
        <f>ABS(J146-I146)</f>
        <v>#N/A</v>
      </c>
      <c r="K147" s="279"/>
      <c r="L147" s="279"/>
      <c r="M147" s="279" t="str">
        <f>IF($D$44="Yes",ABS(M146-L146),"")</f>
        <v/>
      </c>
      <c r="N147" s="279" t="e">
        <f>ABS(N146-M146)</f>
        <v>#N/A</v>
      </c>
      <c r="O147" s="279"/>
      <c r="P147" s="279"/>
      <c r="Q147" s="279" t="str">
        <f>IF($D$44="Yes",ABS(Q146-P146),"")</f>
        <v/>
      </c>
      <c r="R147" s="279" t="e">
        <f>ABS(R146-Q146)</f>
        <v>#N/A</v>
      </c>
      <c r="S147" s="261"/>
      <c r="T147" s="279"/>
      <c r="U147" s="279" t="str">
        <f>IF($D$44="Yes",ABS(U146-T146),"")</f>
        <v/>
      </c>
      <c r="V147" s="279" t="e">
        <f>ABS(V146-U146)</f>
        <v>#N/A</v>
      </c>
      <c r="W147" s="261"/>
      <c r="X147" s="279"/>
      <c r="Y147" s="279" t="str">
        <f>IF($D$44="Yes",ABS(Y146-X146),"")</f>
        <v/>
      </c>
      <c r="Z147" s="279" t="e">
        <f>ABS(Z146-Y146)</f>
        <v>#N/A</v>
      </c>
    </row>
    <row r="148" spans="1:52" x14ac:dyDescent="0.25">
      <c r="C148" s="130"/>
      <c r="D148" s="279"/>
      <c r="E148" s="279" t="str">
        <f>IF($D$44="Yes",E146-D146,"")</f>
        <v/>
      </c>
      <c r="F148" s="279" t="e">
        <f>F146-E146</f>
        <v>#N/A</v>
      </c>
      <c r="G148" s="279"/>
      <c r="H148" s="279"/>
      <c r="I148" s="279" t="str">
        <f>IF($D$44="Yes",I146-H146,"")</f>
        <v/>
      </c>
      <c r="J148" s="279" t="e">
        <f>J146-I146</f>
        <v>#N/A</v>
      </c>
      <c r="K148" s="279"/>
      <c r="L148" s="279"/>
      <c r="M148" s="279" t="str">
        <f>IF($D$44="Yes",M146-L146,"")</f>
        <v/>
      </c>
      <c r="N148" s="279" t="e">
        <f>N146-M146</f>
        <v>#N/A</v>
      </c>
      <c r="O148" s="279"/>
      <c r="P148" s="279"/>
      <c r="Q148" s="279" t="str">
        <f>IF($D$44="Yes",Q146-P146,"")</f>
        <v/>
      </c>
      <c r="R148" s="279" t="e">
        <f>R146-Q146</f>
        <v>#N/A</v>
      </c>
      <c r="S148" s="261"/>
      <c r="T148" s="279"/>
      <c r="U148" s="279" t="str">
        <f>IF($D$44="Yes",U146-T146,"")</f>
        <v/>
      </c>
      <c r="V148" s="279" t="e">
        <f>V146-U146</f>
        <v>#N/A</v>
      </c>
      <c r="W148" s="261"/>
      <c r="X148" s="279"/>
      <c r="Y148" s="279" t="str">
        <f>IF($D$44="Yes",Y146-X146,"")</f>
        <v/>
      </c>
      <c r="Z148" s="279" t="e">
        <f>Z146-Y146</f>
        <v>#N/A</v>
      </c>
    </row>
    <row r="149" spans="1:52" x14ac:dyDescent="0.25">
      <c r="C149" s="130" t="s">
        <v>713</v>
      </c>
      <c r="D149" s="279" t="str">
        <f>D143</f>
        <v/>
      </c>
      <c r="E149" s="279">
        <f>F12</f>
        <v>5145</v>
      </c>
      <c r="F149" s="279" t="e">
        <f>F20</f>
        <v>#N/A</v>
      </c>
      <c r="G149" s="279"/>
      <c r="H149" s="279" t="str">
        <f>H143</f>
        <v/>
      </c>
      <c r="I149" s="279">
        <f>G12</f>
        <v>4464</v>
      </c>
      <c r="J149" s="279" t="e">
        <f>G20</f>
        <v>#N/A</v>
      </c>
      <c r="K149" s="279"/>
      <c r="L149" s="279" t="str">
        <f>L143</f>
        <v/>
      </c>
      <c r="M149" s="279">
        <f>H12</f>
        <v>4643</v>
      </c>
      <c r="N149" s="279" t="e">
        <f>H20</f>
        <v>#N/A</v>
      </c>
      <c r="O149" s="279"/>
      <c r="P149" s="279" t="str">
        <f>P143</f>
        <v/>
      </c>
      <c r="Q149" s="279">
        <f>I12</f>
        <v>4697</v>
      </c>
      <c r="R149" s="279" t="e">
        <f>I20</f>
        <v>#N/A</v>
      </c>
      <c r="S149" s="261"/>
      <c r="T149" s="279" t="str">
        <f>T143</f>
        <v/>
      </c>
      <c r="U149" s="279">
        <f>J12</f>
        <v>4567</v>
      </c>
      <c r="V149" s="279" t="e">
        <f>J20</f>
        <v>#N/A</v>
      </c>
      <c r="W149" s="261"/>
      <c r="X149" s="279"/>
      <c r="Y149" s="279">
        <f>K12</f>
        <v>4703.2</v>
      </c>
      <c r="Z149" s="279" t="e">
        <f>K20</f>
        <v>#N/A</v>
      </c>
    </row>
    <row r="150" spans="1:52" x14ac:dyDescent="0.25">
      <c r="C150" s="130"/>
      <c r="D150" s="279"/>
      <c r="E150" s="279" t="str">
        <f>IF($D$44="Yes",ABS(E149-D149),"")</f>
        <v/>
      </c>
      <c r="F150" s="279" t="e">
        <f>ABS(F149-E149)</f>
        <v>#N/A</v>
      </c>
      <c r="G150" s="279"/>
      <c r="H150" s="279"/>
      <c r="I150" s="279" t="str">
        <f>IF($D$44="Yes",ABS(I149-H149),"")</f>
        <v/>
      </c>
      <c r="J150" s="279" t="e">
        <f>ABS(J149-I149)</f>
        <v>#N/A</v>
      </c>
      <c r="K150" s="279"/>
      <c r="L150" s="279"/>
      <c r="M150" s="279" t="str">
        <f>IF($D$44="Yes",ABS(M149-L149),"")</f>
        <v/>
      </c>
      <c r="N150" s="279" t="e">
        <f>ABS(N149-M149)</f>
        <v>#N/A</v>
      </c>
      <c r="O150" s="279"/>
      <c r="P150" s="279"/>
      <c r="Q150" s="279" t="str">
        <f>IF($D$44="Yes",ABS(Q149-P149),"")</f>
        <v/>
      </c>
      <c r="R150" s="279" t="e">
        <f>ABS(R149-Q149)</f>
        <v>#N/A</v>
      </c>
      <c r="S150" s="261"/>
      <c r="T150" s="279"/>
      <c r="U150" s="279" t="str">
        <f>IF($D$44="Yes",ABS(U149-T149),"")</f>
        <v/>
      </c>
      <c r="V150" s="279" t="e">
        <f>ABS(V149-U149)</f>
        <v>#N/A</v>
      </c>
      <c r="W150" s="261"/>
      <c r="X150" s="279"/>
      <c r="Y150" s="279" t="str">
        <f>IF($D$44="Yes",ABS(Y149-X149),"")</f>
        <v/>
      </c>
      <c r="Z150" s="279" t="e">
        <f>ABS(Z149-Y149)</f>
        <v>#N/A</v>
      </c>
    </row>
    <row r="151" spans="1:52" x14ac:dyDescent="0.25">
      <c r="C151" s="130"/>
      <c r="D151" s="279"/>
      <c r="E151" s="279" t="str">
        <f>IF($D$44="Yes",E149-D149,"")</f>
        <v/>
      </c>
      <c r="F151" s="279" t="e">
        <f>F149-E149</f>
        <v>#N/A</v>
      </c>
      <c r="G151" s="279"/>
      <c r="H151" s="279"/>
      <c r="I151" s="279" t="str">
        <f>IF($D$44="Yes",I149-H149,"")</f>
        <v/>
      </c>
      <c r="J151" s="279" t="e">
        <f>J149-I149</f>
        <v>#N/A</v>
      </c>
      <c r="K151" s="279"/>
      <c r="L151" s="279"/>
      <c r="M151" s="279" t="str">
        <f>IF($D$44="Yes",M149-L149,"")</f>
        <v/>
      </c>
      <c r="N151" s="279" t="e">
        <f>N149-M149</f>
        <v>#N/A</v>
      </c>
      <c r="O151" s="279"/>
      <c r="P151" s="279"/>
      <c r="Q151" s="279" t="str">
        <f>IF($D$44="Yes",Q149-P149,"")</f>
        <v/>
      </c>
      <c r="R151" s="279" t="e">
        <f>R149-Q149</f>
        <v>#N/A</v>
      </c>
      <c r="S151" s="261"/>
      <c r="T151" s="279"/>
      <c r="U151" s="279" t="str">
        <f>IF($D$44="Yes",U149-T149,"")</f>
        <v/>
      </c>
      <c r="V151" s="279" t="e">
        <f>V149-U149</f>
        <v>#N/A</v>
      </c>
      <c r="W151" s="261"/>
      <c r="X151" s="279"/>
      <c r="Y151" s="279" t="str">
        <f>IF($D$44="Yes",Y149-X149,"")</f>
        <v/>
      </c>
      <c r="Z151" s="279" t="e">
        <f>Z149-Y149</f>
        <v>#N/A</v>
      </c>
    </row>
    <row r="152" spans="1:52" x14ac:dyDescent="0.25">
      <c r="C152" s="130"/>
      <c r="D152" s="386" t="s">
        <v>745</v>
      </c>
      <c r="E152" s="386"/>
      <c r="F152" s="386"/>
      <c r="G152" s="386"/>
      <c r="H152" s="386" t="s">
        <v>746</v>
      </c>
      <c r="I152" s="386"/>
      <c r="J152" s="386"/>
      <c r="K152" s="386"/>
      <c r="L152" s="386" t="s">
        <v>747</v>
      </c>
      <c r="M152" s="386"/>
      <c r="N152" s="386"/>
      <c r="O152" s="386"/>
      <c r="P152" s="386" t="s">
        <v>687</v>
      </c>
      <c r="Q152" s="386"/>
      <c r="R152" s="386"/>
      <c r="S152" s="386"/>
      <c r="T152" s="261"/>
      <c r="U152" s="279"/>
      <c r="V152" s="279"/>
      <c r="W152" s="279"/>
      <c r="X152" s="261"/>
      <c r="Y152" s="279"/>
      <c r="Z152" s="279"/>
      <c r="AA152" s="279"/>
    </row>
    <row r="153" spans="1:52" x14ac:dyDescent="0.25">
      <c r="C153" s="130"/>
      <c r="D153" s="279"/>
      <c r="E153" s="275" t="s">
        <v>506</v>
      </c>
      <c r="F153" s="275" t="s">
        <v>809</v>
      </c>
      <c r="G153" s="275"/>
      <c r="H153" s="279"/>
      <c r="I153" s="275" t="s">
        <v>506</v>
      </c>
      <c r="J153" s="275" t="s">
        <v>809</v>
      </c>
      <c r="K153" s="275" t="s">
        <v>692</v>
      </c>
      <c r="L153" s="279"/>
      <c r="M153" s="275" t="s">
        <v>506</v>
      </c>
      <c r="N153" s="275" t="s">
        <v>809</v>
      </c>
      <c r="O153" s="275"/>
      <c r="P153" s="279"/>
      <c r="Q153" s="275" t="s">
        <v>506</v>
      </c>
      <c r="R153" s="275" t="s">
        <v>809</v>
      </c>
      <c r="S153" s="275" t="s">
        <v>692</v>
      </c>
      <c r="T153" s="261"/>
      <c r="U153" s="279"/>
      <c r="V153" s="279"/>
      <c r="W153" s="279"/>
      <c r="X153" s="261"/>
      <c r="Y153" s="279"/>
      <c r="Z153" s="279"/>
      <c r="AA153" s="279"/>
    </row>
    <row r="154" spans="1:52" x14ac:dyDescent="0.25">
      <c r="C154" s="130" t="s">
        <v>810</v>
      </c>
      <c r="D154" s="279"/>
      <c r="E154" s="279">
        <f>Y140</f>
        <v>1147.4000000000001</v>
      </c>
      <c r="F154" s="279" t="e">
        <f>Z140</f>
        <v>#N/A</v>
      </c>
      <c r="G154" s="279"/>
      <c r="H154" s="279"/>
      <c r="I154" s="279">
        <f>Y146</f>
        <v>1112</v>
      </c>
      <c r="J154" s="279" t="e">
        <f>Z146</f>
        <v>#N/A</v>
      </c>
      <c r="K154" s="279"/>
      <c r="L154" s="279"/>
      <c r="M154" s="279">
        <f>Y143</f>
        <v>5178.3999999999996</v>
      </c>
      <c r="N154" s="279" t="e">
        <f>Z143</f>
        <v>#N/A</v>
      </c>
      <c r="O154" s="279"/>
      <c r="P154" s="279"/>
      <c r="Q154" s="279">
        <f>Y149</f>
        <v>4703.2</v>
      </c>
      <c r="R154" s="279" t="e">
        <f>Z149</f>
        <v>#N/A</v>
      </c>
      <c r="S154" s="279"/>
      <c r="T154" s="261"/>
      <c r="U154" s="279"/>
      <c r="V154" s="279"/>
      <c r="W154" s="279"/>
      <c r="X154" s="261"/>
      <c r="Y154" s="279"/>
      <c r="Z154" s="279"/>
      <c r="AA154" s="279"/>
    </row>
    <row r="155" spans="1:52" x14ac:dyDescent="0.25">
      <c r="C155" s="130" t="s">
        <v>811</v>
      </c>
      <c r="D155" s="279"/>
      <c r="E155" s="279"/>
      <c r="F155" s="279" t="e">
        <f>ABS(F154-E154)</f>
        <v>#N/A</v>
      </c>
      <c r="G155" s="279"/>
      <c r="H155" s="279"/>
      <c r="I155" s="279"/>
      <c r="J155" s="279" t="e">
        <f>ABS(J154-I154)</f>
        <v>#N/A</v>
      </c>
      <c r="K155" s="279"/>
      <c r="L155" s="279"/>
      <c r="M155" s="279"/>
      <c r="N155" s="279" t="e">
        <f>ABS(N154-M154)</f>
        <v>#N/A</v>
      </c>
      <c r="O155" s="279"/>
      <c r="P155" s="279"/>
      <c r="Q155" s="279"/>
      <c r="R155" s="279" t="e">
        <f>ABS(R154-Q154)</f>
        <v>#N/A</v>
      </c>
      <c r="S155" s="279"/>
      <c r="T155" s="261"/>
      <c r="U155" s="279"/>
      <c r="V155" s="279"/>
      <c r="W155" s="279"/>
      <c r="X155" s="261"/>
      <c r="Y155" s="279"/>
      <c r="Z155" s="279"/>
      <c r="AA155" s="279"/>
    </row>
    <row r="156" spans="1:52" x14ac:dyDescent="0.25">
      <c r="C156" s="130"/>
      <c r="D156" s="279"/>
      <c r="E156" s="279"/>
      <c r="F156" s="279" t="e">
        <f>F154-E154</f>
        <v>#N/A</v>
      </c>
      <c r="G156" s="279"/>
      <c r="H156" s="279"/>
      <c r="I156" s="279"/>
      <c r="J156" s="279" t="e">
        <f>J154-I154</f>
        <v>#N/A</v>
      </c>
      <c r="K156" s="279"/>
      <c r="L156" s="279"/>
      <c r="M156" s="279"/>
      <c r="N156" s="279" t="e">
        <f>N154-M154</f>
        <v>#N/A</v>
      </c>
      <c r="O156" s="279"/>
      <c r="P156" s="279"/>
      <c r="Q156" s="279"/>
      <c r="R156" s="279" t="e">
        <f>R154-Q154</f>
        <v>#N/A</v>
      </c>
      <c r="S156" s="279"/>
      <c r="T156" s="261"/>
      <c r="U156" s="279"/>
      <c r="V156" s="279"/>
      <c r="W156" s="279"/>
      <c r="X156" s="261"/>
      <c r="Y156" s="279"/>
      <c r="Z156" s="279"/>
      <c r="AA156" s="279"/>
    </row>
    <row r="157" spans="1:52" x14ac:dyDescent="0.25">
      <c r="C157" s="130"/>
      <c r="D157" s="279"/>
      <c r="E157" s="279"/>
      <c r="F157" s="279"/>
      <c r="G157" s="279"/>
      <c r="H157" s="279"/>
      <c r="I157" s="279"/>
      <c r="J157" s="279"/>
      <c r="K157" s="279"/>
      <c r="L157" s="279"/>
      <c r="M157" s="279"/>
      <c r="N157" s="279"/>
      <c r="O157" s="279"/>
      <c r="P157" s="279"/>
      <c r="Q157" s="279"/>
      <c r="R157" s="279"/>
      <c r="S157" s="261"/>
      <c r="T157" s="279"/>
      <c r="U157" s="279"/>
      <c r="V157" s="279"/>
      <c r="W157" s="261"/>
      <c r="X157" s="279"/>
      <c r="Y157" s="279"/>
      <c r="Z157" s="279"/>
    </row>
    <row r="158" spans="1:52" x14ac:dyDescent="0.25">
      <c r="C158" s="130"/>
      <c r="D158" s="279"/>
      <c r="E158" s="279"/>
      <c r="F158" s="279"/>
      <c r="G158" s="279"/>
      <c r="H158" s="279"/>
      <c r="I158" s="279"/>
      <c r="J158" s="279"/>
      <c r="K158" s="279"/>
      <c r="L158" s="279"/>
      <c r="M158" s="279"/>
      <c r="N158" s="279"/>
      <c r="O158" s="279"/>
      <c r="P158" s="279"/>
      <c r="Q158" s="279"/>
      <c r="R158" s="279"/>
      <c r="S158" s="261"/>
      <c r="T158" s="279"/>
      <c r="U158" s="279"/>
      <c r="V158" s="279"/>
      <c r="W158" s="261"/>
      <c r="X158" s="279"/>
      <c r="Y158" s="279"/>
      <c r="Z158" s="279"/>
    </row>
    <row r="159" spans="1:52" ht="16.5" thickBot="1" x14ac:dyDescent="0.3">
      <c r="A159" s="1" t="s">
        <v>23</v>
      </c>
      <c r="B159" s="9">
        <f ca="1">MAX(B$3:B80)+0.1</f>
        <v>28.300000000000004</v>
      </c>
      <c r="C159" s="28" t="s">
        <v>715</v>
      </c>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row>
    <row r="160" spans="1:52" x14ac:dyDescent="0.25">
      <c r="C160" s="273"/>
      <c r="D160" s="130"/>
      <c r="E160" s="130"/>
      <c r="F160" s="130"/>
      <c r="G160" s="130"/>
      <c r="H160" s="130"/>
      <c r="I160" s="130"/>
      <c r="J160" s="130"/>
      <c r="K160" s="130"/>
      <c r="L160" s="130"/>
      <c r="M160" s="130"/>
      <c r="N160" s="130"/>
      <c r="O160" s="130"/>
      <c r="P160" s="130"/>
      <c r="Q160" s="130"/>
      <c r="R160" s="130"/>
      <c r="S160" s="130"/>
      <c r="T160" s="130"/>
      <c r="U160" s="130"/>
      <c r="V160" s="130"/>
      <c r="W160" s="130"/>
    </row>
    <row r="161" spans="3:23" ht="15.75" x14ac:dyDescent="0.25">
      <c r="C161" s="29" t="s">
        <v>695</v>
      </c>
      <c r="D161" s="130"/>
      <c r="E161" s="130"/>
      <c r="F161" s="130"/>
      <c r="G161" s="130"/>
      <c r="H161" s="130"/>
      <c r="I161" s="130"/>
      <c r="J161" s="130"/>
      <c r="K161" s="130"/>
      <c r="L161" s="130"/>
      <c r="M161" s="130"/>
      <c r="N161" s="130"/>
      <c r="O161" s="130"/>
      <c r="P161" s="130"/>
      <c r="Q161" s="130"/>
      <c r="R161" s="130"/>
      <c r="S161" s="130"/>
      <c r="T161" s="130"/>
      <c r="U161" s="130"/>
      <c r="V161" s="130"/>
      <c r="W161" s="130"/>
    </row>
    <row r="162" spans="3:23" ht="15.75" x14ac:dyDescent="0.25">
      <c r="C162" s="277" t="s">
        <v>331</v>
      </c>
      <c r="D162" s="277" t="s">
        <v>103</v>
      </c>
      <c r="E162" s="277" t="s">
        <v>587</v>
      </c>
      <c r="F162" s="277" t="s">
        <v>520</v>
      </c>
      <c r="G162" s="277" t="s">
        <v>91</v>
      </c>
      <c r="H162" s="277" t="s">
        <v>454</v>
      </c>
      <c r="I162" s="60" t="s">
        <v>268</v>
      </c>
      <c r="J162" s="60" t="s">
        <v>269</v>
      </c>
      <c r="K162" s="60" t="s">
        <v>270</v>
      </c>
      <c r="L162" s="60" t="s">
        <v>271</v>
      </c>
      <c r="M162" s="60" t="s">
        <v>272</v>
      </c>
      <c r="N162" s="278" t="s">
        <v>692</v>
      </c>
      <c r="O162" s="60" t="s">
        <v>693</v>
      </c>
      <c r="P162" s="60" t="s">
        <v>694</v>
      </c>
    </row>
    <row r="163" spans="3:23" x14ac:dyDescent="0.25">
      <c r="C163" s="23" t="s">
        <v>550</v>
      </c>
      <c r="D163" s="23" t="s">
        <v>109</v>
      </c>
      <c r="E163" s="23" t="s">
        <v>410</v>
      </c>
      <c r="F163" s="23" t="s">
        <v>750</v>
      </c>
      <c r="G163" s="23" t="s">
        <v>92</v>
      </c>
      <c r="H163" s="23" t="s">
        <v>556</v>
      </c>
      <c r="I163" s="209">
        <f>IF($E163="VDO 2021 - Variation Final",
IF($G163="Residential",
INDEX(OP_TotalRates_RES_1[#Data],MATCH($C163,OP_TotalRates_RES_1[Rate name],0),MATCH(I$162,OP_TotalRates_RES_1[#Headers],0)),
INDEX(OP_TotalRates_SME_1[#Data],MATCH($C163,OP_TotalRates_SME_1[Rate name],0),MATCH(I$162,OP_TotalRates_SME_1[#Headers],0))),
IF($G163="Residential",
IF($F163="Calculated",
INDEX(OP_Rates_RES_2[#Data],MATCH($C163,OP_Rates_RES_2[Rate name],0),MATCH(I$162,OP_Rates_RES_2[#Headers],0)),
INDEX(OP_RatesTU_RES_2[#Data],MATCH($C163,OP_RatesTU_RES_2[Rate name],0),MATCH(I$162,OP_RatesTU_RES_2[#Headers],0))),
IF($F163="Calculated",
INDEX(OP_Rates_SME_2[#Data],MATCH($C163,OP_Rates_SME_2[Rate name],0),MATCH(I$162,OP_Rates_SME_2[#Headers])),
INDEX(OP_RatesTU_SME_2[#Data],MATCH($C163,OP_RatesTU_SME_2[Rate name],0),MATCH(I$162,OP_RatesTU_SME_2[#Headers],0)))))</f>
        <v>1.2310000000000001</v>
      </c>
      <c r="J163" s="209">
        <f>IF($E163="VDO 2021 - Variation Final",
IF($G163="Residential",
INDEX(OP_TotalRates_RES_1[#Data],MATCH($C163,OP_TotalRates_RES_1[Rate name],0),MATCH(J$162,OP_TotalRates_RES_1[#Headers],0)),
INDEX(OP_TotalRates_SME_1[#Data],MATCH($C163,OP_TotalRates_SME_1[Rate name],0),MATCH(J$162,OP_TotalRates_SME_1[#Headers],0))),
IF($G163="Residential",
IF($F163="Calculated",
INDEX(OP_Rates_RES_2[#Data],MATCH($C163,OP_Rates_RES_2[Rate name],0),MATCH(J$162,OP_Rates_RES_2[#Headers],0)),
INDEX(OP_RatesTU_RES_2[#Data],MATCH($C163,OP_RatesTU_RES_2[Rate name],0),MATCH(J$162,OP_RatesTU_RES_2[#Headers],0))),
IF($F163="Calculated",
INDEX(OP_Rates_SME_2[#Data],MATCH($C163,OP_Rates_SME_2[Rate name],0),MATCH(J$162,OP_Rates_SME_2[#Headers])),
INDEX(OP_RatesTU_SME_2[#Data],MATCH($C163,OP_RatesTU_SME_2[Rate name],0),MATCH(J$162,OP_RatesTU_SME_2[#Headers],0)))))</f>
        <v>1.1303000000000001</v>
      </c>
      <c r="K163" s="209">
        <f>IF($E163="VDO 2021 - Variation Final",
IF($G163="Residential",
INDEX(OP_TotalRates_RES_1[#Data],MATCH($C163,OP_TotalRates_RES_1[Rate name],0),MATCH(K$162,OP_TotalRates_RES_1[#Headers],0)),
INDEX(OP_TotalRates_SME_1[#Data],MATCH($C163,OP_TotalRates_SME_1[Rate name],0),MATCH(K$162,OP_TotalRates_SME_1[#Headers],0))),
IF($G163="Residential",
IF($F163="Calculated",
INDEX(OP_Rates_RES_2[#Data],MATCH($C163,OP_Rates_RES_2[Rate name],0),MATCH(K$162,OP_Rates_RES_2[#Headers],0)),
INDEX(OP_RatesTU_RES_2[#Data],MATCH($C163,OP_RatesTU_RES_2[Rate name],0),MATCH(K$162,OP_RatesTU_RES_2[#Headers],0))),
IF($F163="Calculated",
INDEX(OP_Rates_SME_2[#Data],MATCH($C163,OP_Rates_SME_2[Rate name],0),MATCH(K$162,OP_Rates_SME_2[#Headers])),
INDEX(OP_RatesTU_SME_2[#Data],MATCH($C163,OP_RatesTU_SME_2[Rate name],0),MATCH(K$162,OP_RatesTU_SME_2[#Headers],0)))))</f>
        <v>1.0840000000000001</v>
      </c>
      <c r="L163" s="209">
        <f>IF($E163="VDO 2021 - Variation Final",
IF($G163="Residential",
INDEX(OP_TotalRates_RES_1[#Data],MATCH($C163,OP_TotalRates_RES_1[Rate name],0),MATCH(L$162,OP_TotalRates_RES_1[#Headers],0)),
INDEX(OP_TotalRates_SME_1[#Data],MATCH($C163,OP_TotalRates_SME_1[Rate name],0),MATCH(L$162,OP_TotalRates_SME_1[#Headers],0))),
IF($G163="Residential",
IF($F163="Calculated",
INDEX(OP_Rates_RES_2[#Data],MATCH($C163,OP_Rates_RES_2[Rate name],0),MATCH(L$162,OP_Rates_RES_2[#Headers],0)),
INDEX(OP_RatesTU_RES_2[#Data],MATCH($C163,OP_RatesTU_RES_2[Rate name],0),MATCH(L$162,OP_RatesTU_RES_2[#Headers],0))),
IF($F163="Calculated",
INDEX(OP_Rates_SME_2[#Data],MATCH($C163,OP_Rates_SME_2[Rate name],0),MATCH(L$162,OP_Rates_SME_2[#Headers])),
INDEX(OP_RatesTU_SME_2[#Data],MATCH($C163,OP_RatesTU_SME_2[Rate name],0),MATCH(L$162,OP_RatesTU_SME_2[#Headers],0)))))</f>
        <v>1.2801</v>
      </c>
      <c r="M163" s="209">
        <f>IF($E163="VDO 2021 - Variation Final",
IF($G163="Residential",
INDEX(OP_TotalRates_RES_1[#Data],MATCH($C163,OP_TotalRates_RES_1[Rate name],0),MATCH(M$162,OP_TotalRates_RES_1[#Headers],0)),
INDEX(OP_TotalRates_SME_1[#Data],MATCH($C163,OP_TotalRates_SME_1[Rate name],0),MATCH(M$162,OP_TotalRates_SME_1[#Headers],0))),
IF($G163="Residential",
IF($F163="Calculated",
INDEX(OP_Rates_RES_2[#Data],MATCH($C163,OP_Rates_RES_2[Rate name],0),MATCH(M$162,OP_Rates_RES_2[#Headers],0)),
INDEX(OP_RatesTU_RES_2[#Data],MATCH($C163,OP_RatesTU_RES_2[Rate name],0),MATCH(M$162,OP_RatesTU_RES_2[#Headers],0))),
IF($F163="Calculated",
INDEX(OP_Rates_SME_2[#Data],MATCH($C163,OP_Rates_SME_2[Rate name],0),MATCH(M$162,OP_Rates_SME_2[#Headers])),
INDEX(OP_RatesTU_SME_2[#Data],MATCH($C163,OP_RatesTU_SME_2[Rate name],0),MATCH(M$162,OP_RatesTU_SME_2[#Headers],0)))))</f>
        <v>1.0386</v>
      </c>
      <c r="N163" s="180"/>
      <c r="O163" s="23" t="s">
        <v>427</v>
      </c>
      <c r="P163"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row>
    <row r="164" spans="3:23" x14ac:dyDescent="0.25">
      <c r="C164" s="23" t="s">
        <v>221</v>
      </c>
      <c r="D164" s="23" t="s">
        <v>282</v>
      </c>
      <c r="E164" s="23" t="s">
        <v>410</v>
      </c>
      <c r="F164" s="23" t="s">
        <v>750</v>
      </c>
      <c r="G164" s="23" t="s">
        <v>92</v>
      </c>
      <c r="H164" s="23" t="s">
        <v>556</v>
      </c>
      <c r="I164" s="209">
        <f>IF($E164="VDO 2021 - Variation Final",
IF($G164="Residential",
INDEX(OP_TotalRates_RES_1[#Data],MATCH($C164,OP_TotalRates_RES_1[Rate name],0),MATCH(I$162,OP_TotalRates_RES_1[#Headers],0)),
INDEX(OP_TotalRates_SME_1[#Data],MATCH($C164,OP_TotalRates_SME_1[Rate name],0),MATCH(I$162,OP_TotalRates_SME_1[#Headers],0))),
IF($G164="Residential",
IF($F164="Calculated",
INDEX(OP_Rates_RES_2[#Data],MATCH($C164,OP_Rates_RES_2[Rate name],0),MATCH(I$162,OP_Rates_RES_2[#Headers],0)),
INDEX(OP_RatesTU_RES_2[#Data],MATCH($C164,OP_RatesTU_RES_2[Rate name],0),MATCH(I$162,OP_RatesTU_RES_2[#Headers],0))),
IF($F164="Calculated",
INDEX(OP_Rates_SME_2[#Data],MATCH($C164,OP_Rates_SME_2[Rate name],0),MATCH(I$162,OP_Rates_SME_2[#Headers])),
INDEX(OP_RatesTU_SME_2[#Data],MATCH($C164,OP_RatesTU_SME_2[Rate name],0),MATCH(I$162,OP_RatesTU_SME_2[#Headers],0)))))</f>
        <v>0.26919999999999999</v>
      </c>
      <c r="J164" s="209">
        <f>IF($E164="VDO 2021 - Variation Final",
IF($G164="Residential",
INDEX(OP_TotalRates_RES_1[#Data],MATCH($C164,OP_TotalRates_RES_1[Rate name],0),MATCH(J$162,OP_TotalRates_RES_1[#Headers],0)),
INDEX(OP_TotalRates_SME_1[#Data],MATCH($C164,OP_TotalRates_SME_1[Rate name],0),MATCH(J$162,OP_TotalRates_SME_1[#Headers],0))),
IF($G164="Residential",
IF($F164="Calculated",
INDEX(OP_Rates_RES_2[#Data],MATCH($C164,OP_Rates_RES_2[Rate name],0),MATCH(J$162,OP_Rates_RES_2[#Headers],0)),
INDEX(OP_RatesTU_RES_2[#Data],MATCH($C164,OP_RatesTU_RES_2[Rate name],0),MATCH(J$162,OP_RatesTU_RES_2[#Headers],0))),
IF($F164="Calculated",
INDEX(OP_Rates_SME_2[#Data],MATCH($C164,OP_Rates_SME_2[Rate name],0),MATCH(J$162,OP_Rates_SME_2[#Headers])),
INDEX(OP_RatesTU_SME_2[#Data],MATCH($C164,OP_RatesTU_SME_2[Rate name],0),MATCH(J$162,OP_RatesTU_SME_2[#Headers],0)))))</f>
        <v>0</v>
      </c>
      <c r="K164" s="209">
        <f>IF($E164="VDO 2021 - Variation Final",
IF($G164="Residential",
INDEX(OP_TotalRates_RES_1[#Data],MATCH($C164,OP_TotalRates_RES_1[Rate name],0),MATCH(K$162,OP_TotalRates_RES_1[#Headers],0)),
INDEX(OP_TotalRates_SME_1[#Data],MATCH($C164,OP_TotalRates_SME_1[Rate name],0),MATCH(K$162,OP_TotalRates_SME_1[#Headers],0))),
IF($G164="Residential",
IF($F164="Calculated",
INDEX(OP_Rates_RES_2[#Data],MATCH($C164,OP_Rates_RES_2[Rate name],0),MATCH(K$162,OP_Rates_RES_2[#Headers],0)),
INDEX(OP_RatesTU_RES_2[#Data],MATCH($C164,OP_RatesTU_RES_2[Rate name],0),MATCH(K$162,OP_RatesTU_RES_2[#Headers],0))),
IF($F164="Calculated",
INDEX(OP_Rates_SME_2[#Data],MATCH($C164,OP_Rates_SME_2[Rate name],0),MATCH(K$162,OP_Rates_SME_2[#Headers])),
INDEX(OP_RatesTU_SME_2[#Data],MATCH($C164,OP_RatesTU_SME_2[Rate name],0),MATCH(K$162,OP_RatesTU_SME_2[#Headers],0)))))</f>
        <v>0</v>
      </c>
      <c r="L164" s="209">
        <f>IF($E164="VDO 2021 - Variation Final",
IF($G164="Residential",
INDEX(OP_TotalRates_RES_1[#Data],MATCH($C164,OP_TotalRates_RES_1[Rate name],0),MATCH(L$162,OP_TotalRates_RES_1[#Headers],0)),
INDEX(OP_TotalRates_SME_1[#Data],MATCH($C164,OP_TotalRates_SME_1[Rate name],0),MATCH(L$162,OP_TotalRates_SME_1[#Headers],0))),
IF($G164="Residential",
IF($F164="Calculated",
INDEX(OP_Rates_RES_2[#Data],MATCH($C164,OP_Rates_RES_2[Rate name],0),MATCH(L$162,OP_Rates_RES_2[#Headers],0)),
INDEX(OP_RatesTU_RES_2[#Data],MATCH($C164,OP_RatesTU_RES_2[Rate name],0),MATCH(L$162,OP_RatesTU_RES_2[#Headers],0))),
IF($F164="Calculated",
INDEX(OP_Rates_SME_2[#Data],MATCH($C164,OP_Rates_SME_2[Rate name],0),MATCH(L$162,OP_Rates_SME_2[#Headers])),
INDEX(OP_RatesTU_SME_2[#Data],MATCH($C164,OP_RatesTU_SME_2[Rate name],0),MATCH(L$162,OP_RatesTU_SME_2[#Headers],0)))))</f>
        <v>0</v>
      </c>
      <c r="M164" s="209">
        <f>IF($E164="VDO 2021 - Variation Final",
IF($G164="Residential",
INDEX(OP_TotalRates_RES_1[#Data],MATCH($C164,OP_TotalRates_RES_1[Rate name],0),MATCH(M$162,OP_TotalRates_RES_1[#Headers],0)),
INDEX(OP_TotalRates_SME_1[#Data],MATCH($C164,OP_TotalRates_SME_1[Rate name],0),MATCH(M$162,OP_TotalRates_SME_1[#Headers],0))),
IF($G164="Residential",
IF($F164="Calculated",
INDEX(OP_Rates_RES_2[#Data],MATCH($C164,OP_Rates_RES_2[Rate name],0),MATCH(M$162,OP_Rates_RES_2[#Headers],0)),
INDEX(OP_RatesTU_RES_2[#Data],MATCH($C164,OP_RatesTU_RES_2[Rate name],0),MATCH(M$162,OP_RatesTU_RES_2[#Headers],0))),
IF($F164="Calculated",
INDEX(OP_Rates_SME_2[#Data],MATCH($C164,OP_Rates_SME_2[Rate name],0),MATCH(M$162,OP_Rates_SME_2[#Headers])),
INDEX(OP_RatesTU_SME_2[#Data],MATCH($C164,OP_RatesTU_SME_2[Rate name],0),MATCH(M$162,OP_RatesTU_SME_2[#Headers],0)))))</f>
        <v>0</v>
      </c>
      <c r="N164" s="180"/>
      <c r="O164" s="23" t="s">
        <v>691</v>
      </c>
      <c r="P164"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4000</v>
      </c>
    </row>
    <row r="165" spans="3:23" x14ac:dyDescent="0.25">
      <c r="C165" s="23" t="s">
        <v>228</v>
      </c>
      <c r="D165" s="23" t="s">
        <v>282</v>
      </c>
      <c r="E165" s="23" t="s">
        <v>410</v>
      </c>
      <c r="F165" s="23" t="s">
        <v>750</v>
      </c>
      <c r="G165" s="23" t="s">
        <v>92</v>
      </c>
      <c r="H165" s="23" t="s">
        <v>556</v>
      </c>
      <c r="I165" s="209">
        <f>IF($E165="VDO 2021 - Variation Final",
IF($G165="Residential",
INDEX(OP_TotalRates_RES_1[#Data],MATCH($C165,OP_TotalRates_RES_1[Rate name],0),MATCH(I$162,OP_TotalRates_RES_1[#Headers],0)),
INDEX(OP_TotalRates_SME_1[#Data],MATCH($C165,OP_TotalRates_SME_1[Rate name],0),MATCH(I$162,OP_TotalRates_SME_1[#Headers],0))),
IF($G165="Residential",
IF($F165="Calculated",
INDEX(OP_Rates_RES_2[#Data],MATCH($C165,OP_Rates_RES_2[Rate name],0),MATCH(I$162,OP_Rates_RES_2[#Headers],0)),
INDEX(OP_RatesTU_RES_2[#Data],MATCH($C165,OP_RatesTU_RES_2[Rate name],0),MATCH(I$162,OP_RatesTU_RES_2[#Headers],0))),
IF($F165="Calculated",
INDEX(OP_Rates_SME_2[#Data],MATCH($C165,OP_Rates_SME_2[Rate name],0),MATCH(I$162,OP_Rates_SME_2[#Headers])),
INDEX(OP_RatesTU_SME_2[#Data],MATCH($C165,OP_RatesTU_SME_2[Rate name],0),MATCH(I$162,OP_RatesTU_SME_2[#Headers],0)))))</f>
        <v>0.28539999999999999</v>
      </c>
      <c r="J165" s="209">
        <f>IF($E165="VDO 2021 - Variation Final",
IF($G165="Residential",
INDEX(OP_TotalRates_RES_1[#Data],MATCH($C165,OP_TotalRates_RES_1[Rate name],0),MATCH(J$162,OP_TotalRates_RES_1[#Headers],0)),
INDEX(OP_TotalRates_SME_1[#Data],MATCH($C165,OP_TotalRates_SME_1[Rate name],0),MATCH(J$162,OP_TotalRates_SME_1[#Headers],0))),
IF($G165="Residential",
IF($F165="Calculated",
INDEX(OP_Rates_RES_2[#Data],MATCH($C165,OP_Rates_RES_2[Rate name],0),MATCH(J$162,OP_Rates_RES_2[#Headers],0)),
INDEX(OP_RatesTU_RES_2[#Data],MATCH($C165,OP_RatesTU_RES_2[Rate name],0),MATCH(J$162,OP_RatesTU_RES_2[#Headers],0))),
IF($F165="Calculated",
INDEX(OP_Rates_SME_2[#Data],MATCH($C165,OP_Rates_SME_2[Rate name],0),MATCH(J$162,OP_Rates_SME_2[#Headers])),
INDEX(OP_RatesTU_SME_2[#Data],MATCH($C165,OP_RatesTU_SME_2[Rate name],0),MATCH(J$162,OP_RatesTU_SME_2[#Headers],0)))))</f>
        <v>0</v>
      </c>
      <c r="K165" s="209">
        <f>IF($E165="VDO 2021 - Variation Final",
IF($G165="Residential",
INDEX(OP_TotalRates_RES_1[#Data],MATCH($C165,OP_TotalRates_RES_1[Rate name],0),MATCH(K$162,OP_TotalRates_RES_1[#Headers],0)),
INDEX(OP_TotalRates_SME_1[#Data],MATCH($C165,OP_TotalRates_SME_1[Rate name],0),MATCH(K$162,OP_TotalRates_SME_1[#Headers],0))),
IF($G165="Residential",
IF($F165="Calculated",
INDEX(OP_Rates_RES_2[#Data],MATCH($C165,OP_Rates_RES_2[Rate name],0),MATCH(K$162,OP_Rates_RES_2[#Headers],0)),
INDEX(OP_RatesTU_RES_2[#Data],MATCH($C165,OP_RatesTU_RES_2[Rate name],0),MATCH(K$162,OP_RatesTU_RES_2[#Headers],0))),
IF($F165="Calculated",
INDEX(OP_Rates_SME_2[#Data],MATCH($C165,OP_Rates_SME_2[Rate name],0),MATCH(K$162,OP_Rates_SME_2[#Headers])),
INDEX(OP_RatesTU_SME_2[#Data],MATCH($C165,OP_RatesTU_SME_2[Rate name],0),MATCH(K$162,OP_RatesTU_SME_2[#Headers],0)))))</f>
        <v>0</v>
      </c>
      <c r="L165" s="209">
        <f>IF($E165="VDO 2021 - Variation Final",
IF($G165="Residential",
INDEX(OP_TotalRates_RES_1[#Data],MATCH($C165,OP_TotalRates_RES_1[Rate name],0),MATCH(L$162,OP_TotalRates_RES_1[#Headers],0)),
INDEX(OP_TotalRates_SME_1[#Data],MATCH($C165,OP_TotalRates_SME_1[Rate name],0),MATCH(L$162,OP_TotalRates_SME_1[#Headers],0))),
IF($G165="Residential",
IF($F165="Calculated",
INDEX(OP_Rates_RES_2[#Data],MATCH($C165,OP_Rates_RES_2[Rate name],0),MATCH(L$162,OP_Rates_RES_2[#Headers],0)),
INDEX(OP_RatesTU_RES_2[#Data],MATCH($C165,OP_RatesTU_RES_2[Rate name],0),MATCH(L$162,OP_RatesTU_RES_2[#Headers],0))),
IF($F165="Calculated",
INDEX(OP_Rates_SME_2[#Data],MATCH($C165,OP_Rates_SME_2[Rate name],0),MATCH(L$162,OP_Rates_SME_2[#Headers])),
INDEX(OP_RatesTU_SME_2[#Data],MATCH($C165,OP_RatesTU_SME_2[Rate name],0),MATCH(L$162,OP_RatesTU_SME_2[#Headers],0)))))</f>
        <v>0</v>
      </c>
      <c r="M165" s="209">
        <f>IF($E165="VDO 2021 - Variation Final",
IF($G165="Residential",
INDEX(OP_TotalRates_RES_1[#Data],MATCH($C165,OP_TotalRates_RES_1[Rate name],0),MATCH(M$162,OP_TotalRates_RES_1[#Headers],0)),
INDEX(OP_TotalRates_SME_1[#Data],MATCH($C165,OP_TotalRates_SME_1[Rate name],0),MATCH(M$162,OP_TotalRates_SME_1[#Headers],0))),
IF($G165="Residential",
IF($F165="Calculated",
INDEX(OP_Rates_RES_2[#Data],MATCH($C165,OP_Rates_RES_2[Rate name],0),MATCH(M$162,OP_Rates_RES_2[#Headers],0)),
INDEX(OP_RatesTU_RES_2[#Data],MATCH($C165,OP_RatesTU_RES_2[Rate name],0),MATCH(M$162,OP_RatesTU_RES_2[#Headers],0))),
IF($F165="Calculated",
INDEX(OP_Rates_SME_2[#Data],MATCH($C165,OP_Rates_SME_2[Rate name],0),MATCH(M$162,OP_Rates_SME_2[#Headers])),
INDEX(OP_RatesTU_SME_2[#Data],MATCH($C165,OP_RatesTU_SME_2[Rate name],0),MATCH(M$162,OP_RatesTU_SME_2[#Headers],0)))))</f>
        <v>0</v>
      </c>
      <c r="N165" s="180"/>
      <c r="O165" s="23" t="s">
        <v>691</v>
      </c>
      <c r="P165"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0</v>
      </c>
    </row>
    <row r="166" spans="3:23" x14ac:dyDescent="0.25">
      <c r="C166" s="23" t="s">
        <v>549</v>
      </c>
      <c r="D166" s="23" t="s">
        <v>282</v>
      </c>
      <c r="E166" s="23" t="s">
        <v>410</v>
      </c>
      <c r="F166" s="23" t="s">
        <v>750</v>
      </c>
      <c r="G166" s="23" t="s">
        <v>92</v>
      </c>
      <c r="H166" s="23" t="s">
        <v>556</v>
      </c>
      <c r="I166" s="209">
        <f>IF($E166="VDO 2021 - Variation Final",
IF($G166="Residential",
INDEX(OP_TotalRates_RES_1[#Data],MATCH($C166,OP_TotalRates_RES_1[Rate name],0),MATCH(I$162,OP_TotalRates_RES_1[#Headers],0)),
INDEX(OP_TotalRates_SME_1[#Data],MATCH($C166,OP_TotalRates_SME_1[Rate name],0),MATCH(I$162,OP_TotalRates_SME_1[#Headers],0))),
IF($G166="Residential",
IF($F166="Calculated",
INDEX(OP_Rates_RES_2[#Data],MATCH($C166,OP_Rates_RES_2[Rate name],0),MATCH(I$162,OP_Rates_RES_2[#Headers],0)),
INDEX(OP_RatesTU_RES_2[#Data],MATCH($C166,OP_RatesTU_RES_2[Rate name],0),MATCH(I$162,OP_RatesTU_RES_2[#Headers],0))),
IF($F166="Calculated",
INDEX(OP_Rates_SME_2[#Data],MATCH($C166,OP_Rates_SME_2[Rate name],0),MATCH(I$162,OP_Rates_SME_2[#Headers])),
INDEX(OP_RatesTU_SME_2[#Data],MATCH($C166,OP_RatesTU_SME_2[Rate name],0),MATCH(I$162,OP_RatesTU_SME_2[#Headers],0)))))</f>
        <v>0</v>
      </c>
      <c r="J166" s="209">
        <f>IF($E166="VDO 2021 - Variation Final",
IF($G166="Residential",
INDEX(OP_TotalRates_RES_1[#Data],MATCH($C166,OP_TotalRates_RES_1[Rate name],0),MATCH(J$162,OP_TotalRates_RES_1[#Headers],0)),
INDEX(OP_TotalRates_SME_1[#Data],MATCH($C166,OP_TotalRates_SME_1[Rate name],0),MATCH(J$162,OP_TotalRates_SME_1[#Headers],0))),
IF($G166="Residential",
IF($F166="Calculated",
INDEX(OP_Rates_RES_2[#Data],MATCH($C166,OP_Rates_RES_2[Rate name],0),MATCH(J$162,OP_Rates_RES_2[#Headers],0)),
INDEX(OP_RatesTU_RES_2[#Data],MATCH($C166,OP_RatesTU_RES_2[Rate name],0),MATCH(J$162,OP_RatesTU_RES_2[#Headers],0))),
IF($F166="Calculated",
INDEX(OP_Rates_SME_2[#Data],MATCH($C166,OP_Rates_SME_2[Rate name],0),MATCH(J$162,OP_Rates_SME_2[#Headers])),
INDEX(OP_RatesTU_SME_2[#Data],MATCH($C166,OP_RatesTU_SME_2[Rate name],0),MATCH(J$162,OP_RatesTU_SME_2[#Headers],0)))))</f>
        <v>0.218</v>
      </c>
      <c r="K166" s="209">
        <f>IF($E166="VDO 2021 - Variation Final",
IF($G166="Residential",
INDEX(OP_TotalRates_RES_1[#Data],MATCH($C166,OP_TotalRates_RES_1[Rate name],0),MATCH(K$162,OP_TotalRates_RES_1[#Headers],0)),
INDEX(OP_TotalRates_SME_1[#Data],MATCH($C166,OP_TotalRates_SME_1[Rate name],0),MATCH(K$162,OP_TotalRates_SME_1[#Headers],0))),
IF($G166="Residential",
IF($F166="Calculated",
INDEX(OP_Rates_RES_2[#Data],MATCH($C166,OP_Rates_RES_2[Rate name],0),MATCH(K$162,OP_Rates_RES_2[#Headers],0)),
INDEX(OP_RatesTU_RES_2[#Data],MATCH($C166,OP_RatesTU_RES_2[Rate name],0),MATCH(K$162,OP_RatesTU_RES_2[#Headers],0))),
IF($F166="Calculated",
INDEX(OP_Rates_SME_2[#Data],MATCH($C166,OP_Rates_SME_2[Rate name],0),MATCH(K$162,OP_Rates_SME_2[#Headers])),
INDEX(OP_RatesTU_SME_2[#Data],MATCH($C166,OP_RatesTU_SME_2[Rate name],0),MATCH(K$162,OP_RatesTU_SME_2[#Headers],0)))))</f>
        <v>0.23300000000000001</v>
      </c>
      <c r="L166" s="209">
        <f>IF($E166="VDO 2021 - Variation Final",
IF($G166="Residential",
INDEX(OP_TotalRates_RES_1[#Data],MATCH($C166,OP_TotalRates_RES_1[Rate name],0),MATCH(L$162,OP_TotalRates_RES_1[#Headers],0)),
INDEX(OP_TotalRates_SME_1[#Data],MATCH($C166,OP_TotalRates_SME_1[Rate name],0),MATCH(L$162,OP_TotalRates_SME_1[#Headers],0))),
IF($G166="Residential",
IF($F166="Calculated",
INDEX(OP_Rates_RES_2[#Data],MATCH($C166,OP_Rates_RES_2[Rate name],0),MATCH(L$162,OP_Rates_RES_2[#Headers],0)),
INDEX(OP_RatesTU_RES_2[#Data],MATCH($C166,OP_RatesTU_RES_2[Rate name],0),MATCH(L$162,OP_RatesTU_RES_2[#Headers],0))),
IF($F166="Calculated",
INDEX(OP_Rates_SME_2[#Data],MATCH($C166,OP_Rates_SME_2[Rate name],0),MATCH(L$162,OP_Rates_SME_2[#Headers])),
INDEX(OP_RatesTU_SME_2[#Data],MATCH($C166,OP_RatesTU_SME_2[Rate name],0),MATCH(L$162,OP_RatesTU_SME_2[#Headers],0)))))</f>
        <v>0.2276</v>
      </c>
      <c r="M166" s="209">
        <f>IF($E166="VDO 2021 - Variation Final",
IF($G166="Residential",
INDEX(OP_TotalRates_RES_1[#Data],MATCH($C166,OP_TotalRates_RES_1[Rate name],0),MATCH(M$162,OP_TotalRates_RES_1[#Headers],0)),
INDEX(OP_TotalRates_SME_1[#Data],MATCH($C166,OP_TotalRates_SME_1[Rate name],0),MATCH(M$162,OP_TotalRates_SME_1[#Headers],0))),
IF($G166="Residential",
IF($F166="Calculated",
INDEX(OP_Rates_RES_2[#Data],MATCH($C166,OP_Rates_RES_2[Rate name],0),MATCH(M$162,OP_Rates_RES_2[#Headers],0)),
INDEX(OP_RatesTU_RES_2[#Data],MATCH($C166,OP_RatesTU_RES_2[Rate name],0),MATCH(M$162,OP_RatesTU_RES_2[#Headers],0))),
IF($F166="Calculated",
INDEX(OP_Rates_SME_2[#Data],MATCH($C166,OP_Rates_SME_2[Rate name],0),MATCH(M$162,OP_Rates_SME_2[#Headers])),
INDEX(OP_RatesTU_SME_2[#Data],MATCH($C166,OP_RatesTU_SME_2[Rate name],0),MATCH(M$162,OP_RatesTU_SME_2[#Headers],0)))))</f>
        <v>0.22500000000000001</v>
      </c>
      <c r="N166" s="180"/>
      <c r="O166" s="23" t="s">
        <v>691</v>
      </c>
      <c r="P166"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4000</v>
      </c>
    </row>
    <row r="167" spans="3:23" x14ac:dyDescent="0.25">
      <c r="C167" s="23" t="s">
        <v>551</v>
      </c>
      <c r="D167" s="23" t="s">
        <v>109</v>
      </c>
      <c r="E167" s="23" t="s">
        <v>410</v>
      </c>
      <c r="F167" s="23" t="s">
        <v>750</v>
      </c>
      <c r="G167" s="23" t="s">
        <v>92</v>
      </c>
      <c r="H167" s="23" t="s">
        <v>557</v>
      </c>
      <c r="I167" s="209">
        <f>IF($E167="VDO 2021 - Variation Final",
IF($G167="Residential",
INDEX(OP_TotalRates_RES_1[#Data],MATCH($C167,OP_TotalRates_RES_1[Rate name],0),MATCH(I$162,OP_TotalRates_RES_1[#Headers],0)),
INDEX(OP_TotalRates_SME_1[#Data],MATCH($C167,OP_TotalRates_SME_1[Rate name],0),MATCH(I$162,OP_TotalRates_SME_1[#Headers],0))),
IF($G167="Residential",
IF($F167="Calculated",
INDEX(OP_Rates_RES_2[#Data],MATCH($C167,OP_Rates_RES_2[Rate name],0),MATCH(I$162,OP_Rates_RES_2[#Headers],0)),
INDEX(OP_RatesTU_RES_2[#Data],MATCH($C167,OP_RatesTU_RES_2[Rate name],0),MATCH(I$162,OP_RatesTU_RES_2[#Headers],0))),
IF($F167="Calculated",
INDEX(OP_Rates_SME_2[#Data],MATCH($C167,OP_Rates_SME_2[Rate name],0),MATCH(I$162,OP_Rates_SME_2[#Headers])),
INDEX(OP_RatesTU_SME_2[#Data],MATCH($C167,OP_RatesTU_SME_2[Rate name],0),MATCH(I$162,OP_RatesTU_SME_2[#Headers],0)))))</f>
        <v>1.2310000000000001</v>
      </c>
      <c r="J167" s="209">
        <f>IF($E167="VDO 2021 - Variation Final",
IF($G167="Residential",
INDEX(OP_TotalRates_RES_1[#Data],MATCH($C167,OP_TotalRates_RES_1[Rate name],0),MATCH(J$162,OP_TotalRates_RES_1[#Headers],0)),
INDEX(OP_TotalRates_SME_1[#Data],MATCH($C167,OP_TotalRates_SME_1[Rate name],0),MATCH(J$162,OP_TotalRates_SME_1[#Headers],0))),
IF($G167="Residential",
IF($F167="Calculated",
INDEX(OP_Rates_RES_2[#Data],MATCH($C167,OP_Rates_RES_2[Rate name],0),MATCH(J$162,OP_Rates_RES_2[#Headers],0)),
INDEX(OP_RatesTU_RES_2[#Data],MATCH($C167,OP_RatesTU_RES_2[Rate name],0),MATCH(J$162,OP_RatesTU_RES_2[#Headers],0))),
IF($F167="Calculated",
INDEX(OP_Rates_SME_2[#Data],MATCH($C167,OP_Rates_SME_2[Rate name],0),MATCH(J$162,OP_Rates_SME_2[#Headers])),
INDEX(OP_RatesTU_SME_2[#Data],MATCH($C167,OP_RatesTU_SME_2[Rate name],0),MATCH(J$162,OP_RatesTU_SME_2[#Headers],0)))))</f>
        <v>1.1303000000000001</v>
      </c>
      <c r="K167" s="209">
        <f>IF($E167="VDO 2021 - Variation Final",
IF($G167="Residential",
INDEX(OP_TotalRates_RES_1[#Data],MATCH($C167,OP_TotalRates_RES_1[Rate name],0),MATCH(K$162,OP_TotalRates_RES_1[#Headers],0)),
INDEX(OP_TotalRates_SME_1[#Data],MATCH($C167,OP_TotalRates_SME_1[Rate name],0),MATCH(K$162,OP_TotalRates_SME_1[#Headers],0))),
IF($G167="Residential",
IF($F167="Calculated",
INDEX(OP_Rates_RES_2[#Data],MATCH($C167,OP_Rates_RES_2[Rate name],0),MATCH(K$162,OP_Rates_RES_2[#Headers],0)),
INDEX(OP_RatesTU_RES_2[#Data],MATCH($C167,OP_RatesTU_RES_2[Rate name],0),MATCH(K$162,OP_RatesTU_RES_2[#Headers],0))),
IF($F167="Calculated",
INDEX(OP_Rates_SME_2[#Data],MATCH($C167,OP_Rates_SME_2[Rate name],0),MATCH(K$162,OP_Rates_SME_2[#Headers])),
INDEX(OP_RatesTU_SME_2[#Data],MATCH($C167,OP_RatesTU_SME_2[Rate name],0),MATCH(K$162,OP_RatesTU_SME_2[#Headers],0)))))</f>
        <v>1.0840000000000001</v>
      </c>
      <c r="L167" s="209">
        <f>IF($E167="VDO 2021 - Variation Final",
IF($G167="Residential",
INDEX(OP_TotalRates_RES_1[#Data],MATCH($C167,OP_TotalRates_RES_1[Rate name],0),MATCH(L$162,OP_TotalRates_RES_1[#Headers],0)),
INDEX(OP_TotalRates_SME_1[#Data],MATCH($C167,OP_TotalRates_SME_1[Rate name],0),MATCH(L$162,OP_TotalRates_SME_1[#Headers],0))),
IF($G167="Residential",
IF($F167="Calculated",
INDEX(OP_Rates_RES_2[#Data],MATCH($C167,OP_Rates_RES_2[Rate name],0),MATCH(L$162,OP_Rates_RES_2[#Headers],0)),
INDEX(OP_RatesTU_RES_2[#Data],MATCH($C167,OP_RatesTU_RES_2[Rate name],0),MATCH(L$162,OP_RatesTU_RES_2[#Headers],0))),
IF($F167="Calculated",
INDEX(OP_Rates_SME_2[#Data],MATCH($C167,OP_Rates_SME_2[Rate name],0),MATCH(L$162,OP_Rates_SME_2[#Headers])),
INDEX(OP_RatesTU_SME_2[#Data],MATCH($C167,OP_RatesTU_SME_2[Rate name],0),MATCH(L$162,OP_RatesTU_SME_2[#Headers],0)))))</f>
        <v>1.2801</v>
      </c>
      <c r="M167" s="209">
        <f>IF($E167="VDO 2021 - Variation Final",
IF($G167="Residential",
INDEX(OP_TotalRates_RES_1[#Data],MATCH($C167,OP_TotalRates_RES_1[Rate name],0),MATCH(M$162,OP_TotalRates_RES_1[#Headers],0)),
INDEX(OP_TotalRates_SME_1[#Data],MATCH($C167,OP_TotalRates_SME_1[Rate name],0),MATCH(M$162,OP_TotalRates_SME_1[#Headers],0))),
IF($G167="Residential",
IF($F167="Calculated",
INDEX(OP_Rates_RES_2[#Data],MATCH($C167,OP_Rates_RES_2[Rate name],0),MATCH(M$162,OP_Rates_RES_2[#Headers],0)),
INDEX(OP_RatesTU_RES_2[#Data],MATCH($C167,OP_RatesTU_RES_2[Rate name],0),MATCH(M$162,OP_RatesTU_RES_2[#Headers],0))),
IF($F167="Calculated",
INDEX(OP_Rates_SME_2[#Data],MATCH($C167,OP_Rates_SME_2[Rate name],0),MATCH(M$162,OP_Rates_SME_2[#Headers])),
INDEX(OP_RatesTU_SME_2[#Data],MATCH($C167,OP_RatesTU_SME_2[Rate name],0),MATCH(M$162,OP_RatesTU_SME_2[#Headers],0)))))</f>
        <v>1.0386</v>
      </c>
      <c r="N167" s="180"/>
      <c r="O167" s="23" t="s">
        <v>427</v>
      </c>
      <c r="P167"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row>
    <row r="168" spans="3:23" x14ac:dyDescent="0.25">
      <c r="C168" s="23" t="s">
        <v>230</v>
      </c>
      <c r="D168" s="23" t="s">
        <v>282</v>
      </c>
      <c r="E168" s="23" t="s">
        <v>410</v>
      </c>
      <c r="F168" s="23" t="s">
        <v>750</v>
      </c>
      <c r="G168" s="23" t="s">
        <v>92</v>
      </c>
      <c r="H168" s="23" t="s">
        <v>557</v>
      </c>
      <c r="I168" s="209">
        <f>IF($E168="VDO 2021 - Variation Final",
IF($G168="Residential",
INDEX(OP_TotalRates_RES_1[#Data],MATCH($C168,OP_TotalRates_RES_1[Rate name],0),MATCH(I$162,OP_TotalRates_RES_1[#Headers],0)),
INDEX(OP_TotalRates_SME_1[#Data],MATCH($C168,OP_TotalRates_SME_1[Rate name],0),MATCH(I$162,OP_TotalRates_SME_1[#Headers],0))),
IF($G168="Residential",
IF($F168="Calculated",
INDEX(OP_Rates_RES_2[#Data],MATCH($C168,OP_Rates_RES_2[Rate name],0),MATCH(I$162,OP_Rates_RES_2[#Headers],0)),
INDEX(OP_RatesTU_RES_2[#Data],MATCH($C168,OP_RatesTU_RES_2[Rate name],0),MATCH(I$162,OP_RatesTU_RES_2[#Headers],0))),
IF($F168="Calculated",
INDEX(OP_Rates_SME_2[#Data],MATCH($C168,OP_Rates_SME_2[Rate name],0),MATCH(I$162,OP_Rates_SME_2[#Headers])),
INDEX(OP_RatesTU_SME_2[#Data],MATCH($C168,OP_RatesTU_SME_2[Rate name],0),MATCH(I$162,OP_RatesTU_SME_2[#Headers],0)))))</f>
        <v>0.37890000000000001</v>
      </c>
      <c r="J168" s="209">
        <f>IF($E168="VDO 2021 - Variation Final",
IF($G168="Residential",
INDEX(OP_TotalRates_RES_1[#Data],MATCH($C168,OP_TotalRates_RES_1[Rate name],0),MATCH(J$162,OP_TotalRates_RES_1[#Headers],0)),
INDEX(OP_TotalRates_SME_1[#Data],MATCH($C168,OP_TotalRates_SME_1[Rate name],0),MATCH(J$162,OP_TotalRates_SME_1[#Headers],0))),
IF($G168="Residential",
IF($F168="Calculated",
INDEX(OP_Rates_RES_2[#Data],MATCH($C168,OP_Rates_RES_2[Rate name],0),MATCH(J$162,OP_Rates_RES_2[#Headers],0)),
INDEX(OP_RatesTU_RES_2[#Data],MATCH($C168,OP_RatesTU_RES_2[Rate name],0),MATCH(J$162,OP_RatesTU_RES_2[#Headers],0))),
IF($F168="Calculated",
INDEX(OP_Rates_SME_2[#Data],MATCH($C168,OP_Rates_SME_2[Rate name],0),MATCH(J$162,OP_Rates_SME_2[#Headers])),
INDEX(OP_RatesTU_SME_2[#Data],MATCH($C168,OP_RatesTU_SME_2[Rate name],0),MATCH(J$162,OP_RatesTU_SME_2[#Headers],0)))))</f>
        <v>0.31009999999999999</v>
      </c>
      <c r="K168" s="209">
        <f>IF($E168="VDO 2021 - Variation Final",
IF($G168="Residential",
INDEX(OP_TotalRates_RES_1[#Data],MATCH($C168,OP_TotalRates_RES_1[Rate name],0),MATCH(K$162,OP_TotalRates_RES_1[#Headers],0)),
INDEX(OP_TotalRates_SME_1[#Data],MATCH($C168,OP_TotalRates_SME_1[Rate name],0),MATCH(K$162,OP_TotalRates_SME_1[#Headers],0))),
IF($G168="Residential",
IF($F168="Calculated",
INDEX(OP_Rates_RES_2[#Data],MATCH($C168,OP_Rates_RES_2[Rate name],0),MATCH(K$162,OP_Rates_RES_2[#Headers],0)),
INDEX(OP_RatesTU_RES_2[#Data],MATCH($C168,OP_RatesTU_RES_2[Rate name],0),MATCH(K$162,OP_RatesTU_RES_2[#Headers],0))),
IF($F168="Calculated",
INDEX(OP_Rates_SME_2[#Data],MATCH($C168,OP_Rates_SME_2[Rate name],0),MATCH(K$162,OP_Rates_SME_2[#Headers])),
INDEX(OP_RatesTU_SME_2[#Data],MATCH($C168,OP_RatesTU_SME_2[Rate name],0),MATCH(K$162,OP_RatesTU_SME_2[#Headers],0)))))</f>
        <v>0.28920000000000001</v>
      </c>
      <c r="L168" s="209">
        <f>IF($E168="VDO 2021 - Variation Final",
IF($G168="Residential",
INDEX(OP_TotalRates_RES_1[#Data],MATCH($C168,OP_TotalRates_RES_1[Rate name],0),MATCH(L$162,OP_TotalRates_RES_1[#Headers],0)),
INDEX(OP_TotalRates_SME_1[#Data],MATCH($C168,OP_TotalRates_SME_1[Rate name],0),MATCH(L$162,OP_TotalRates_SME_1[#Headers],0))),
IF($G168="Residential",
IF($F168="Calculated",
INDEX(OP_Rates_RES_2[#Data],MATCH($C168,OP_Rates_RES_2[Rate name],0),MATCH(L$162,OP_Rates_RES_2[#Headers],0)),
INDEX(OP_RatesTU_RES_2[#Data],MATCH($C168,OP_RatesTU_RES_2[Rate name],0),MATCH(L$162,OP_RatesTU_RES_2[#Headers],0))),
IF($F168="Calculated",
INDEX(OP_Rates_SME_2[#Data],MATCH($C168,OP_Rates_SME_2[Rate name],0),MATCH(L$162,OP_Rates_SME_2[#Headers])),
INDEX(OP_RatesTU_SME_2[#Data],MATCH($C168,OP_RatesTU_SME_2[Rate name],0),MATCH(L$162,OP_RatesTU_SME_2[#Headers],0)))))</f>
        <v>0.31759999999999999</v>
      </c>
      <c r="M168" s="209">
        <f>IF($E168="VDO 2021 - Variation Final",
IF($G168="Residential",
INDEX(OP_TotalRates_RES_1[#Data],MATCH($C168,OP_TotalRates_RES_1[Rate name],0),MATCH(M$162,OP_TotalRates_RES_1[#Headers],0)),
INDEX(OP_TotalRates_SME_1[#Data],MATCH($C168,OP_TotalRates_SME_1[Rate name],0),MATCH(M$162,OP_TotalRates_SME_1[#Headers],0))),
IF($G168="Residential",
IF($F168="Calculated",
INDEX(OP_Rates_RES_2[#Data],MATCH($C168,OP_Rates_RES_2[Rate name],0),MATCH(M$162,OP_Rates_RES_2[#Headers],0)),
INDEX(OP_RatesTU_RES_2[#Data],MATCH($C168,OP_RatesTU_RES_2[Rate name],0),MATCH(M$162,OP_RatesTU_RES_2[#Headers],0))),
IF($F168="Calculated",
INDEX(OP_Rates_SME_2[#Data],MATCH($C168,OP_Rates_SME_2[Rate name],0),MATCH(M$162,OP_Rates_SME_2[#Headers])),
INDEX(OP_RatesTU_SME_2[#Data],MATCH($C168,OP_RatesTU_SME_2[Rate name],0),MATCH(M$162,OP_RatesTU_SME_2[#Headers],0)))))</f>
        <v>0.316</v>
      </c>
      <c r="N168" s="180"/>
      <c r="O168" s="23" t="s">
        <v>691</v>
      </c>
      <c r="P168"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1320</v>
      </c>
    </row>
    <row r="169" spans="3:23" x14ac:dyDescent="0.25">
      <c r="C169" s="23" t="s">
        <v>609</v>
      </c>
      <c r="D169" s="23" t="s">
        <v>282</v>
      </c>
      <c r="E169" s="23" t="s">
        <v>410</v>
      </c>
      <c r="F169" s="23" t="s">
        <v>750</v>
      </c>
      <c r="G169" s="23" t="s">
        <v>92</v>
      </c>
      <c r="H169" s="23" t="s">
        <v>557</v>
      </c>
      <c r="I169" s="209">
        <f>IF($E169="VDO 2021 - Variation Final",
IF($G169="Residential",
INDEX(OP_TotalRates_RES_1[#Data],MATCH($C169,OP_TotalRates_RES_1[Rate name],0),MATCH(I$162,OP_TotalRates_RES_1[#Headers],0)),
INDEX(OP_TotalRates_SME_1[#Data],MATCH($C169,OP_TotalRates_SME_1[Rate name],0),MATCH(I$162,OP_TotalRates_SME_1[#Headers],0))),
IF($G169="Residential",
IF($F169="Calculated",
INDEX(OP_Rates_RES_2[#Data],MATCH($C169,OP_Rates_RES_2[Rate name],0),MATCH(I$162,OP_Rates_RES_2[#Headers],0)),
INDEX(OP_RatesTU_RES_2[#Data],MATCH($C169,OP_RatesTU_RES_2[Rate name],0),MATCH(I$162,OP_RatesTU_RES_2[#Headers],0))),
IF($F169="Calculated",
INDEX(OP_Rates_SME_2[#Data],MATCH($C169,OP_Rates_SME_2[Rate name],0),MATCH(I$162,OP_Rates_SME_2[#Headers])),
INDEX(OP_RatesTU_SME_2[#Data],MATCH($C169,OP_RatesTU_SME_2[Rate name],0),MATCH(I$162,OP_RatesTU_SME_2[#Headers],0)))))</f>
        <v>0.18629999999999999</v>
      </c>
      <c r="J169" s="209">
        <f>IF($E169="VDO 2021 - Variation Final",
IF($G169="Residential",
INDEX(OP_TotalRates_RES_1[#Data],MATCH($C169,OP_TotalRates_RES_1[Rate name],0),MATCH(J$162,OP_TotalRates_RES_1[#Headers],0)),
INDEX(OP_TotalRates_SME_1[#Data],MATCH($C169,OP_TotalRates_SME_1[Rate name],0),MATCH(J$162,OP_TotalRates_SME_1[#Headers],0))),
IF($G169="Residential",
IF($F169="Calculated",
INDEX(OP_Rates_RES_2[#Data],MATCH($C169,OP_Rates_RES_2[Rate name],0),MATCH(J$162,OP_Rates_RES_2[#Headers],0)),
INDEX(OP_RatesTU_RES_2[#Data],MATCH($C169,OP_RatesTU_RES_2[Rate name],0),MATCH(J$162,OP_RatesTU_RES_2[#Headers],0))),
IF($F169="Calculated",
INDEX(OP_Rates_SME_2[#Data],MATCH($C169,OP_Rates_SME_2[Rate name],0),MATCH(J$162,OP_Rates_SME_2[#Headers])),
INDEX(OP_RatesTU_SME_2[#Data],MATCH($C169,OP_RatesTU_SME_2[Rate name],0),MATCH(J$162,OP_RatesTU_SME_2[#Headers],0)))))</f>
        <v>0.1706</v>
      </c>
      <c r="K169" s="209">
        <f>IF($E169="VDO 2021 - Variation Final",
IF($G169="Residential",
INDEX(OP_TotalRates_RES_1[#Data],MATCH($C169,OP_TotalRates_RES_1[Rate name],0),MATCH(K$162,OP_TotalRates_RES_1[#Headers],0)),
INDEX(OP_TotalRates_SME_1[#Data],MATCH($C169,OP_TotalRates_SME_1[Rate name],0),MATCH(K$162,OP_TotalRates_SME_1[#Headers],0))),
IF($G169="Residential",
IF($F169="Calculated",
INDEX(OP_Rates_RES_2[#Data],MATCH($C169,OP_Rates_RES_2[Rate name],0),MATCH(K$162,OP_Rates_RES_2[#Headers],0)),
INDEX(OP_RatesTU_RES_2[#Data],MATCH($C169,OP_RatesTU_RES_2[Rate name],0),MATCH(K$162,OP_RatesTU_RES_2[#Headers],0))),
IF($F169="Calculated",
INDEX(OP_Rates_SME_2[#Data],MATCH($C169,OP_Rates_SME_2[Rate name],0),MATCH(K$162,OP_Rates_SME_2[#Headers])),
INDEX(OP_RatesTU_SME_2[#Data],MATCH($C169,OP_RatesTU_SME_2[Rate name],0),MATCH(K$162,OP_RatesTU_SME_2[#Headers],0)))))</f>
        <v>0.1772</v>
      </c>
      <c r="L169" s="209">
        <f>IF($E169="VDO 2021 - Variation Final",
IF($G169="Residential",
INDEX(OP_TotalRates_RES_1[#Data],MATCH($C169,OP_TotalRates_RES_1[Rate name],0),MATCH(L$162,OP_TotalRates_RES_1[#Headers],0)),
INDEX(OP_TotalRates_SME_1[#Data],MATCH($C169,OP_TotalRates_SME_1[Rate name],0),MATCH(L$162,OP_TotalRates_SME_1[#Headers],0))),
IF($G169="Residential",
IF($F169="Calculated",
INDEX(OP_Rates_RES_2[#Data],MATCH($C169,OP_Rates_RES_2[Rate name],0),MATCH(L$162,OP_Rates_RES_2[#Headers],0)),
INDEX(OP_RatesTU_RES_2[#Data],MATCH($C169,OP_RatesTU_RES_2[Rate name],0),MATCH(L$162,OP_RatesTU_RES_2[#Headers],0))),
IF($F169="Calculated",
INDEX(OP_Rates_SME_2[#Data],MATCH($C169,OP_Rates_SME_2[Rate name],0),MATCH(L$162,OP_Rates_SME_2[#Headers])),
INDEX(OP_RatesTU_SME_2[#Data],MATCH($C169,OP_RatesTU_SME_2[Rate name],0),MATCH(L$162,OP_RatesTU_SME_2[#Headers],0)))))</f>
        <v>0.1787</v>
      </c>
      <c r="M169" s="209">
        <f>IF($E169="VDO 2021 - Variation Final",
IF($G169="Residential",
INDEX(OP_TotalRates_RES_1[#Data],MATCH($C169,OP_TotalRates_RES_1[Rate name],0),MATCH(M$162,OP_TotalRates_RES_1[#Headers],0)),
INDEX(OP_TotalRates_SME_1[#Data],MATCH($C169,OP_TotalRates_SME_1[Rate name],0),MATCH(M$162,OP_TotalRates_SME_1[#Headers],0))),
IF($G169="Residential",
IF($F169="Calculated",
INDEX(OP_Rates_RES_2[#Data],MATCH($C169,OP_Rates_RES_2[Rate name],0),MATCH(M$162,OP_Rates_RES_2[#Headers],0)),
INDEX(OP_RatesTU_RES_2[#Data],MATCH($C169,OP_RatesTU_RES_2[Rate name],0),MATCH(M$162,OP_RatesTU_RES_2[#Headers],0))),
IF($F169="Calculated",
INDEX(OP_Rates_SME_2[#Data],MATCH($C169,OP_Rates_SME_2[Rate name],0),MATCH(M$162,OP_Rates_SME_2[#Headers])),
INDEX(OP_RatesTU_SME_2[#Data],MATCH($C169,OP_RatesTU_SME_2[Rate name],0),MATCH(M$162,OP_RatesTU_SME_2[#Headers],0)))))</f>
        <v>0.1779</v>
      </c>
      <c r="N169" s="180"/>
      <c r="O169" s="23" t="s">
        <v>691</v>
      </c>
      <c r="P169"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2680</v>
      </c>
    </row>
    <row r="170" spans="3:23" x14ac:dyDescent="0.25">
      <c r="C170" s="23" t="s">
        <v>287</v>
      </c>
      <c r="D170" s="23" t="s">
        <v>282</v>
      </c>
      <c r="E170" s="23" t="s">
        <v>410</v>
      </c>
      <c r="F170" s="23" t="s">
        <v>750</v>
      </c>
      <c r="G170" s="23" t="s">
        <v>92</v>
      </c>
      <c r="H170" s="23" t="s">
        <v>697</v>
      </c>
      <c r="I170" s="209">
        <f>IF($E170="VDO 2021 - Variation Final",
IF($G170="Residential",
INDEX(OP_TotalRates_RES_1[#Data],MATCH($C170,OP_TotalRates_RES_1[Rate name],0),MATCH(I$162,OP_TotalRates_RES_1[#Headers],0)),
INDEX(OP_TotalRates_SME_1[#Data],MATCH($C170,OP_TotalRates_SME_1[Rate name],0),MATCH(I$162,OP_TotalRates_SME_1[#Headers],0))),
IF($G170="Residential",
IF($F170="Calculated",
INDEX(OP_Rates_RES_2[#Data],MATCH($C170,OP_Rates_RES_2[Rate name],0),MATCH(I$162,OP_Rates_RES_2[#Headers],0)),
INDEX(OP_RatesTU_RES_2[#Data],MATCH($C170,OP_RatesTU_RES_2[Rate name],0),MATCH(I$162,OP_RatesTU_RES_2[#Headers],0))),
IF($F170="Calculated",
INDEX(OP_Rates_SME_2[#Data],MATCH($C170,OP_Rates_SME_2[Rate name],0),MATCH(I$162,OP_Rates_SME_2[#Headers])),
INDEX(OP_RatesTU_SME_2[#Data],MATCH($C170,OP_RatesTU_SME_2[Rate name],0),MATCH(I$162,OP_RatesTU_SME_2[#Headers],0)))))</f>
        <v>0.18529999999999999</v>
      </c>
      <c r="J170" s="209">
        <f>IF($E170="VDO 2021 - Variation Final",
IF($G170="Residential",
INDEX(OP_TotalRates_RES_1[#Data],MATCH($C170,OP_TotalRates_RES_1[Rate name],0),MATCH(J$162,OP_TotalRates_RES_1[#Headers],0)),
INDEX(OP_TotalRates_SME_1[#Data],MATCH($C170,OP_TotalRates_SME_1[Rate name],0),MATCH(J$162,OP_TotalRates_SME_1[#Headers],0))),
IF($G170="Residential",
IF($F170="Calculated",
INDEX(OP_Rates_RES_2[#Data],MATCH($C170,OP_Rates_RES_2[Rate name],0),MATCH(J$162,OP_Rates_RES_2[#Headers],0)),
INDEX(OP_RatesTU_RES_2[#Data],MATCH($C170,OP_RatesTU_RES_2[Rate name],0),MATCH(J$162,OP_RatesTU_RES_2[#Headers],0))),
IF($F170="Calculated",
INDEX(OP_Rates_SME_2[#Data],MATCH($C170,OP_Rates_SME_2[Rate name],0),MATCH(J$162,OP_Rates_SME_2[#Headers])),
INDEX(OP_RatesTU_SME_2[#Data],MATCH($C170,OP_RatesTU_SME_2[Rate name],0),MATCH(J$162,OP_RatesTU_SME_2[#Headers],0)))))</f>
        <v>0.153</v>
      </c>
      <c r="K170" s="209">
        <f>IF($E170="VDO 2021 - Variation Final",
IF($G170="Residential",
INDEX(OP_TotalRates_RES_1[#Data],MATCH($C170,OP_TotalRates_RES_1[Rate name],0),MATCH(K$162,OP_TotalRates_RES_1[#Headers],0)),
INDEX(OP_TotalRates_SME_1[#Data],MATCH($C170,OP_TotalRates_SME_1[Rate name],0),MATCH(K$162,OP_TotalRates_SME_1[#Headers],0))),
IF($G170="Residential",
IF($F170="Calculated",
INDEX(OP_Rates_RES_2[#Data],MATCH($C170,OP_Rates_RES_2[Rate name],0),MATCH(K$162,OP_Rates_RES_2[#Headers],0)),
INDEX(OP_RatesTU_RES_2[#Data],MATCH($C170,OP_RatesTU_RES_2[Rate name],0),MATCH(K$162,OP_RatesTU_RES_2[#Headers],0))),
IF($F170="Calculated",
INDEX(OP_Rates_SME_2[#Data],MATCH($C170,OP_Rates_SME_2[Rate name],0),MATCH(K$162,OP_Rates_SME_2[#Headers])),
INDEX(OP_RatesTU_SME_2[#Data],MATCH($C170,OP_RatesTU_SME_2[Rate name],0),MATCH(K$162,OP_RatesTU_SME_2[#Headers],0)))))</f>
        <v>0.1739</v>
      </c>
      <c r="L170" s="209">
        <f>IF($E170="VDO 2021 - Variation Final",
IF($G170="Residential",
INDEX(OP_TotalRates_RES_1[#Data],MATCH($C170,OP_TotalRates_RES_1[Rate name],0),MATCH(L$162,OP_TotalRates_RES_1[#Headers],0)),
INDEX(OP_TotalRates_SME_1[#Data],MATCH($C170,OP_TotalRates_SME_1[Rate name],0),MATCH(L$162,OP_TotalRates_SME_1[#Headers],0))),
IF($G170="Residential",
IF($F170="Calculated",
INDEX(OP_Rates_RES_2[#Data],MATCH($C170,OP_Rates_RES_2[Rate name],0),MATCH(L$162,OP_Rates_RES_2[#Headers],0)),
INDEX(OP_RatesTU_RES_2[#Data],MATCH($C170,OP_RatesTU_RES_2[Rate name],0),MATCH(L$162,OP_RatesTU_RES_2[#Headers],0))),
IF($F170="Calculated",
INDEX(OP_Rates_SME_2[#Data],MATCH($C170,OP_Rates_SME_2[Rate name],0),MATCH(L$162,OP_Rates_SME_2[#Headers])),
INDEX(OP_RatesTU_SME_2[#Data],MATCH($C170,OP_RatesTU_SME_2[Rate name],0),MATCH(L$162,OP_RatesTU_SME_2[#Headers],0)))))</f>
        <v>0.16039999999999999</v>
      </c>
      <c r="M170" s="209">
        <f>IF($E170="VDO 2021 - Variation Final",
IF($G170="Residential",
INDEX(OP_TotalRates_RES_1[#Data],MATCH($C170,OP_TotalRates_RES_1[Rate name],0),MATCH(M$162,OP_TotalRates_RES_1[#Headers],0)),
INDEX(OP_TotalRates_SME_1[#Data],MATCH($C170,OP_TotalRates_SME_1[Rate name],0),MATCH(M$162,OP_TotalRates_SME_1[#Headers],0))),
IF($G170="Residential",
IF($F170="Calculated",
INDEX(OP_Rates_RES_2[#Data],MATCH($C170,OP_Rates_RES_2[Rate name],0),MATCH(M$162,OP_Rates_RES_2[#Headers],0)),
INDEX(OP_RatesTU_RES_2[#Data],MATCH($C170,OP_RatesTU_RES_2[Rate name],0),MATCH(M$162,OP_RatesTU_RES_2[#Headers],0))),
IF($F170="Calculated",
INDEX(OP_Rates_SME_2[#Data],MATCH($C170,OP_Rates_SME_2[Rate name],0),MATCH(M$162,OP_Rates_SME_2[#Headers])),
INDEX(OP_RatesTU_SME_2[#Data],MATCH($C170,OP_RatesTU_SME_2[Rate name],0),MATCH(M$162,OP_RatesTU_SME_2[#Headers],0)))))</f>
        <v>0.15709999999999999</v>
      </c>
      <c r="N170" s="180"/>
      <c r="O170" s="23" t="s">
        <v>691</v>
      </c>
      <c r="P170"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2000</v>
      </c>
    </row>
    <row r="171" spans="3:23" x14ac:dyDescent="0.25">
      <c r="C171" s="23" t="s">
        <v>550</v>
      </c>
      <c r="D171" s="23" t="s">
        <v>109</v>
      </c>
      <c r="E171" s="23" t="s">
        <v>410</v>
      </c>
      <c r="F171" s="23" t="s">
        <v>750</v>
      </c>
      <c r="G171" s="23" t="s">
        <v>93</v>
      </c>
      <c r="H171" s="23" t="s">
        <v>556</v>
      </c>
      <c r="I171" s="209">
        <f>IF($E171="VDO 2021 - Variation Final",
IF($G171="Residential",
INDEX(OP_TotalRates_RES_1[#Data],MATCH($C171,OP_TotalRates_RES_1[Rate name],0),MATCH(I$162,OP_TotalRates_RES_1[#Headers],0)),
INDEX(OP_TotalRates_SME_1[#Data],MATCH($C171,OP_TotalRates_SME_1[Rate name],0),MATCH(I$162,OP_TotalRates_SME_1[#Headers],0))),
IF($G171="Residential",
IF($F171="Calculated",
INDEX(OP_Rates_RES_2[#Data],MATCH($C171,OP_Rates_RES_2[Rate name],0),MATCH(I$162,OP_Rates_RES_2[#Headers],0)),
INDEX(OP_RatesTU_RES_2[#Data],MATCH($C171,OP_RatesTU_RES_2[Rate name],0),MATCH(I$162,OP_RatesTU_RES_2[#Headers],0))),
IF($F171="Calculated",
INDEX(OP_Rates_SME_2[#Data],MATCH($C171,OP_Rates_SME_2[Rate name],0),MATCH(I$162,OP_Rates_SME_2[#Headers])),
INDEX(OP_RatesTU_SME_2[#Data],MATCH($C171,OP_RatesTU_SME_2[Rate name],0),MATCH(I$162,OP_RatesTU_SME_2[#Headers],0)))))</f>
        <v>1.2310000000000001</v>
      </c>
      <c r="J171" s="209">
        <f>IF($E171="VDO 2021 - Variation Final",
IF($G171="Residential",
INDEX(OP_TotalRates_RES_1[#Data],MATCH($C171,OP_TotalRates_RES_1[Rate name],0),MATCH(J$162,OP_TotalRates_RES_1[#Headers],0)),
INDEX(OP_TotalRates_SME_1[#Data],MATCH($C171,OP_TotalRates_SME_1[Rate name],0),MATCH(J$162,OP_TotalRates_SME_1[#Headers],0))),
IF($G171="Residential",
IF($F171="Calculated",
INDEX(OP_Rates_RES_2[#Data],MATCH($C171,OP_Rates_RES_2[Rate name],0),MATCH(J$162,OP_Rates_RES_2[#Headers],0)),
INDEX(OP_RatesTU_RES_2[#Data],MATCH($C171,OP_RatesTU_RES_2[Rate name],0),MATCH(J$162,OP_RatesTU_RES_2[#Headers],0))),
IF($F171="Calculated",
INDEX(OP_Rates_SME_2[#Data],MATCH($C171,OP_Rates_SME_2[Rate name],0),MATCH(J$162,OP_Rates_SME_2[#Headers])),
INDEX(OP_RatesTU_SME_2[#Data],MATCH($C171,OP_RatesTU_SME_2[Rate name],0),MATCH(J$162,OP_RatesTU_SME_2[#Headers],0)))))</f>
        <v>1.3541000000000001</v>
      </c>
      <c r="K171" s="209">
        <f>IF($E171="VDO 2021 - Variation Final",
IF($G171="Residential",
INDEX(OP_TotalRates_RES_1[#Data],MATCH($C171,OP_TotalRates_RES_1[Rate name],0),MATCH(K$162,OP_TotalRates_RES_1[#Headers],0)),
INDEX(OP_TotalRates_SME_1[#Data],MATCH($C171,OP_TotalRates_SME_1[Rate name],0),MATCH(K$162,OP_TotalRates_SME_1[#Headers],0))),
IF($G171="Residential",
IF($F171="Calculated",
INDEX(OP_Rates_RES_2[#Data],MATCH($C171,OP_Rates_RES_2[Rate name],0),MATCH(K$162,OP_Rates_RES_2[#Headers],0)),
INDEX(OP_RatesTU_RES_2[#Data],MATCH($C171,OP_RatesTU_RES_2[Rate name],0),MATCH(K$162,OP_RatesTU_RES_2[#Headers],0))),
IF($F171="Calculated",
INDEX(OP_Rates_SME_2[#Data],MATCH($C171,OP_Rates_SME_2[Rate name],0),MATCH(K$162,OP_Rates_SME_2[#Headers])),
INDEX(OP_RatesTU_SME_2[#Data],MATCH($C171,OP_RatesTU_SME_2[Rate name],0),MATCH(K$162,OP_RatesTU_SME_2[#Headers],0)))))</f>
        <v>1.2509999999999999</v>
      </c>
      <c r="L171" s="209">
        <f>IF($E171="VDO 2021 - Variation Final",
IF($G171="Residential",
INDEX(OP_TotalRates_RES_1[#Data],MATCH($C171,OP_TotalRates_RES_1[Rate name],0),MATCH(L$162,OP_TotalRates_RES_1[#Headers],0)),
INDEX(OP_TotalRates_SME_1[#Data],MATCH($C171,OP_TotalRates_SME_1[Rate name],0),MATCH(L$162,OP_TotalRates_SME_1[#Headers],0))),
IF($G171="Residential",
IF($F171="Calculated",
INDEX(OP_Rates_RES_2[#Data],MATCH($C171,OP_Rates_RES_2[Rate name],0),MATCH(L$162,OP_Rates_RES_2[#Headers],0)),
INDEX(OP_RatesTU_RES_2[#Data],MATCH($C171,OP_RatesTU_RES_2[Rate name],0),MATCH(L$162,OP_RatesTU_RES_2[#Headers],0))),
IF($F171="Calculated",
INDEX(OP_Rates_SME_2[#Data],MATCH($C171,OP_Rates_SME_2[Rate name],0),MATCH(L$162,OP_Rates_SME_2[#Headers])),
INDEX(OP_RatesTU_SME_2[#Data],MATCH($C171,OP_RatesTU_SME_2[Rate name],0),MATCH(L$162,OP_RatesTU_SME_2[#Headers],0)))))</f>
        <v>1.4078999999999999</v>
      </c>
      <c r="M171" s="209">
        <f>IF($E171="VDO 2021 - Variation Final",
IF($G171="Residential",
INDEX(OP_TotalRates_RES_1[#Data],MATCH($C171,OP_TotalRates_RES_1[Rate name],0),MATCH(M$162,OP_TotalRates_RES_1[#Headers],0)),
INDEX(OP_TotalRates_SME_1[#Data],MATCH($C171,OP_TotalRates_SME_1[Rate name],0),MATCH(M$162,OP_TotalRates_SME_1[#Headers],0))),
IF($G171="Residential",
IF($F171="Calculated",
INDEX(OP_Rates_RES_2[#Data],MATCH($C171,OP_Rates_RES_2[Rate name],0),MATCH(M$162,OP_Rates_RES_2[#Headers],0)),
INDEX(OP_RatesTU_RES_2[#Data],MATCH($C171,OP_RatesTU_RES_2[Rate name],0),MATCH(M$162,OP_RatesTU_RES_2[#Headers],0))),
IF($F171="Calculated",
INDEX(OP_Rates_SME_2[#Data],MATCH($C171,OP_Rates_SME_2[Rate name],0),MATCH(M$162,OP_Rates_SME_2[#Headers])),
INDEX(OP_RatesTU_SME_2[#Data],MATCH($C171,OP_RatesTU_SME_2[Rate name],0),MATCH(M$162,OP_RatesTU_SME_2[#Headers],0)))))</f>
        <v>1.1664000000000001</v>
      </c>
      <c r="N171" s="180"/>
      <c r="O171" s="23" t="s">
        <v>427</v>
      </c>
      <c r="P171"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row>
    <row r="172" spans="3:23" x14ac:dyDescent="0.25">
      <c r="C172" s="23" t="s">
        <v>221</v>
      </c>
      <c r="D172" s="23" t="s">
        <v>282</v>
      </c>
      <c r="E172" s="23" t="s">
        <v>410</v>
      </c>
      <c r="F172" s="23" t="s">
        <v>750</v>
      </c>
      <c r="G172" s="23" t="s">
        <v>93</v>
      </c>
      <c r="H172" s="23" t="s">
        <v>556</v>
      </c>
      <c r="I172" s="209">
        <f>IF($E172="VDO 2021 - Variation Final",
IF($G172="Residential",
INDEX(OP_TotalRates_RES_1[#Data],MATCH($C172,OP_TotalRates_RES_1[Rate name],0),MATCH(I$162,OP_TotalRates_RES_1[#Headers],0)),
INDEX(OP_TotalRates_SME_1[#Data],MATCH($C172,OP_TotalRates_SME_1[Rate name],0),MATCH(I$162,OP_TotalRates_SME_1[#Headers],0))),
IF($G172="Residential",
IF($F172="Calculated",
INDEX(OP_Rates_RES_2[#Data],MATCH($C172,OP_Rates_RES_2[Rate name],0),MATCH(I$162,OP_Rates_RES_2[#Headers],0)),
INDEX(OP_RatesTU_RES_2[#Data],MATCH($C172,OP_RatesTU_RES_2[Rate name],0),MATCH(I$162,OP_RatesTU_RES_2[#Headers],0))),
IF($F172="Calculated",
INDEX(OP_Rates_SME_2[#Data],MATCH($C172,OP_Rates_SME_2[Rate name],0),MATCH(I$162,OP_Rates_SME_2[#Headers])),
INDEX(OP_RatesTU_SME_2[#Data],MATCH($C172,OP_RatesTU_SME_2[Rate name],0),MATCH(I$162,OP_RatesTU_SME_2[#Headers],0)))))</f>
        <v>0.3019</v>
      </c>
      <c r="J172" s="209">
        <f>IF($E172="VDO 2021 - Variation Final",
IF($G172="Residential",
INDEX(OP_TotalRates_RES_1[#Data],MATCH($C172,OP_TotalRates_RES_1[Rate name],0),MATCH(J$162,OP_TotalRates_RES_1[#Headers],0)),
INDEX(OP_TotalRates_SME_1[#Data],MATCH($C172,OP_TotalRates_SME_1[Rate name],0),MATCH(J$162,OP_TotalRates_SME_1[#Headers],0))),
IF($G172="Residential",
IF($F172="Calculated",
INDEX(OP_Rates_RES_2[#Data],MATCH($C172,OP_Rates_RES_2[Rate name],0),MATCH(J$162,OP_Rates_RES_2[#Headers],0)),
INDEX(OP_RatesTU_RES_2[#Data],MATCH($C172,OP_RatesTU_RES_2[Rate name],0),MATCH(J$162,OP_RatesTU_RES_2[#Headers],0))),
IF($F172="Calculated",
INDEX(OP_Rates_SME_2[#Data],MATCH($C172,OP_Rates_SME_2[Rate name],0),MATCH(J$162,OP_Rates_SME_2[#Headers])),
INDEX(OP_RatesTU_SME_2[#Data],MATCH($C172,OP_RatesTU_SME_2[Rate name],0),MATCH(J$162,OP_RatesTU_SME_2[#Headers],0)))))</f>
        <v>0</v>
      </c>
      <c r="K172" s="209">
        <f>IF($E172="VDO 2021 - Variation Final",
IF($G172="Residential",
INDEX(OP_TotalRates_RES_1[#Data],MATCH($C172,OP_TotalRates_RES_1[Rate name],0),MATCH(K$162,OP_TotalRates_RES_1[#Headers],0)),
INDEX(OP_TotalRates_SME_1[#Data],MATCH($C172,OP_TotalRates_SME_1[Rate name],0),MATCH(K$162,OP_TotalRates_SME_1[#Headers],0))),
IF($G172="Residential",
IF($F172="Calculated",
INDEX(OP_Rates_RES_2[#Data],MATCH($C172,OP_Rates_RES_2[Rate name],0),MATCH(K$162,OP_Rates_RES_2[#Headers],0)),
INDEX(OP_RatesTU_RES_2[#Data],MATCH($C172,OP_RatesTU_RES_2[Rate name],0),MATCH(K$162,OP_RatesTU_RES_2[#Headers],0))),
IF($F172="Calculated",
INDEX(OP_Rates_SME_2[#Data],MATCH($C172,OP_Rates_SME_2[Rate name],0),MATCH(K$162,OP_Rates_SME_2[#Headers])),
INDEX(OP_RatesTU_SME_2[#Data],MATCH($C172,OP_RatesTU_SME_2[Rate name],0),MATCH(K$162,OP_RatesTU_SME_2[#Headers],0)))))</f>
        <v>0</v>
      </c>
      <c r="L172" s="209">
        <f>IF($E172="VDO 2021 - Variation Final",
IF($G172="Residential",
INDEX(OP_TotalRates_RES_1[#Data],MATCH($C172,OP_TotalRates_RES_1[Rate name],0),MATCH(L$162,OP_TotalRates_RES_1[#Headers],0)),
INDEX(OP_TotalRates_SME_1[#Data],MATCH($C172,OP_TotalRates_SME_1[Rate name],0),MATCH(L$162,OP_TotalRates_SME_1[#Headers],0))),
IF($G172="Residential",
IF($F172="Calculated",
INDEX(OP_Rates_RES_2[#Data],MATCH($C172,OP_Rates_RES_2[Rate name],0),MATCH(L$162,OP_Rates_RES_2[#Headers],0)),
INDEX(OP_RatesTU_RES_2[#Data],MATCH($C172,OP_RatesTU_RES_2[Rate name],0),MATCH(L$162,OP_RatesTU_RES_2[#Headers],0))),
IF($F172="Calculated",
INDEX(OP_Rates_SME_2[#Data],MATCH($C172,OP_Rates_SME_2[Rate name],0),MATCH(L$162,OP_Rates_SME_2[#Headers])),
INDEX(OP_RatesTU_SME_2[#Data],MATCH($C172,OP_RatesTU_SME_2[Rate name],0),MATCH(L$162,OP_RatesTU_SME_2[#Headers],0)))))</f>
        <v>0</v>
      </c>
      <c r="M172" s="209">
        <f>IF($E172="VDO 2021 - Variation Final",
IF($G172="Residential",
INDEX(OP_TotalRates_RES_1[#Data],MATCH($C172,OP_TotalRates_RES_1[Rate name],0),MATCH(M$162,OP_TotalRates_RES_1[#Headers],0)),
INDEX(OP_TotalRates_SME_1[#Data],MATCH($C172,OP_TotalRates_SME_1[Rate name],0),MATCH(M$162,OP_TotalRates_SME_1[#Headers],0))),
IF($G172="Residential",
IF($F172="Calculated",
INDEX(OP_Rates_RES_2[#Data],MATCH($C172,OP_Rates_RES_2[Rate name],0),MATCH(M$162,OP_Rates_RES_2[#Headers],0)),
INDEX(OP_RatesTU_RES_2[#Data],MATCH($C172,OP_RatesTU_RES_2[Rate name],0),MATCH(M$162,OP_RatesTU_RES_2[#Headers],0))),
IF($F172="Calculated",
INDEX(OP_Rates_SME_2[#Data],MATCH($C172,OP_Rates_SME_2[Rate name],0),MATCH(M$162,OP_Rates_SME_2[#Headers])),
INDEX(OP_RatesTU_SME_2[#Data],MATCH($C172,OP_RatesTU_SME_2[Rate name],0),MATCH(M$162,OP_RatesTU_SME_2[#Headers],0)))))</f>
        <v>0</v>
      </c>
      <c r="N172" s="180"/>
      <c r="O172" s="23" t="s">
        <v>691</v>
      </c>
      <c r="P172"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4080</v>
      </c>
    </row>
    <row r="173" spans="3:23" x14ac:dyDescent="0.25">
      <c r="C173" s="23" t="s">
        <v>228</v>
      </c>
      <c r="D173" s="23" t="s">
        <v>282</v>
      </c>
      <c r="E173" s="23" t="s">
        <v>410</v>
      </c>
      <c r="F173" s="23" t="s">
        <v>750</v>
      </c>
      <c r="G173" s="23" t="s">
        <v>93</v>
      </c>
      <c r="H173" s="23" t="s">
        <v>556</v>
      </c>
      <c r="I173" s="209">
        <f>IF($E173="VDO 2021 - Variation Final",
IF($G173="Residential",
INDEX(OP_TotalRates_RES_1[#Data],MATCH($C173,OP_TotalRates_RES_1[Rate name],0),MATCH(I$162,OP_TotalRates_RES_1[#Headers],0)),
INDEX(OP_TotalRates_SME_1[#Data],MATCH($C173,OP_TotalRates_SME_1[Rate name],0),MATCH(I$162,OP_TotalRates_SME_1[#Headers],0))),
IF($G173="Residential",
IF($F173="Calculated",
INDEX(OP_Rates_RES_2[#Data],MATCH($C173,OP_Rates_RES_2[Rate name],0),MATCH(I$162,OP_Rates_RES_2[#Headers],0)),
INDEX(OP_RatesTU_RES_2[#Data],MATCH($C173,OP_RatesTU_RES_2[Rate name],0),MATCH(I$162,OP_RatesTU_RES_2[#Headers],0))),
IF($F173="Calculated",
INDEX(OP_Rates_SME_2[#Data],MATCH($C173,OP_Rates_SME_2[Rate name],0),MATCH(I$162,OP_Rates_SME_2[#Headers])),
INDEX(OP_RatesTU_SME_2[#Data],MATCH($C173,OP_RatesTU_SME_2[Rate name],0),MATCH(I$162,OP_RatesTU_SME_2[#Headers],0)))))</f>
        <v>0.3337</v>
      </c>
      <c r="J173" s="209">
        <f>IF($E173="VDO 2021 - Variation Final",
IF($G173="Residential",
INDEX(OP_TotalRates_RES_1[#Data],MATCH($C173,OP_TotalRates_RES_1[Rate name],0),MATCH(J$162,OP_TotalRates_RES_1[#Headers],0)),
INDEX(OP_TotalRates_SME_1[#Data],MATCH($C173,OP_TotalRates_SME_1[Rate name],0),MATCH(J$162,OP_TotalRates_SME_1[#Headers],0))),
IF($G173="Residential",
IF($F173="Calculated",
INDEX(OP_Rates_RES_2[#Data],MATCH($C173,OP_Rates_RES_2[Rate name],0),MATCH(J$162,OP_Rates_RES_2[#Headers],0)),
INDEX(OP_RatesTU_RES_2[#Data],MATCH($C173,OP_RatesTU_RES_2[Rate name],0),MATCH(J$162,OP_RatesTU_RES_2[#Headers],0))),
IF($F173="Calculated",
INDEX(OP_Rates_SME_2[#Data],MATCH($C173,OP_Rates_SME_2[Rate name],0),MATCH(J$162,OP_Rates_SME_2[#Headers])),
INDEX(OP_RatesTU_SME_2[#Data],MATCH($C173,OP_RatesTU_SME_2[Rate name],0),MATCH(J$162,OP_RatesTU_SME_2[#Headers],0)))))</f>
        <v>0</v>
      </c>
      <c r="K173" s="209">
        <f>IF($E173="VDO 2021 - Variation Final",
IF($G173="Residential",
INDEX(OP_TotalRates_RES_1[#Data],MATCH($C173,OP_TotalRates_RES_1[Rate name],0),MATCH(K$162,OP_TotalRates_RES_1[#Headers],0)),
INDEX(OP_TotalRates_SME_1[#Data],MATCH($C173,OP_TotalRates_SME_1[Rate name],0),MATCH(K$162,OP_TotalRates_SME_1[#Headers],0))),
IF($G173="Residential",
IF($F173="Calculated",
INDEX(OP_Rates_RES_2[#Data],MATCH($C173,OP_Rates_RES_2[Rate name],0),MATCH(K$162,OP_Rates_RES_2[#Headers],0)),
INDEX(OP_RatesTU_RES_2[#Data],MATCH($C173,OP_RatesTU_RES_2[Rate name],0),MATCH(K$162,OP_RatesTU_RES_2[#Headers],0))),
IF($F173="Calculated",
INDEX(OP_Rates_SME_2[#Data],MATCH($C173,OP_Rates_SME_2[Rate name],0),MATCH(K$162,OP_Rates_SME_2[#Headers])),
INDEX(OP_RatesTU_SME_2[#Data],MATCH($C173,OP_RatesTU_SME_2[Rate name],0),MATCH(K$162,OP_RatesTU_SME_2[#Headers],0)))))</f>
        <v>0</v>
      </c>
      <c r="L173" s="209">
        <f>IF($E173="VDO 2021 - Variation Final",
IF($G173="Residential",
INDEX(OP_TotalRates_RES_1[#Data],MATCH($C173,OP_TotalRates_RES_1[Rate name],0),MATCH(L$162,OP_TotalRates_RES_1[#Headers],0)),
INDEX(OP_TotalRates_SME_1[#Data],MATCH($C173,OP_TotalRates_SME_1[Rate name],0),MATCH(L$162,OP_TotalRates_SME_1[#Headers],0))),
IF($G173="Residential",
IF($F173="Calculated",
INDEX(OP_Rates_RES_2[#Data],MATCH($C173,OP_Rates_RES_2[Rate name],0),MATCH(L$162,OP_Rates_RES_2[#Headers],0)),
INDEX(OP_RatesTU_RES_2[#Data],MATCH($C173,OP_RatesTU_RES_2[Rate name],0),MATCH(L$162,OP_RatesTU_RES_2[#Headers],0))),
IF($F173="Calculated",
INDEX(OP_Rates_SME_2[#Data],MATCH($C173,OP_Rates_SME_2[Rate name],0),MATCH(L$162,OP_Rates_SME_2[#Headers])),
INDEX(OP_RatesTU_SME_2[#Data],MATCH($C173,OP_RatesTU_SME_2[Rate name],0),MATCH(L$162,OP_RatesTU_SME_2[#Headers],0)))))</f>
        <v>0</v>
      </c>
      <c r="M173" s="209">
        <f>IF($E173="VDO 2021 - Variation Final",
IF($G173="Residential",
INDEX(OP_TotalRates_RES_1[#Data],MATCH($C173,OP_TotalRates_RES_1[Rate name],0),MATCH(M$162,OP_TotalRates_RES_1[#Headers],0)),
INDEX(OP_TotalRates_SME_1[#Data],MATCH($C173,OP_TotalRates_SME_1[Rate name],0),MATCH(M$162,OP_TotalRates_SME_1[#Headers],0))),
IF($G173="Residential",
IF($F173="Calculated",
INDEX(OP_Rates_RES_2[#Data],MATCH($C173,OP_Rates_RES_2[Rate name],0),MATCH(M$162,OP_Rates_RES_2[#Headers],0)),
INDEX(OP_RatesTU_RES_2[#Data],MATCH($C173,OP_RatesTU_RES_2[Rate name],0),MATCH(M$162,OP_RatesTU_RES_2[#Headers],0))),
IF($F173="Calculated",
INDEX(OP_Rates_SME_2[#Data],MATCH($C173,OP_Rates_SME_2[Rate name],0),MATCH(M$162,OP_Rates_SME_2[#Headers])),
INDEX(OP_RatesTU_SME_2[#Data],MATCH($C173,OP_RatesTU_SME_2[Rate name],0),MATCH(M$162,OP_RatesTU_SME_2[#Headers],0)))))</f>
        <v>0</v>
      </c>
      <c r="N173" s="180"/>
      <c r="O173" s="23" t="s">
        <v>691</v>
      </c>
      <c r="P173"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15920</v>
      </c>
    </row>
    <row r="174" spans="3:23" x14ac:dyDescent="0.25">
      <c r="C174" s="23" t="s">
        <v>549</v>
      </c>
      <c r="D174" s="23" t="s">
        <v>282</v>
      </c>
      <c r="E174" s="23" t="s">
        <v>410</v>
      </c>
      <c r="F174" s="23" t="s">
        <v>750</v>
      </c>
      <c r="G174" s="23" t="s">
        <v>93</v>
      </c>
      <c r="H174" s="23" t="s">
        <v>556</v>
      </c>
      <c r="I174" s="209">
        <f>IF($E174="VDO 2021 - Variation Final",
IF($G174="Residential",
INDEX(OP_TotalRates_RES_1[#Data],MATCH($C174,OP_TotalRates_RES_1[Rate name],0),MATCH(I$162,OP_TotalRates_RES_1[#Headers],0)),
INDEX(OP_TotalRates_SME_1[#Data],MATCH($C174,OP_TotalRates_SME_1[Rate name],0),MATCH(I$162,OP_TotalRates_SME_1[#Headers],0))),
IF($G174="Residential",
IF($F174="Calculated",
INDEX(OP_Rates_RES_2[#Data],MATCH($C174,OP_Rates_RES_2[Rate name],0),MATCH(I$162,OP_Rates_RES_2[#Headers],0)),
INDEX(OP_RatesTU_RES_2[#Data],MATCH($C174,OP_RatesTU_RES_2[Rate name],0),MATCH(I$162,OP_RatesTU_RES_2[#Headers],0))),
IF($F174="Calculated",
INDEX(OP_Rates_SME_2[#Data],MATCH($C174,OP_Rates_SME_2[Rate name],0),MATCH(I$162,OP_Rates_SME_2[#Headers])),
INDEX(OP_RatesTU_SME_2[#Data],MATCH($C174,OP_RatesTU_SME_2[Rate name],0),MATCH(I$162,OP_RatesTU_SME_2[#Headers],0)))))</f>
        <v>0</v>
      </c>
      <c r="J174" s="209">
        <f>IF($E174="VDO 2021 - Variation Final",
IF($G174="Residential",
INDEX(OP_TotalRates_RES_1[#Data],MATCH($C174,OP_TotalRates_RES_1[Rate name],0),MATCH(J$162,OP_TotalRates_RES_1[#Headers],0)),
INDEX(OP_TotalRates_SME_1[#Data],MATCH($C174,OP_TotalRates_SME_1[Rate name],0),MATCH(J$162,OP_TotalRates_SME_1[#Headers],0))),
IF($G174="Residential",
IF($F174="Calculated",
INDEX(OP_Rates_RES_2[#Data],MATCH($C174,OP_Rates_RES_2[Rate name],0),MATCH(J$162,OP_Rates_RES_2[#Headers],0)),
INDEX(OP_RatesTU_RES_2[#Data],MATCH($C174,OP_RatesTU_RES_2[Rate name],0),MATCH(J$162,OP_RatesTU_RES_2[#Headers],0))),
IF($F174="Calculated",
INDEX(OP_Rates_SME_2[#Data],MATCH($C174,OP_Rates_SME_2[Rate name],0),MATCH(J$162,OP_Rates_SME_2[#Headers])),
INDEX(OP_RatesTU_SME_2[#Data],MATCH($C174,OP_RatesTU_SME_2[Rate name],0),MATCH(J$162,OP_RatesTU_SME_2[#Headers],0)))))</f>
        <v>0.21510000000000001</v>
      </c>
      <c r="K174" s="209">
        <f>IF($E174="VDO 2021 - Variation Final",
IF($G174="Residential",
INDEX(OP_TotalRates_RES_1[#Data],MATCH($C174,OP_TotalRates_RES_1[Rate name],0),MATCH(K$162,OP_TotalRates_RES_1[#Headers],0)),
INDEX(OP_TotalRates_SME_1[#Data],MATCH($C174,OP_TotalRates_SME_1[Rate name],0),MATCH(K$162,OP_TotalRates_SME_1[#Headers],0))),
IF($G174="Residential",
IF($F174="Calculated",
INDEX(OP_Rates_RES_2[#Data],MATCH($C174,OP_Rates_RES_2[Rate name],0),MATCH(K$162,OP_Rates_RES_2[#Headers],0)),
INDEX(OP_RatesTU_RES_2[#Data],MATCH($C174,OP_RatesTU_RES_2[Rate name],0),MATCH(K$162,OP_RatesTU_RES_2[#Headers],0))),
IF($F174="Calculated",
INDEX(OP_Rates_SME_2[#Data],MATCH($C174,OP_Rates_SME_2[Rate name],0),MATCH(K$162,OP_Rates_SME_2[#Headers])),
INDEX(OP_RatesTU_SME_2[#Data],MATCH($C174,OP_RatesTU_SME_2[Rate name],0),MATCH(K$162,OP_RatesTU_SME_2[#Headers],0)))))</f>
        <v>0.24560000000000001</v>
      </c>
      <c r="L174" s="209">
        <f>IF($E174="VDO 2021 - Variation Final",
IF($G174="Residential",
INDEX(OP_TotalRates_RES_1[#Data],MATCH($C174,OP_TotalRates_RES_1[Rate name],0),MATCH(L$162,OP_TotalRates_RES_1[#Headers],0)),
INDEX(OP_TotalRates_SME_1[#Data],MATCH($C174,OP_TotalRates_SME_1[Rate name],0),MATCH(L$162,OP_TotalRates_SME_1[#Headers],0))),
IF($G174="Residential",
IF($F174="Calculated",
INDEX(OP_Rates_RES_2[#Data],MATCH($C174,OP_Rates_RES_2[Rate name],0),MATCH(L$162,OP_Rates_RES_2[#Headers],0)),
INDEX(OP_RatesTU_RES_2[#Data],MATCH($C174,OP_RatesTU_RES_2[Rate name],0),MATCH(L$162,OP_RatesTU_RES_2[#Headers],0))),
IF($F174="Calculated",
INDEX(OP_Rates_SME_2[#Data],MATCH($C174,OP_Rates_SME_2[Rate name],0),MATCH(L$162,OP_Rates_SME_2[#Headers])),
INDEX(OP_RatesTU_SME_2[#Data],MATCH($C174,OP_RatesTU_SME_2[Rate name],0),MATCH(L$162,OP_RatesTU_SME_2[#Headers],0)))))</f>
        <v>0.2266</v>
      </c>
      <c r="M174" s="209">
        <f>IF($E174="VDO 2021 - Variation Final",
IF($G174="Residential",
INDEX(OP_TotalRates_RES_1[#Data],MATCH($C174,OP_TotalRates_RES_1[Rate name],0),MATCH(M$162,OP_TotalRates_RES_1[#Headers],0)),
INDEX(OP_TotalRates_SME_1[#Data],MATCH($C174,OP_TotalRates_SME_1[Rate name],0),MATCH(M$162,OP_TotalRates_SME_1[#Headers],0))),
IF($G174="Residential",
IF($F174="Calculated",
INDEX(OP_Rates_RES_2[#Data],MATCH($C174,OP_Rates_RES_2[Rate name],0),MATCH(M$162,OP_Rates_RES_2[#Headers],0)),
INDEX(OP_RatesTU_RES_2[#Data],MATCH($C174,OP_RatesTU_RES_2[Rate name],0),MATCH(M$162,OP_RatesTU_RES_2[#Headers],0))),
IF($F174="Calculated",
INDEX(OP_Rates_SME_2[#Data],MATCH($C174,OP_Rates_SME_2[Rate name],0),MATCH(M$162,OP_Rates_SME_2[#Headers])),
INDEX(OP_RatesTU_SME_2[#Data],MATCH($C174,OP_RatesTU_SME_2[Rate name],0),MATCH(M$162,OP_RatesTU_SME_2[#Headers],0)))))</f>
        <v>0.22189999999999999</v>
      </c>
      <c r="N174" s="180"/>
      <c r="O174" s="23" t="s">
        <v>691</v>
      </c>
      <c r="P174"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20000</v>
      </c>
    </row>
    <row r="175" spans="3:23" x14ac:dyDescent="0.25">
      <c r="C175" s="23" t="s">
        <v>551</v>
      </c>
      <c r="D175" s="23" t="s">
        <v>109</v>
      </c>
      <c r="E175" s="23" t="s">
        <v>410</v>
      </c>
      <c r="F175" s="23" t="s">
        <v>750</v>
      </c>
      <c r="G175" s="23" t="s">
        <v>93</v>
      </c>
      <c r="H175" s="23" t="s">
        <v>557</v>
      </c>
      <c r="I175" s="209">
        <f>IF($E175="VDO 2021 - Variation Final",
IF($G175="Residential",
INDEX(OP_TotalRates_RES_1[#Data],MATCH($C175,OP_TotalRates_RES_1[Rate name],0),MATCH(I$162,OP_TotalRates_RES_1[#Headers],0)),
INDEX(OP_TotalRates_SME_1[#Data],MATCH($C175,OP_TotalRates_SME_1[Rate name],0),MATCH(I$162,OP_TotalRates_SME_1[#Headers],0))),
IF($G175="Residential",
IF($F175="Calculated",
INDEX(OP_Rates_RES_2[#Data],MATCH($C175,OP_Rates_RES_2[Rate name],0),MATCH(I$162,OP_Rates_RES_2[#Headers],0)),
INDEX(OP_RatesTU_RES_2[#Data],MATCH($C175,OP_RatesTU_RES_2[Rate name],0),MATCH(I$162,OP_RatesTU_RES_2[#Headers],0))),
IF($F175="Calculated",
INDEX(OP_Rates_SME_2[#Data],MATCH($C175,OP_Rates_SME_2[Rate name],0),MATCH(I$162,OP_Rates_SME_2[#Headers])),
INDEX(OP_RatesTU_SME_2[#Data],MATCH($C175,OP_RatesTU_SME_2[Rate name],0),MATCH(I$162,OP_RatesTU_SME_2[#Headers],0)))))</f>
        <v>1.2310000000000001</v>
      </c>
      <c r="J175" s="209">
        <f>IF($E175="VDO 2021 - Variation Final",
IF($G175="Residential",
INDEX(OP_TotalRates_RES_1[#Data],MATCH($C175,OP_TotalRates_RES_1[Rate name],0),MATCH(J$162,OP_TotalRates_RES_1[#Headers],0)),
INDEX(OP_TotalRates_SME_1[#Data],MATCH($C175,OP_TotalRates_SME_1[Rate name],0),MATCH(J$162,OP_TotalRates_SME_1[#Headers],0))),
IF($G175="Residential",
IF($F175="Calculated",
INDEX(OP_Rates_RES_2[#Data],MATCH($C175,OP_Rates_RES_2[Rate name],0),MATCH(J$162,OP_Rates_RES_2[#Headers],0)),
INDEX(OP_RatesTU_RES_2[#Data],MATCH($C175,OP_RatesTU_RES_2[Rate name],0),MATCH(J$162,OP_RatesTU_RES_2[#Headers],0))),
IF($F175="Calculated",
INDEX(OP_Rates_SME_2[#Data],MATCH($C175,OP_Rates_SME_2[Rate name],0),MATCH(J$162,OP_Rates_SME_2[#Headers])),
INDEX(OP_RatesTU_SME_2[#Data],MATCH($C175,OP_RatesTU_SME_2[Rate name],0),MATCH(J$162,OP_RatesTU_SME_2[#Headers],0)))))</f>
        <v>1.3541000000000001</v>
      </c>
      <c r="K175" s="209">
        <f>IF($E175="VDO 2021 - Variation Final",
IF($G175="Residential",
INDEX(OP_TotalRates_RES_1[#Data],MATCH($C175,OP_TotalRates_RES_1[Rate name],0),MATCH(K$162,OP_TotalRates_RES_1[#Headers],0)),
INDEX(OP_TotalRates_SME_1[#Data],MATCH($C175,OP_TotalRates_SME_1[Rate name],0),MATCH(K$162,OP_TotalRates_SME_1[#Headers],0))),
IF($G175="Residential",
IF($F175="Calculated",
INDEX(OP_Rates_RES_2[#Data],MATCH($C175,OP_Rates_RES_2[Rate name],0),MATCH(K$162,OP_Rates_RES_2[#Headers],0)),
INDEX(OP_RatesTU_RES_2[#Data],MATCH($C175,OP_RatesTU_RES_2[Rate name],0),MATCH(K$162,OP_RatesTU_RES_2[#Headers],0))),
IF($F175="Calculated",
INDEX(OP_Rates_SME_2[#Data],MATCH($C175,OP_Rates_SME_2[Rate name],0),MATCH(K$162,OP_Rates_SME_2[#Headers])),
INDEX(OP_RatesTU_SME_2[#Data],MATCH($C175,OP_RatesTU_SME_2[Rate name],0),MATCH(K$162,OP_RatesTU_SME_2[#Headers],0)))))</f>
        <v>1.5951</v>
      </c>
      <c r="L175" s="209">
        <f>IF($E175="VDO 2021 - Variation Final",
IF($G175="Residential",
INDEX(OP_TotalRates_RES_1[#Data],MATCH($C175,OP_TotalRates_RES_1[Rate name],0),MATCH(L$162,OP_TotalRates_RES_1[#Headers],0)),
INDEX(OP_TotalRates_SME_1[#Data],MATCH($C175,OP_TotalRates_SME_1[Rate name],0),MATCH(L$162,OP_TotalRates_SME_1[#Headers],0))),
IF($G175="Residential",
IF($F175="Calculated",
INDEX(OP_Rates_RES_2[#Data],MATCH($C175,OP_Rates_RES_2[Rate name],0),MATCH(L$162,OP_Rates_RES_2[#Headers],0)),
INDEX(OP_RatesTU_RES_2[#Data],MATCH($C175,OP_RatesTU_RES_2[Rate name],0),MATCH(L$162,OP_RatesTU_RES_2[#Headers],0))),
IF($F175="Calculated",
INDEX(OP_Rates_SME_2[#Data],MATCH($C175,OP_Rates_SME_2[Rate name],0),MATCH(L$162,OP_Rates_SME_2[#Headers])),
INDEX(OP_RatesTU_SME_2[#Data],MATCH($C175,OP_RatesTU_SME_2[Rate name],0),MATCH(L$162,OP_RatesTU_SME_2[#Headers],0)))))</f>
        <v>1.4078999999999999</v>
      </c>
      <c r="M175" s="209">
        <f>IF($E175="VDO 2021 - Variation Final",
IF($G175="Residential",
INDEX(OP_TotalRates_RES_1[#Data],MATCH($C175,OP_TotalRates_RES_1[Rate name],0),MATCH(M$162,OP_TotalRates_RES_1[#Headers],0)),
INDEX(OP_TotalRates_SME_1[#Data],MATCH($C175,OP_TotalRates_SME_1[Rate name],0),MATCH(M$162,OP_TotalRates_SME_1[#Headers],0))),
IF($G175="Residential",
IF($F175="Calculated",
INDEX(OP_Rates_RES_2[#Data],MATCH($C175,OP_Rates_RES_2[Rate name],0),MATCH(M$162,OP_Rates_RES_2[#Headers],0)),
INDEX(OP_RatesTU_RES_2[#Data],MATCH($C175,OP_RatesTU_RES_2[Rate name],0),MATCH(M$162,OP_RatesTU_RES_2[#Headers],0))),
IF($F175="Calculated",
INDEX(OP_Rates_SME_2[#Data],MATCH($C175,OP_Rates_SME_2[Rate name],0),MATCH(M$162,OP_Rates_SME_2[#Headers])),
INDEX(OP_RatesTU_SME_2[#Data],MATCH($C175,OP_RatesTU_SME_2[Rate name],0),MATCH(M$162,OP_RatesTU_SME_2[#Headers],0)))))</f>
        <v>1.1664000000000001</v>
      </c>
      <c r="N175" s="180"/>
      <c r="O175" s="23" t="s">
        <v>427</v>
      </c>
      <c r="P175"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row>
    <row r="176" spans="3:23" x14ac:dyDescent="0.25">
      <c r="C176" s="23" t="s">
        <v>230</v>
      </c>
      <c r="D176" s="23" t="s">
        <v>282</v>
      </c>
      <c r="E176" s="23" t="s">
        <v>410</v>
      </c>
      <c r="F176" s="23" t="s">
        <v>750</v>
      </c>
      <c r="G176" s="23" t="s">
        <v>93</v>
      </c>
      <c r="H176" s="23" t="s">
        <v>557</v>
      </c>
      <c r="I176" s="209">
        <f>IF($E176="VDO 2021 - Variation Final",
IF($G176="Residential",
INDEX(OP_TotalRates_RES_1[#Data],MATCH($C176,OP_TotalRates_RES_1[Rate name],0),MATCH(I$162,OP_TotalRates_RES_1[#Headers],0)),
INDEX(OP_TotalRates_SME_1[#Data],MATCH($C176,OP_TotalRates_SME_1[Rate name],0),MATCH(I$162,OP_TotalRates_SME_1[#Headers],0))),
IF($G176="Residential",
IF($F176="Calculated",
INDEX(OP_Rates_RES_2[#Data],MATCH($C176,OP_Rates_RES_2[Rate name],0),MATCH(I$162,OP_Rates_RES_2[#Headers],0)),
INDEX(OP_RatesTU_RES_2[#Data],MATCH($C176,OP_RatesTU_RES_2[Rate name],0),MATCH(I$162,OP_RatesTU_RES_2[#Headers],0))),
IF($F176="Calculated",
INDEX(OP_Rates_SME_2[#Data],MATCH($C176,OP_Rates_SME_2[Rate name],0),MATCH(I$162,OP_Rates_SME_2[#Headers])),
INDEX(OP_RatesTU_SME_2[#Data],MATCH($C176,OP_RatesTU_SME_2[Rate name],0),MATCH(I$162,OP_RatesTU_SME_2[#Headers],0)))))</f>
        <v>0.32490000000000002</v>
      </c>
      <c r="J176" s="209">
        <f>IF($E176="VDO 2021 - Variation Final",
IF($G176="Residential",
INDEX(OP_TotalRates_RES_1[#Data],MATCH($C176,OP_TotalRates_RES_1[Rate name],0),MATCH(J$162,OP_TotalRates_RES_1[#Headers],0)),
INDEX(OP_TotalRates_SME_1[#Data],MATCH($C176,OP_TotalRates_SME_1[Rate name],0),MATCH(J$162,OP_TotalRates_SME_1[#Headers],0))),
IF($G176="Residential",
IF($F176="Calculated",
INDEX(OP_Rates_RES_2[#Data],MATCH($C176,OP_Rates_RES_2[Rate name],0),MATCH(J$162,OP_Rates_RES_2[#Headers],0)),
INDEX(OP_RatesTU_RES_2[#Data],MATCH($C176,OP_RatesTU_RES_2[Rate name],0),MATCH(J$162,OP_RatesTU_RES_2[#Headers],0))),
IF($F176="Calculated",
INDEX(OP_Rates_SME_2[#Data],MATCH($C176,OP_Rates_SME_2[Rate name],0),MATCH(J$162,OP_Rates_SME_2[#Headers])),
INDEX(OP_RatesTU_SME_2[#Data],MATCH($C176,OP_RatesTU_SME_2[Rate name],0),MATCH(J$162,OP_RatesTU_SME_2[#Headers],0)))))</f>
        <v>0.2712</v>
      </c>
      <c r="K176" s="209">
        <f>IF($E176="VDO 2021 - Variation Final",
IF($G176="Residential",
INDEX(OP_TotalRates_RES_1[#Data],MATCH($C176,OP_TotalRates_RES_1[Rate name],0),MATCH(K$162,OP_TotalRates_RES_1[#Headers],0)),
INDEX(OP_TotalRates_SME_1[#Data],MATCH($C176,OP_TotalRates_SME_1[Rate name],0),MATCH(K$162,OP_TotalRates_SME_1[#Headers],0))),
IF($G176="Residential",
IF($F176="Calculated",
INDEX(OP_Rates_RES_2[#Data],MATCH($C176,OP_Rates_RES_2[Rate name],0),MATCH(K$162,OP_Rates_RES_2[#Headers],0)),
INDEX(OP_RatesTU_RES_2[#Data],MATCH($C176,OP_RatesTU_RES_2[Rate name],0),MATCH(K$162,OP_RatesTU_RES_2[#Headers],0))),
IF($F176="Calculated",
INDEX(OP_Rates_SME_2[#Data],MATCH($C176,OP_Rates_SME_2[Rate name],0),MATCH(K$162,OP_Rates_SME_2[#Headers])),
INDEX(OP_RatesTU_SME_2[#Data],MATCH($C176,OP_RatesTU_SME_2[Rate name],0),MATCH(K$162,OP_RatesTU_SME_2[#Headers],0)))))</f>
        <v>0.2848</v>
      </c>
      <c r="L176" s="209">
        <f>IF($E176="VDO 2021 - Variation Final",
IF($G176="Residential",
INDEX(OP_TotalRates_RES_1[#Data],MATCH($C176,OP_TotalRates_RES_1[Rate name],0),MATCH(L$162,OP_TotalRates_RES_1[#Headers],0)),
INDEX(OP_TotalRates_SME_1[#Data],MATCH($C176,OP_TotalRates_SME_1[Rate name],0),MATCH(L$162,OP_TotalRates_SME_1[#Headers],0))),
IF($G176="Residential",
IF($F176="Calculated",
INDEX(OP_Rates_RES_2[#Data],MATCH($C176,OP_Rates_RES_2[Rate name],0),MATCH(L$162,OP_Rates_RES_2[#Headers],0)),
INDEX(OP_RatesTU_RES_2[#Data],MATCH($C176,OP_RatesTU_RES_2[Rate name],0),MATCH(L$162,OP_RatesTU_RES_2[#Headers],0))),
IF($F176="Calculated",
INDEX(OP_Rates_SME_2[#Data],MATCH($C176,OP_Rates_SME_2[Rate name],0),MATCH(L$162,OP_Rates_SME_2[#Headers])),
INDEX(OP_RatesTU_SME_2[#Data],MATCH($C176,OP_RatesTU_SME_2[Rate name],0),MATCH(L$162,OP_RatesTU_SME_2[#Headers],0)))))</f>
        <v>0.2903</v>
      </c>
      <c r="M176" s="209">
        <f>IF($E176="VDO 2021 - Variation Final",
IF($G176="Residential",
INDEX(OP_TotalRates_RES_1[#Data],MATCH($C176,OP_TotalRates_RES_1[Rate name],0),MATCH(M$162,OP_TotalRates_RES_1[#Headers],0)),
INDEX(OP_TotalRates_SME_1[#Data],MATCH($C176,OP_TotalRates_SME_1[Rate name],0),MATCH(M$162,OP_TotalRates_SME_1[#Headers],0))),
IF($G176="Residential",
IF($F176="Calculated",
INDEX(OP_Rates_RES_2[#Data],MATCH($C176,OP_Rates_RES_2[Rate name],0),MATCH(M$162,OP_Rates_RES_2[#Headers],0)),
INDEX(OP_RatesTU_RES_2[#Data],MATCH($C176,OP_RatesTU_RES_2[Rate name],0),MATCH(M$162,OP_RatesTU_RES_2[#Headers],0))),
IF($F176="Calculated",
INDEX(OP_Rates_SME_2[#Data],MATCH($C176,OP_Rates_SME_2[Rate name],0),MATCH(M$162,OP_Rates_SME_2[#Headers])),
INDEX(OP_RatesTU_SME_2[#Data],MATCH($C176,OP_RatesTU_SME_2[Rate name],0),MATCH(M$162,OP_RatesTU_SME_2[#Headers],0)))))</f>
        <v>0.28249999999999997</v>
      </c>
      <c r="N176" s="180"/>
      <c r="O176" s="23" t="s">
        <v>691</v>
      </c>
      <c r="P176"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9800</v>
      </c>
    </row>
    <row r="177" spans="3:16" x14ac:dyDescent="0.25">
      <c r="C177" s="23" t="s">
        <v>609</v>
      </c>
      <c r="D177" s="23" t="s">
        <v>282</v>
      </c>
      <c r="E177" s="23" t="s">
        <v>410</v>
      </c>
      <c r="F177" s="23" t="s">
        <v>750</v>
      </c>
      <c r="G177" s="23" t="s">
        <v>93</v>
      </c>
      <c r="H177" s="23" t="s">
        <v>557</v>
      </c>
      <c r="I177" s="209">
        <f>IF($E177="VDO 2021 - Variation Final",
IF($G177="Residential",
INDEX(OP_TotalRates_RES_1[#Data],MATCH($C177,OP_TotalRates_RES_1[Rate name],0),MATCH(I$162,OP_TotalRates_RES_1[#Headers],0)),
INDEX(OP_TotalRates_SME_1[#Data],MATCH($C177,OP_TotalRates_SME_1[Rate name],0),MATCH(I$162,OP_TotalRates_SME_1[#Headers],0))),
IF($G177="Residential",
IF($F177="Calculated",
INDEX(OP_Rates_RES_2[#Data],MATCH($C177,OP_Rates_RES_2[Rate name],0),MATCH(I$162,OP_Rates_RES_2[#Headers],0)),
INDEX(OP_RatesTU_RES_2[#Data],MATCH($C177,OP_RatesTU_RES_2[Rate name],0),MATCH(I$162,OP_RatesTU_RES_2[#Headers],0))),
IF($F177="Calculated",
INDEX(OP_Rates_SME_2[#Data],MATCH($C177,OP_Rates_SME_2[Rate name],0),MATCH(I$162,OP_Rates_SME_2[#Headers])),
INDEX(OP_RatesTU_SME_2[#Data],MATCH($C177,OP_RatesTU_SME_2[Rate name],0),MATCH(I$162,OP_RatesTU_SME_2[#Headers],0)))))</f>
        <v>0.1704</v>
      </c>
      <c r="J177" s="209">
        <f>IF($E177="VDO 2021 - Variation Final",
IF($G177="Residential",
INDEX(OP_TotalRates_RES_1[#Data],MATCH($C177,OP_TotalRates_RES_1[Rate name],0),MATCH(J$162,OP_TotalRates_RES_1[#Headers],0)),
INDEX(OP_TotalRates_SME_1[#Data],MATCH($C177,OP_TotalRates_SME_1[Rate name],0),MATCH(J$162,OP_TotalRates_SME_1[#Headers],0))),
IF($G177="Residential",
IF($F177="Calculated",
INDEX(OP_Rates_RES_2[#Data],MATCH($C177,OP_Rates_RES_2[Rate name],0),MATCH(J$162,OP_Rates_RES_2[#Headers],0)),
INDEX(OP_RatesTU_RES_2[#Data],MATCH($C177,OP_RatesTU_RES_2[Rate name],0),MATCH(J$162,OP_RatesTU_RES_2[#Headers],0))),
IF($F177="Calculated",
INDEX(OP_Rates_SME_2[#Data],MATCH($C177,OP_Rates_SME_2[Rate name],0),MATCH(J$162,OP_Rates_SME_2[#Headers])),
INDEX(OP_RatesTU_SME_2[#Data],MATCH($C177,OP_RatesTU_SME_2[Rate name],0),MATCH(J$162,OP_RatesTU_SME_2[#Headers],0)))))</f>
        <v>0.153</v>
      </c>
      <c r="K177" s="209">
        <f>IF($E177="VDO 2021 - Variation Final",
IF($G177="Residential",
INDEX(OP_TotalRates_RES_1[#Data],MATCH($C177,OP_TotalRates_RES_1[Rate name],0),MATCH(K$162,OP_TotalRates_RES_1[#Headers],0)),
INDEX(OP_TotalRates_SME_1[#Data],MATCH($C177,OP_TotalRates_SME_1[Rate name],0),MATCH(K$162,OP_TotalRates_SME_1[#Headers],0))),
IF($G177="Residential",
IF($F177="Calculated",
INDEX(OP_Rates_RES_2[#Data],MATCH($C177,OP_Rates_RES_2[Rate name],0),MATCH(K$162,OP_Rates_RES_2[#Headers],0)),
INDEX(OP_RatesTU_RES_2[#Data],MATCH($C177,OP_RatesTU_RES_2[Rate name],0),MATCH(K$162,OP_RatesTU_RES_2[#Headers],0))),
IF($F177="Calculated",
INDEX(OP_Rates_SME_2[#Data],MATCH($C177,OP_Rates_SME_2[Rate name],0),MATCH(K$162,OP_Rates_SME_2[#Headers])),
INDEX(OP_RatesTU_SME_2[#Data],MATCH($C177,OP_RatesTU_SME_2[Rate name],0),MATCH(K$162,OP_RatesTU_SME_2[#Headers],0)))))</f>
        <v>0.1532</v>
      </c>
      <c r="L177" s="209">
        <f>IF($E177="VDO 2021 - Variation Final",
IF($G177="Residential",
INDEX(OP_TotalRates_RES_1[#Data],MATCH($C177,OP_TotalRates_RES_1[Rate name],0),MATCH(L$162,OP_TotalRates_RES_1[#Headers],0)),
INDEX(OP_TotalRates_SME_1[#Data],MATCH($C177,OP_TotalRates_SME_1[Rate name],0),MATCH(L$162,OP_TotalRates_SME_1[#Headers],0))),
IF($G177="Residential",
IF($F177="Calculated",
INDEX(OP_Rates_RES_2[#Data],MATCH($C177,OP_Rates_RES_2[Rate name],0),MATCH(L$162,OP_Rates_RES_2[#Headers],0)),
INDEX(OP_RatesTU_RES_2[#Data],MATCH($C177,OP_RatesTU_RES_2[Rate name],0),MATCH(L$162,OP_RatesTU_RES_2[#Headers],0))),
IF($F177="Calculated",
INDEX(OP_Rates_SME_2[#Data],MATCH($C177,OP_Rates_SME_2[Rate name],0),MATCH(L$162,OP_Rates_SME_2[#Headers])),
INDEX(OP_RatesTU_SME_2[#Data],MATCH($C177,OP_RatesTU_SME_2[Rate name],0),MATCH(L$162,OP_RatesTU_SME_2[#Headers],0)))))</f>
        <v>0.1565</v>
      </c>
      <c r="M177" s="209">
        <f>IF($E177="VDO 2021 - Variation Final",
IF($G177="Residential",
INDEX(OP_TotalRates_RES_1[#Data],MATCH($C177,OP_TotalRates_RES_1[Rate name],0),MATCH(M$162,OP_TotalRates_RES_1[#Headers],0)),
INDEX(OP_TotalRates_SME_1[#Data],MATCH($C177,OP_TotalRates_SME_1[Rate name],0),MATCH(M$162,OP_TotalRates_SME_1[#Headers],0))),
IF($G177="Residential",
IF($F177="Calculated",
INDEX(OP_Rates_RES_2[#Data],MATCH($C177,OP_Rates_RES_2[Rate name],0),MATCH(M$162,OP_Rates_RES_2[#Headers],0)),
INDEX(OP_RatesTU_RES_2[#Data],MATCH($C177,OP_RatesTU_RES_2[Rate name],0),MATCH(M$162,OP_RatesTU_RES_2[#Headers],0))),
IF($F177="Calculated",
INDEX(OP_Rates_SME_2[#Data],MATCH($C177,OP_Rates_SME_2[Rate name],0),MATCH(M$162,OP_Rates_SME_2[#Headers])),
INDEX(OP_RatesTU_SME_2[#Data],MATCH($C177,OP_RatesTU_SME_2[Rate name],0),MATCH(M$162,OP_RatesTU_SME_2[#Headers],0)))))</f>
        <v>0.15559999999999999</v>
      </c>
      <c r="N177" s="180"/>
      <c r="O177" s="23" t="s">
        <v>691</v>
      </c>
      <c r="P177"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10200</v>
      </c>
    </row>
    <row r="178" spans="3:16" x14ac:dyDescent="0.25">
      <c r="C178" s="23" t="s">
        <v>550</v>
      </c>
      <c r="D178" s="23" t="s">
        <v>109</v>
      </c>
      <c r="E178" s="23" t="s">
        <v>259</v>
      </c>
      <c r="F178" s="23" t="s">
        <v>750</v>
      </c>
      <c r="G178" s="23" t="s">
        <v>92</v>
      </c>
      <c r="H178" s="23" t="s">
        <v>556</v>
      </c>
      <c r="I178" s="209">
        <f>IF($E178="VDO 2021 - Variation Final",
IF($G178="Residential",
INDEX(OP_TotalRates_RES_1[#Data],MATCH($C178,OP_TotalRates_RES_1[Rate name],0),MATCH(I$162,OP_TotalRates_RES_1[#Headers],0)),
INDEX(OP_TotalRates_SME_1[#Data],MATCH($C178,OP_TotalRates_SME_1[Rate name],0),MATCH(I$162,OP_TotalRates_SME_1[#Headers],0))),
IF($G178="Residential",
IF($F178="Calculated",
INDEX(OP_Rates_RES_2[#Data],MATCH($C178,OP_Rates_RES_2[Rate name],0),MATCH(I$162,OP_Rates_RES_2[#Headers],0)),
INDEX(OP_RatesTU_RES_2[#Data],MATCH($C178,OP_RatesTU_RES_2[Rate name],0),MATCH(I$162,OP_RatesTU_RES_2[#Headers],0))),
IF($F178="Calculated",
INDEX(OP_Rates_SME_2[#Data],MATCH($C178,OP_Rates_SME_2[Rate name],0),MATCH(I$162,OP_Rates_SME_2[#Headers])),
INDEX(OP_RatesTU_SME_2[#Data],MATCH($C178,OP_RatesTU_SME_2[Rate name],0),MATCH(I$162,OP_RatesTU_SME_2[#Headers],0)))))</f>
        <v>1.1940616018401751</v>
      </c>
      <c r="J178" s="209">
        <f>IF($E178="VDO 2021 - Variation Final",
IF($G178="Residential",
INDEX(OP_TotalRates_RES_1[#Data],MATCH($C178,OP_TotalRates_RES_1[Rate name],0),MATCH(J$162,OP_TotalRates_RES_1[#Headers],0)),
INDEX(OP_TotalRates_SME_1[#Data],MATCH($C178,OP_TotalRates_SME_1[Rate name],0),MATCH(J$162,OP_TotalRates_SME_1[#Headers],0))),
IF($G178="Residential",
IF($F178="Calculated",
INDEX(OP_Rates_RES_2[#Data],MATCH($C178,OP_Rates_RES_2[Rate name],0),MATCH(J$162,OP_Rates_RES_2[#Headers],0)),
INDEX(OP_RatesTU_RES_2[#Data],MATCH($C178,OP_RatesTU_RES_2[Rate name],0),MATCH(J$162,OP_RatesTU_RES_2[#Headers],0))),
IF($F178="Calculated",
INDEX(OP_Rates_SME_2[#Data],MATCH($C178,OP_Rates_SME_2[Rate name],0),MATCH(J$162,OP_Rates_SME_2[#Headers])),
INDEX(OP_RatesTU_SME_2[#Data],MATCH($C178,OP_RatesTU_SME_2[Rate name],0),MATCH(J$162,OP_RatesTU_SME_2[#Headers],0)))))</f>
        <v>1.1128869650182571</v>
      </c>
      <c r="K178" s="209">
        <f>IF($E178="VDO 2021 - Variation Final",
IF($G178="Residential",
INDEX(OP_TotalRates_RES_1[#Data],MATCH($C178,OP_TotalRates_RES_1[Rate name],0),MATCH(K$162,OP_TotalRates_RES_1[#Headers],0)),
INDEX(OP_TotalRates_SME_1[#Data],MATCH($C178,OP_TotalRates_SME_1[Rate name],0),MATCH(K$162,OP_TotalRates_SME_1[#Headers],0))),
IF($G178="Residential",
IF($F178="Calculated",
INDEX(OP_Rates_RES_2[#Data],MATCH($C178,OP_Rates_RES_2[Rate name],0),MATCH(K$162,OP_Rates_RES_2[#Headers],0)),
INDEX(OP_RatesTU_RES_2[#Data],MATCH($C178,OP_RatesTU_RES_2[Rate name],0),MATCH(K$162,OP_RatesTU_RES_2[#Headers],0))),
IF($F178="Calculated",
INDEX(OP_Rates_SME_2[#Data],MATCH($C178,OP_Rates_SME_2[Rate name],0),MATCH(K$162,OP_Rates_SME_2[#Headers])),
INDEX(OP_RatesTU_SME_2[#Data],MATCH($C178,OP_RatesTU_SME_2[Rate name],0),MATCH(K$162,OP_RatesTU_SME_2[#Headers],0)))))</f>
        <v>1.0712690249634627</v>
      </c>
      <c r="L178" s="209">
        <f>IF($E178="VDO 2021 - Variation Final",
IF($G178="Residential",
INDEX(OP_TotalRates_RES_1[#Data],MATCH($C178,OP_TotalRates_RES_1[Rate name],0),MATCH(L$162,OP_TotalRates_RES_1[#Headers],0)),
INDEX(OP_TotalRates_SME_1[#Data],MATCH($C178,OP_TotalRates_SME_1[Rate name],0),MATCH(L$162,OP_TotalRates_SME_1[#Headers],0))),
IF($G178="Residential",
IF($F178="Calculated",
INDEX(OP_Rates_RES_2[#Data],MATCH($C178,OP_Rates_RES_2[Rate name],0),MATCH(L$162,OP_Rates_RES_2[#Headers],0)),
INDEX(OP_RatesTU_RES_2[#Data],MATCH($C178,OP_RatesTU_RES_2[Rate name],0),MATCH(L$162,OP_RatesTU_RES_2[#Headers],0))),
IF($F178="Calculated",
INDEX(OP_Rates_SME_2[#Data],MATCH($C178,OP_Rates_SME_2[Rate name],0),MATCH(L$162,OP_Rates_SME_2[#Headers])),
INDEX(OP_RatesTU_SME_2[#Data],MATCH($C178,OP_RatesTU_SME_2[Rate name],0),MATCH(L$162,OP_RatesTU_SME_2[#Headers],0)))))</f>
        <v>1.2680985845799009</v>
      </c>
      <c r="M178" s="209">
        <f>IF($E178="VDO 2021 - Variation Final",
IF($G178="Residential",
INDEX(OP_TotalRates_RES_1[#Data],MATCH($C178,OP_TotalRates_RES_1[Rate name],0),MATCH(M$162,OP_TotalRates_RES_1[#Headers],0)),
INDEX(OP_TotalRates_SME_1[#Data],MATCH($C178,OP_TotalRates_SME_1[Rate name],0),MATCH(M$162,OP_TotalRates_SME_1[#Headers],0))),
IF($G178="Residential",
IF($F178="Calculated",
INDEX(OP_Rates_RES_2[#Data],MATCH($C178,OP_Rates_RES_2[Rate name],0),MATCH(M$162,OP_Rates_RES_2[#Headers],0)),
INDEX(OP_RatesTU_RES_2[#Data],MATCH($C178,OP_RatesTU_RES_2[Rate name],0),MATCH(M$162,OP_RatesTU_RES_2[#Headers],0))),
IF($F178="Calculated",
INDEX(OP_Rates_SME_2[#Data],MATCH($C178,OP_Rates_SME_2[Rate name],0),MATCH(M$162,OP_Rates_SME_2[#Headers])),
INDEX(OP_RatesTU_SME_2[#Data],MATCH($C178,OP_RatesTU_SME_2[Rate name],0),MATCH(M$162,OP_RatesTU_SME_2[#Headers],0)))))</f>
        <v>1.0282609440867503</v>
      </c>
      <c r="N178" s="180"/>
      <c r="O178" s="23" t="s">
        <v>427</v>
      </c>
      <c r="P178"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row>
    <row r="179" spans="3:16" x14ac:dyDescent="0.25">
      <c r="C179" s="23" t="s">
        <v>221</v>
      </c>
      <c r="D179" s="23" t="s">
        <v>282</v>
      </c>
      <c r="E179" s="23" t="s">
        <v>259</v>
      </c>
      <c r="F179" s="23" t="s">
        <v>750</v>
      </c>
      <c r="G179" s="23" t="s">
        <v>92</v>
      </c>
      <c r="H179" s="23" t="s">
        <v>556</v>
      </c>
      <c r="I179" s="209">
        <f>IF($E179="VDO 2021 - Variation Final",
IF($G179="Residential",
INDEX(OP_TotalRates_RES_1[#Data],MATCH($C179,OP_TotalRates_RES_1[Rate name],0),MATCH(I$162,OP_TotalRates_RES_1[#Headers],0)),
INDEX(OP_TotalRates_SME_1[#Data],MATCH($C179,OP_TotalRates_SME_1[Rate name],0),MATCH(I$162,OP_TotalRates_SME_1[#Headers],0))),
IF($G179="Residential",
IF($F179="Calculated",
INDEX(OP_Rates_RES_2[#Data],MATCH($C179,OP_Rates_RES_2[Rate name],0),MATCH(I$162,OP_Rates_RES_2[#Headers],0)),
INDEX(OP_RatesTU_RES_2[#Data],MATCH($C179,OP_RatesTU_RES_2[Rate name],0),MATCH(I$162,OP_RatesTU_RES_2[#Headers],0))),
IF($F179="Calculated",
INDEX(OP_Rates_SME_2[#Data],MATCH($C179,OP_Rates_SME_2[Rate name],0),MATCH(I$162,OP_Rates_SME_2[#Headers])),
INDEX(OP_RatesTU_SME_2[#Data],MATCH($C179,OP_RatesTU_SME_2[Rate name],0),MATCH(I$162,OP_RatesTU_SME_2[#Headers],0)))))</f>
        <v>0.25823302380932078</v>
      </c>
      <c r="J179" s="209" t="str">
        <f>IF($E179="VDO 2021 - Variation Final",
IF($G179="Residential",
INDEX(OP_TotalRates_RES_1[#Data],MATCH($C179,OP_TotalRates_RES_1[Rate name],0),MATCH(J$162,OP_TotalRates_RES_1[#Headers],0)),
INDEX(OP_TotalRates_SME_1[#Data],MATCH($C179,OP_TotalRates_SME_1[Rate name],0),MATCH(J$162,OP_TotalRates_SME_1[#Headers],0))),
IF($G179="Residential",
IF($F179="Calculated",
INDEX(OP_Rates_RES_2[#Data],MATCH($C179,OP_Rates_RES_2[Rate name],0),MATCH(J$162,OP_Rates_RES_2[#Headers],0)),
INDEX(OP_RatesTU_RES_2[#Data],MATCH($C179,OP_RatesTU_RES_2[Rate name],0),MATCH(J$162,OP_RatesTU_RES_2[#Headers],0))),
IF($F179="Calculated",
INDEX(OP_Rates_SME_2[#Data],MATCH($C179,OP_Rates_SME_2[Rate name],0),MATCH(J$162,OP_Rates_SME_2[#Headers])),
INDEX(OP_RatesTU_SME_2[#Data],MATCH($C179,OP_RatesTU_SME_2[Rate name],0),MATCH(J$162,OP_RatesTU_SME_2[#Headers],0)))))</f>
        <v>-</v>
      </c>
      <c r="K179" s="209" t="str">
        <f>IF($E179="VDO 2021 - Variation Final",
IF($G179="Residential",
INDEX(OP_TotalRates_RES_1[#Data],MATCH($C179,OP_TotalRates_RES_1[Rate name],0),MATCH(K$162,OP_TotalRates_RES_1[#Headers],0)),
INDEX(OP_TotalRates_SME_1[#Data],MATCH($C179,OP_TotalRates_SME_1[Rate name],0),MATCH(K$162,OP_TotalRates_SME_1[#Headers],0))),
IF($G179="Residential",
IF($F179="Calculated",
INDEX(OP_Rates_RES_2[#Data],MATCH($C179,OP_Rates_RES_2[Rate name],0),MATCH(K$162,OP_Rates_RES_2[#Headers],0)),
INDEX(OP_RatesTU_RES_2[#Data],MATCH($C179,OP_RatesTU_RES_2[Rate name],0),MATCH(K$162,OP_RatesTU_RES_2[#Headers],0))),
IF($F179="Calculated",
INDEX(OP_Rates_SME_2[#Data],MATCH($C179,OP_Rates_SME_2[Rate name],0),MATCH(K$162,OP_Rates_SME_2[#Headers])),
INDEX(OP_RatesTU_SME_2[#Data],MATCH($C179,OP_RatesTU_SME_2[Rate name],0),MATCH(K$162,OP_RatesTU_SME_2[#Headers],0)))))</f>
        <v>-</v>
      </c>
      <c r="L179" s="209" t="str">
        <f>IF($E179="VDO 2021 - Variation Final",
IF($G179="Residential",
INDEX(OP_TotalRates_RES_1[#Data],MATCH($C179,OP_TotalRates_RES_1[Rate name],0),MATCH(L$162,OP_TotalRates_RES_1[#Headers],0)),
INDEX(OP_TotalRates_SME_1[#Data],MATCH($C179,OP_TotalRates_SME_1[Rate name],0),MATCH(L$162,OP_TotalRates_SME_1[#Headers],0))),
IF($G179="Residential",
IF($F179="Calculated",
INDEX(OP_Rates_RES_2[#Data],MATCH($C179,OP_Rates_RES_2[Rate name],0),MATCH(L$162,OP_Rates_RES_2[#Headers],0)),
INDEX(OP_RatesTU_RES_2[#Data],MATCH($C179,OP_RatesTU_RES_2[Rate name],0),MATCH(L$162,OP_RatesTU_RES_2[#Headers],0))),
IF($F179="Calculated",
INDEX(OP_Rates_SME_2[#Data],MATCH($C179,OP_Rates_SME_2[Rate name],0),MATCH(L$162,OP_Rates_SME_2[#Headers])),
INDEX(OP_RatesTU_SME_2[#Data],MATCH($C179,OP_RatesTU_SME_2[Rate name],0),MATCH(L$162,OP_RatesTU_SME_2[#Headers],0)))))</f>
        <v>-</v>
      </c>
      <c r="M179" s="209" t="str">
        <f>IF($E179="VDO 2021 - Variation Final",
IF($G179="Residential",
INDEX(OP_TotalRates_RES_1[#Data],MATCH($C179,OP_TotalRates_RES_1[Rate name],0),MATCH(M$162,OP_TotalRates_RES_1[#Headers],0)),
INDEX(OP_TotalRates_SME_1[#Data],MATCH($C179,OP_TotalRates_SME_1[Rate name],0),MATCH(M$162,OP_TotalRates_SME_1[#Headers],0))),
IF($G179="Residential",
IF($F179="Calculated",
INDEX(OP_Rates_RES_2[#Data],MATCH($C179,OP_Rates_RES_2[Rate name],0),MATCH(M$162,OP_Rates_RES_2[#Headers],0)),
INDEX(OP_RatesTU_RES_2[#Data],MATCH($C179,OP_RatesTU_RES_2[Rate name],0),MATCH(M$162,OP_RatesTU_RES_2[#Headers],0))),
IF($F179="Calculated",
INDEX(OP_Rates_SME_2[#Data],MATCH($C179,OP_Rates_SME_2[Rate name],0),MATCH(M$162,OP_Rates_SME_2[#Headers])),
INDEX(OP_RatesTU_SME_2[#Data],MATCH($C179,OP_RatesTU_SME_2[Rate name],0),MATCH(M$162,OP_RatesTU_SME_2[#Headers],0)))))</f>
        <v>-</v>
      </c>
      <c r="N179" s="180"/>
      <c r="O179" s="23" t="s">
        <v>691</v>
      </c>
      <c r="P179"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4000</v>
      </c>
    </row>
    <row r="180" spans="3:16" x14ac:dyDescent="0.25">
      <c r="C180" s="23" t="s">
        <v>228</v>
      </c>
      <c r="D180" s="23" t="s">
        <v>282</v>
      </c>
      <c r="E180" s="23" t="s">
        <v>259</v>
      </c>
      <c r="F180" s="23" t="s">
        <v>750</v>
      </c>
      <c r="G180" s="23" t="s">
        <v>92</v>
      </c>
      <c r="H180" s="23" t="s">
        <v>556</v>
      </c>
      <c r="I180" s="209">
        <f>IF($E180="VDO 2021 - Variation Final",
IF($G180="Residential",
INDEX(OP_TotalRates_RES_1[#Data],MATCH($C180,OP_TotalRates_RES_1[Rate name],0),MATCH(I$162,OP_TotalRates_RES_1[#Headers],0)),
INDEX(OP_TotalRates_SME_1[#Data],MATCH($C180,OP_TotalRates_SME_1[Rate name],0),MATCH(I$162,OP_TotalRates_SME_1[#Headers],0))),
IF($G180="Residential",
IF($F180="Calculated",
INDEX(OP_Rates_RES_2[#Data],MATCH($C180,OP_Rates_RES_2[Rate name],0),MATCH(I$162,OP_Rates_RES_2[#Headers],0)),
INDEX(OP_RatesTU_RES_2[#Data],MATCH($C180,OP_RatesTU_RES_2[Rate name],0),MATCH(I$162,OP_RatesTU_RES_2[#Headers],0))),
IF($F180="Calculated",
INDEX(OP_Rates_SME_2[#Data],MATCH($C180,OP_Rates_SME_2[Rate name],0),MATCH(I$162,OP_Rates_SME_2[#Headers])),
INDEX(OP_RatesTU_SME_2[#Data],MATCH($C180,OP_RatesTU_SME_2[Rate name],0),MATCH(I$162,OP_RatesTU_SME_2[#Headers],0)))))</f>
        <v>0.27442204456932073</v>
      </c>
      <c r="J180" s="209" t="str">
        <f>IF($E180="VDO 2021 - Variation Final",
IF($G180="Residential",
INDEX(OP_TotalRates_RES_1[#Data],MATCH($C180,OP_TotalRates_RES_1[Rate name],0),MATCH(J$162,OP_TotalRates_RES_1[#Headers],0)),
INDEX(OP_TotalRates_SME_1[#Data],MATCH($C180,OP_TotalRates_SME_1[Rate name],0),MATCH(J$162,OP_TotalRates_SME_1[#Headers],0))),
IF($G180="Residential",
IF($F180="Calculated",
INDEX(OP_Rates_RES_2[#Data],MATCH($C180,OP_Rates_RES_2[Rate name],0),MATCH(J$162,OP_Rates_RES_2[#Headers],0)),
INDEX(OP_RatesTU_RES_2[#Data],MATCH($C180,OP_RatesTU_RES_2[Rate name],0),MATCH(J$162,OP_RatesTU_RES_2[#Headers],0))),
IF($F180="Calculated",
INDEX(OP_Rates_SME_2[#Data],MATCH($C180,OP_Rates_SME_2[Rate name],0),MATCH(J$162,OP_Rates_SME_2[#Headers])),
INDEX(OP_RatesTU_SME_2[#Data],MATCH($C180,OP_RatesTU_SME_2[Rate name],0),MATCH(J$162,OP_RatesTU_SME_2[#Headers],0)))))</f>
        <v>-</v>
      </c>
      <c r="K180" s="209" t="str">
        <f>IF($E180="VDO 2021 - Variation Final",
IF($G180="Residential",
INDEX(OP_TotalRates_RES_1[#Data],MATCH($C180,OP_TotalRates_RES_1[Rate name],0),MATCH(K$162,OP_TotalRates_RES_1[#Headers],0)),
INDEX(OP_TotalRates_SME_1[#Data],MATCH($C180,OP_TotalRates_SME_1[Rate name],0),MATCH(K$162,OP_TotalRates_SME_1[#Headers],0))),
IF($G180="Residential",
IF($F180="Calculated",
INDEX(OP_Rates_RES_2[#Data],MATCH($C180,OP_Rates_RES_2[Rate name],0),MATCH(K$162,OP_Rates_RES_2[#Headers],0)),
INDEX(OP_RatesTU_RES_2[#Data],MATCH($C180,OP_RatesTU_RES_2[Rate name],0),MATCH(K$162,OP_RatesTU_RES_2[#Headers],0))),
IF($F180="Calculated",
INDEX(OP_Rates_SME_2[#Data],MATCH($C180,OP_Rates_SME_2[Rate name],0),MATCH(K$162,OP_Rates_SME_2[#Headers])),
INDEX(OP_RatesTU_SME_2[#Data],MATCH($C180,OP_RatesTU_SME_2[Rate name],0),MATCH(K$162,OP_RatesTU_SME_2[#Headers],0)))))</f>
        <v>-</v>
      </c>
      <c r="L180" s="209" t="str">
        <f>IF($E180="VDO 2021 - Variation Final",
IF($G180="Residential",
INDEX(OP_TotalRates_RES_1[#Data],MATCH($C180,OP_TotalRates_RES_1[Rate name],0),MATCH(L$162,OP_TotalRates_RES_1[#Headers],0)),
INDEX(OP_TotalRates_SME_1[#Data],MATCH($C180,OP_TotalRates_SME_1[Rate name],0),MATCH(L$162,OP_TotalRates_SME_1[#Headers],0))),
IF($G180="Residential",
IF($F180="Calculated",
INDEX(OP_Rates_RES_2[#Data],MATCH($C180,OP_Rates_RES_2[Rate name],0),MATCH(L$162,OP_Rates_RES_2[#Headers],0)),
INDEX(OP_RatesTU_RES_2[#Data],MATCH($C180,OP_RatesTU_RES_2[Rate name],0),MATCH(L$162,OP_RatesTU_RES_2[#Headers],0))),
IF($F180="Calculated",
INDEX(OP_Rates_SME_2[#Data],MATCH($C180,OP_Rates_SME_2[Rate name],0),MATCH(L$162,OP_Rates_SME_2[#Headers])),
INDEX(OP_RatesTU_SME_2[#Data],MATCH($C180,OP_RatesTU_SME_2[Rate name],0),MATCH(L$162,OP_RatesTU_SME_2[#Headers],0)))))</f>
        <v>-</v>
      </c>
      <c r="M180" s="209" t="str">
        <f>IF($E180="VDO 2021 - Variation Final",
IF($G180="Residential",
INDEX(OP_TotalRates_RES_1[#Data],MATCH($C180,OP_TotalRates_RES_1[Rate name],0),MATCH(M$162,OP_TotalRates_RES_1[#Headers],0)),
INDEX(OP_TotalRates_SME_1[#Data],MATCH($C180,OP_TotalRates_SME_1[Rate name],0),MATCH(M$162,OP_TotalRates_SME_1[#Headers],0))),
IF($G180="Residential",
IF($F180="Calculated",
INDEX(OP_Rates_RES_2[#Data],MATCH($C180,OP_Rates_RES_2[Rate name],0),MATCH(M$162,OP_Rates_RES_2[#Headers],0)),
INDEX(OP_RatesTU_RES_2[#Data],MATCH($C180,OP_RatesTU_RES_2[Rate name],0),MATCH(M$162,OP_RatesTU_RES_2[#Headers],0))),
IF($F180="Calculated",
INDEX(OP_Rates_SME_2[#Data],MATCH($C180,OP_Rates_SME_2[Rate name],0),MATCH(M$162,OP_Rates_SME_2[#Headers])),
INDEX(OP_RatesTU_SME_2[#Data],MATCH($C180,OP_RatesTU_SME_2[Rate name],0),MATCH(M$162,OP_RatesTU_SME_2[#Headers],0)))))</f>
        <v>-</v>
      </c>
      <c r="N180" s="180"/>
      <c r="O180" s="23" t="s">
        <v>691</v>
      </c>
      <c r="P180"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0</v>
      </c>
    </row>
    <row r="181" spans="3:16" x14ac:dyDescent="0.25">
      <c r="C181" s="23" t="s">
        <v>549</v>
      </c>
      <c r="D181" s="23" t="s">
        <v>282</v>
      </c>
      <c r="E181" s="23" t="s">
        <v>259</v>
      </c>
      <c r="F181" s="23" t="s">
        <v>750</v>
      </c>
      <c r="G181" s="23" t="s">
        <v>92</v>
      </c>
      <c r="H181" s="23" t="s">
        <v>556</v>
      </c>
      <c r="I181" s="209" t="str">
        <f>IF($E181="VDO 2021 - Variation Final",
IF($G181="Residential",
INDEX(OP_TotalRates_RES_1[#Data],MATCH($C181,OP_TotalRates_RES_1[Rate name],0),MATCH(I$162,OP_TotalRates_RES_1[#Headers],0)),
INDEX(OP_TotalRates_SME_1[#Data],MATCH($C181,OP_TotalRates_SME_1[Rate name],0),MATCH(I$162,OP_TotalRates_SME_1[#Headers],0))),
IF($G181="Residential",
IF($F181="Calculated",
INDEX(OP_Rates_RES_2[#Data],MATCH($C181,OP_Rates_RES_2[Rate name],0),MATCH(I$162,OP_Rates_RES_2[#Headers],0)),
INDEX(OP_RatesTU_RES_2[#Data],MATCH($C181,OP_RatesTU_RES_2[Rate name],0),MATCH(I$162,OP_RatesTU_RES_2[#Headers],0))),
IF($F181="Calculated",
INDEX(OP_Rates_SME_2[#Data],MATCH($C181,OP_Rates_SME_2[Rate name],0),MATCH(I$162,OP_Rates_SME_2[#Headers])),
INDEX(OP_RatesTU_SME_2[#Data],MATCH($C181,OP_RatesTU_SME_2[Rate name],0),MATCH(I$162,OP_RatesTU_SME_2[#Headers],0)))))</f>
        <v>-</v>
      </c>
      <c r="J181" s="209">
        <f>IF($E181="VDO 2021 - Variation Final",
IF($G181="Residential",
INDEX(OP_TotalRates_RES_1[#Data],MATCH($C181,OP_TotalRates_RES_1[Rate name],0),MATCH(J$162,OP_TotalRates_RES_1[#Headers],0)),
INDEX(OP_TotalRates_SME_1[#Data],MATCH($C181,OP_TotalRates_SME_1[Rate name],0),MATCH(J$162,OP_TotalRates_SME_1[#Headers],0))),
IF($G181="Residential",
IF($F181="Calculated",
INDEX(OP_Rates_RES_2[#Data],MATCH($C181,OP_Rates_RES_2[Rate name],0),MATCH(J$162,OP_Rates_RES_2[#Headers],0)),
INDEX(OP_RatesTU_RES_2[#Data],MATCH($C181,OP_RatesTU_RES_2[Rate name],0),MATCH(J$162,OP_RatesTU_RES_2[#Headers],0))),
IF($F181="Calculated",
INDEX(OP_Rates_SME_2[#Data],MATCH($C181,OP_Rates_SME_2[Rate name],0),MATCH(J$162,OP_Rates_SME_2[#Headers])),
INDEX(OP_RatesTU_SME_2[#Data],MATCH($C181,OP_RatesTU_SME_2[Rate name],0),MATCH(J$162,OP_RatesTU_SME_2[#Headers],0)))))</f>
        <v>0.21049951424288196</v>
      </c>
      <c r="K181" s="209">
        <f>IF($E181="VDO 2021 - Variation Final",
IF($G181="Residential",
INDEX(OP_TotalRates_RES_1[#Data],MATCH($C181,OP_TotalRates_RES_1[Rate name],0),MATCH(K$162,OP_TotalRates_RES_1[#Headers],0)),
INDEX(OP_TotalRates_SME_1[#Data],MATCH($C181,OP_TotalRates_SME_1[Rate name],0),MATCH(K$162,OP_TotalRates_SME_1[#Headers],0))),
IF($G181="Residential",
IF($F181="Calculated",
INDEX(OP_Rates_RES_2[#Data],MATCH($C181,OP_Rates_RES_2[Rate name],0),MATCH(K$162,OP_Rates_RES_2[#Headers],0)),
INDEX(OP_RatesTU_RES_2[#Data],MATCH($C181,OP_RatesTU_RES_2[Rate name],0),MATCH(K$162,OP_RatesTU_RES_2[#Headers],0))),
IF($F181="Calculated",
INDEX(OP_Rates_SME_2[#Data],MATCH($C181,OP_Rates_SME_2[Rate name],0),MATCH(K$162,OP_Rates_SME_2[#Headers])),
INDEX(OP_RatesTU_SME_2[#Data],MATCH($C181,OP_RatesTU_SME_2[Rate name],0),MATCH(K$162,OP_RatesTU_SME_2[#Headers],0)))))</f>
        <v>0.22425868427313167</v>
      </c>
      <c r="L181" s="209">
        <f>IF($E181="VDO 2021 - Variation Final",
IF($G181="Residential",
INDEX(OP_TotalRates_RES_1[#Data],MATCH($C181,OP_TotalRates_RES_1[Rate name],0),MATCH(L$162,OP_TotalRates_RES_1[#Headers],0)),
INDEX(OP_TotalRates_SME_1[#Data],MATCH($C181,OP_TotalRates_SME_1[Rate name],0),MATCH(L$162,OP_TotalRates_SME_1[#Headers],0))),
IF($G181="Residential",
IF($F181="Calculated",
INDEX(OP_Rates_RES_2[#Data],MATCH($C181,OP_Rates_RES_2[Rate name],0),MATCH(L$162,OP_Rates_RES_2[#Headers],0)),
INDEX(OP_RatesTU_RES_2[#Data],MATCH($C181,OP_RatesTU_RES_2[Rate name],0),MATCH(L$162,OP_RatesTU_RES_2[#Headers],0))),
IF($F181="Calculated",
INDEX(OP_Rates_SME_2[#Data],MATCH($C181,OP_Rates_SME_2[Rate name],0),MATCH(L$162,OP_Rates_SME_2[#Headers])),
INDEX(OP_RatesTU_SME_2[#Data],MATCH($C181,OP_RatesTU_SME_2[Rate name],0),MATCH(L$162,OP_RatesTU_SME_2[#Headers],0)))))</f>
        <v>0.21678437815771656</v>
      </c>
      <c r="M181" s="209">
        <f>IF($E181="VDO 2021 - Variation Final",
IF($G181="Residential",
INDEX(OP_TotalRates_RES_1[#Data],MATCH($C181,OP_TotalRates_RES_1[Rate name],0),MATCH(M$162,OP_TotalRates_RES_1[#Headers],0)),
INDEX(OP_TotalRates_SME_1[#Data],MATCH($C181,OP_TotalRates_SME_1[Rate name],0),MATCH(M$162,OP_TotalRates_SME_1[#Headers],0))),
IF($G181="Residential",
IF($F181="Calculated",
INDEX(OP_Rates_RES_2[#Data],MATCH($C181,OP_Rates_RES_2[Rate name],0),MATCH(M$162,OP_Rates_RES_2[#Headers],0)),
INDEX(OP_RatesTU_RES_2[#Data],MATCH($C181,OP_RatesTU_RES_2[Rate name],0),MATCH(M$162,OP_RatesTU_RES_2[#Headers],0))),
IF($F181="Calculated",
INDEX(OP_Rates_SME_2[#Data],MATCH($C181,OP_Rates_SME_2[Rate name],0),MATCH(M$162,OP_Rates_SME_2[#Headers])),
INDEX(OP_RatesTU_SME_2[#Data],MATCH($C181,OP_RatesTU_SME_2[Rate name],0),MATCH(M$162,OP_RatesTU_SME_2[#Headers],0)))))</f>
        <v>0.21765322749005236</v>
      </c>
      <c r="N181" s="180"/>
      <c r="O181" s="23" t="s">
        <v>691</v>
      </c>
      <c r="P181"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4000</v>
      </c>
    </row>
    <row r="182" spans="3:16" x14ac:dyDescent="0.25">
      <c r="C182" s="23" t="s">
        <v>551</v>
      </c>
      <c r="D182" s="23" t="s">
        <v>109</v>
      </c>
      <c r="E182" s="23" t="s">
        <v>259</v>
      </c>
      <c r="F182" s="23" t="s">
        <v>750</v>
      </c>
      <c r="G182" s="23" t="s">
        <v>92</v>
      </c>
      <c r="H182" s="23" t="s">
        <v>557</v>
      </c>
      <c r="I182" s="209">
        <f>IF($E182="VDO 2021 - Variation Final",
IF($G182="Residential",
INDEX(OP_TotalRates_RES_1[#Data],MATCH($C182,OP_TotalRates_RES_1[Rate name],0),MATCH(I$162,OP_TotalRates_RES_1[#Headers],0)),
INDEX(OP_TotalRates_SME_1[#Data],MATCH($C182,OP_TotalRates_SME_1[Rate name],0),MATCH(I$162,OP_TotalRates_SME_1[#Headers],0))),
IF($G182="Residential",
IF($F182="Calculated",
INDEX(OP_Rates_RES_2[#Data],MATCH($C182,OP_Rates_RES_2[Rate name],0),MATCH(I$162,OP_Rates_RES_2[#Headers],0)),
INDEX(OP_RatesTU_RES_2[#Data],MATCH($C182,OP_RatesTU_RES_2[Rate name],0),MATCH(I$162,OP_RatesTU_RES_2[#Headers],0))),
IF($F182="Calculated",
INDEX(OP_Rates_SME_2[#Data],MATCH($C182,OP_Rates_SME_2[Rate name],0),MATCH(I$162,OP_Rates_SME_2[#Headers])),
INDEX(OP_RatesTU_SME_2[#Data],MATCH($C182,OP_RatesTU_SME_2[Rate name],0),MATCH(I$162,OP_RatesTU_SME_2[#Headers],0)))))</f>
        <v>1.1940616018401751</v>
      </c>
      <c r="J182" s="209">
        <f>IF($E182="VDO 2021 - Variation Final",
IF($G182="Residential",
INDEX(OP_TotalRates_RES_1[#Data],MATCH($C182,OP_TotalRates_RES_1[Rate name],0),MATCH(J$162,OP_TotalRates_RES_1[#Headers],0)),
INDEX(OP_TotalRates_SME_1[#Data],MATCH($C182,OP_TotalRates_SME_1[Rate name],0),MATCH(J$162,OP_TotalRates_SME_1[#Headers],0))),
IF($G182="Residential",
IF($F182="Calculated",
INDEX(OP_Rates_RES_2[#Data],MATCH($C182,OP_Rates_RES_2[Rate name],0),MATCH(J$162,OP_Rates_RES_2[#Headers],0)),
INDEX(OP_RatesTU_RES_2[#Data],MATCH($C182,OP_RatesTU_RES_2[Rate name],0),MATCH(J$162,OP_RatesTU_RES_2[#Headers],0))),
IF($F182="Calculated",
INDEX(OP_Rates_SME_2[#Data],MATCH($C182,OP_Rates_SME_2[Rate name],0),MATCH(J$162,OP_Rates_SME_2[#Headers])),
INDEX(OP_RatesTU_SME_2[#Data],MATCH($C182,OP_RatesTU_SME_2[Rate name],0),MATCH(J$162,OP_RatesTU_SME_2[#Headers],0)))))</f>
        <v>1.1128869650182571</v>
      </c>
      <c r="K182" s="209">
        <f>IF($E182="VDO 2021 - Variation Final",
IF($G182="Residential",
INDEX(OP_TotalRates_RES_1[#Data],MATCH($C182,OP_TotalRates_RES_1[Rate name],0),MATCH(K$162,OP_TotalRates_RES_1[#Headers],0)),
INDEX(OP_TotalRates_SME_1[#Data],MATCH($C182,OP_TotalRates_SME_1[Rate name],0),MATCH(K$162,OP_TotalRates_SME_1[#Headers],0))),
IF($G182="Residential",
IF($F182="Calculated",
INDEX(OP_Rates_RES_2[#Data],MATCH($C182,OP_Rates_RES_2[Rate name],0),MATCH(K$162,OP_Rates_RES_2[#Headers],0)),
INDEX(OP_RatesTU_RES_2[#Data],MATCH($C182,OP_RatesTU_RES_2[Rate name],0),MATCH(K$162,OP_RatesTU_RES_2[#Headers],0))),
IF($F182="Calculated",
INDEX(OP_Rates_SME_2[#Data],MATCH($C182,OP_Rates_SME_2[Rate name],0),MATCH(K$162,OP_Rates_SME_2[#Headers])),
INDEX(OP_RatesTU_SME_2[#Data],MATCH($C182,OP_RatesTU_SME_2[Rate name],0),MATCH(K$162,OP_RatesTU_SME_2[#Headers],0)))))</f>
        <v>1.0712690249634627</v>
      </c>
      <c r="L182" s="209">
        <f>IF($E182="VDO 2021 - Variation Final",
IF($G182="Residential",
INDEX(OP_TotalRates_RES_1[#Data],MATCH($C182,OP_TotalRates_RES_1[Rate name],0),MATCH(L$162,OP_TotalRates_RES_1[#Headers],0)),
INDEX(OP_TotalRates_SME_1[#Data],MATCH($C182,OP_TotalRates_SME_1[Rate name],0),MATCH(L$162,OP_TotalRates_SME_1[#Headers],0))),
IF($G182="Residential",
IF($F182="Calculated",
INDEX(OP_Rates_RES_2[#Data],MATCH($C182,OP_Rates_RES_2[Rate name],0),MATCH(L$162,OP_Rates_RES_2[#Headers],0)),
INDEX(OP_RatesTU_RES_2[#Data],MATCH($C182,OP_RatesTU_RES_2[Rate name],0),MATCH(L$162,OP_RatesTU_RES_2[#Headers],0))),
IF($F182="Calculated",
INDEX(OP_Rates_SME_2[#Data],MATCH($C182,OP_Rates_SME_2[Rate name],0),MATCH(L$162,OP_Rates_SME_2[#Headers])),
INDEX(OP_RatesTU_SME_2[#Data],MATCH($C182,OP_RatesTU_SME_2[Rate name],0),MATCH(L$162,OP_RatesTU_SME_2[#Headers],0)))))</f>
        <v>1.2680985845799009</v>
      </c>
      <c r="M182" s="209">
        <f>IF($E182="VDO 2021 - Variation Final",
IF($G182="Residential",
INDEX(OP_TotalRates_RES_1[#Data],MATCH($C182,OP_TotalRates_RES_1[Rate name],0),MATCH(M$162,OP_TotalRates_RES_1[#Headers],0)),
INDEX(OP_TotalRates_SME_1[#Data],MATCH($C182,OP_TotalRates_SME_1[Rate name],0),MATCH(M$162,OP_TotalRates_SME_1[#Headers],0))),
IF($G182="Residential",
IF($F182="Calculated",
INDEX(OP_Rates_RES_2[#Data],MATCH($C182,OP_Rates_RES_2[Rate name],0),MATCH(M$162,OP_Rates_RES_2[#Headers],0)),
INDEX(OP_RatesTU_RES_2[#Data],MATCH($C182,OP_RatesTU_RES_2[Rate name],0),MATCH(M$162,OP_RatesTU_RES_2[#Headers],0))),
IF($F182="Calculated",
INDEX(OP_Rates_SME_2[#Data],MATCH($C182,OP_Rates_SME_2[Rate name],0),MATCH(M$162,OP_Rates_SME_2[#Headers])),
INDEX(OP_RatesTU_SME_2[#Data],MATCH($C182,OP_RatesTU_SME_2[Rate name],0),MATCH(M$162,OP_RatesTU_SME_2[#Headers],0)))))</f>
        <v>1.0282609440867503</v>
      </c>
      <c r="N182" s="180"/>
      <c r="O182" s="23" t="s">
        <v>427</v>
      </c>
      <c r="P182"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row>
    <row r="183" spans="3:16" x14ac:dyDescent="0.25">
      <c r="C183" s="23" t="s">
        <v>230</v>
      </c>
      <c r="D183" s="23" t="s">
        <v>282</v>
      </c>
      <c r="E183" s="23" t="s">
        <v>259</v>
      </c>
      <c r="F183" s="23" t="s">
        <v>750</v>
      </c>
      <c r="G183" s="23" t="s">
        <v>92</v>
      </c>
      <c r="H183" s="23" t="s">
        <v>557</v>
      </c>
      <c r="I183" s="209">
        <f>IF($E183="VDO 2021 - Variation Final",
IF($G183="Residential",
INDEX(OP_TotalRates_RES_1[#Data],MATCH($C183,OP_TotalRates_RES_1[Rate name],0),MATCH(I$162,OP_TotalRates_RES_1[#Headers],0)),
INDEX(OP_TotalRates_SME_1[#Data],MATCH($C183,OP_TotalRates_SME_1[Rate name],0),MATCH(I$162,OP_TotalRates_SME_1[#Headers],0))),
IF($G183="Residential",
IF($F183="Calculated",
INDEX(OP_Rates_RES_2[#Data],MATCH($C183,OP_Rates_RES_2[Rate name],0),MATCH(I$162,OP_Rates_RES_2[#Headers],0)),
INDEX(OP_RatesTU_RES_2[#Data],MATCH($C183,OP_RatesTU_RES_2[Rate name],0),MATCH(I$162,OP_RatesTU_RES_2[#Headers],0))),
IF($F183="Calculated",
INDEX(OP_Rates_SME_2[#Data],MATCH($C183,OP_Rates_SME_2[Rate name],0),MATCH(I$162,OP_Rates_SME_2[#Headers])),
INDEX(OP_RatesTU_SME_2[#Data],MATCH($C183,OP_RatesTU_SME_2[Rate name],0),MATCH(I$162,OP_RatesTU_SME_2[#Headers],0)))))</f>
        <v>0.36791221056932072</v>
      </c>
      <c r="J183" s="209">
        <f>IF($E183="VDO 2021 - Variation Final",
IF($G183="Residential",
INDEX(OP_TotalRates_RES_1[#Data],MATCH($C183,OP_TotalRates_RES_1[Rate name],0),MATCH(J$162,OP_TotalRates_RES_1[#Headers],0)),
INDEX(OP_TotalRates_SME_1[#Data],MATCH($C183,OP_TotalRates_SME_1[Rate name],0),MATCH(J$162,OP_TotalRates_SME_1[#Headers],0))),
IF($G183="Residential",
IF($F183="Calculated",
INDEX(OP_Rates_RES_2[#Data],MATCH($C183,OP_Rates_RES_2[Rate name],0),MATCH(J$162,OP_Rates_RES_2[#Headers],0)),
INDEX(OP_RatesTU_RES_2[#Data],MATCH($C183,OP_RatesTU_RES_2[Rate name],0),MATCH(J$162,OP_RatesTU_RES_2[#Headers],0))),
IF($F183="Calculated",
INDEX(OP_Rates_SME_2[#Data],MATCH($C183,OP_Rates_SME_2[Rate name],0),MATCH(J$162,OP_Rates_SME_2[#Headers])),
INDEX(OP_RatesTU_SME_2[#Data],MATCH($C183,OP_RatesTU_SME_2[Rate name],0),MATCH(J$162,OP_RatesTU_SME_2[#Headers],0)))))</f>
        <v>0.30253163024288193</v>
      </c>
      <c r="K183" s="209">
        <f>IF($E183="VDO 2021 - Variation Final",
IF($G183="Residential",
INDEX(OP_TotalRates_RES_1[#Data],MATCH($C183,OP_TotalRates_RES_1[Rate name],0),MATCH(K$162,OP_TotalRates_RES_1[#Headers],0)),
INDEX(OP_TotalRates_SME_1[#Data],MATCH($C183,OP_TotalRates_SME_1[Rate name],0),MATCH(K$162,OP_TotalRates_SME_1[#Headers],0))),
IF($G183="Residential",
IF($F183="Calculated",
INDEX(OP_Rates_RES_2[#Data],MATCH($C183,OP_Rates_RES_2[Rate name],0),MATCH(K$162,OP_Rates_RES_2[#Headers],0)),
INDEX(OP_RatesTU_RES_2[#Data],MATCH($C183,OP_RatesTU_RES_2[Rate name],0),MATCH(K$162,OP_RatesTU_RES_2[#Headers],0))),
IF($F183="Calculated",
INDEX(OP_Rates_SME_2[#Data],MATCH($C183,OP_Rates_SME_2[Rate name],0),MATCH(K$162,OP_Rates_SME_2[#Headers])),
INDEX(OP_RatesTU_SME_2[#Data],MATCH($C183,OP_RatesTU_SME_2[Rate name],0),MATCH(K$162,OP_RatesTU_SME_2[#Headers],0)))))</f>
        <v>0.28050442107313167</v>
      </c>
      <c r="L183" s="209">
        <f>IF($E183="VDO 2021 - Variation Final",
IF($G183="Residential",
INDEX(OP_TotalRates_RES_1[#Data],MATCH($C183,OP_TotalRates_RES_1[Rate name],0),MATCH(L$162,OP_TotalRates_RES_1[#Headers],0)),
INDEX(OP_TotalRates_SME_1[#Data],MATCH($C183,OP_TotalRates_SME_1[Rate name],0),MATCH(L$162,OP_TotalRates_SME_1[#Headers],0))),
IF($G183="Residential",
IF($F183="Calculated",
INDEX(OP_Rates_RES_2[#Data],MATCH($C183,OP_Rates_RES_2[Rate name],0),MATCH(L$162,OP_Rates_RES_2[#Headers],0)),
INDEX(OP_RatesTU_RES_2[#Data],MATCH($C183,OP_RatesTU_RES_2[Rate name],0),MATCH(L$162,OP_RatesTU_RES_2[#Headers],0))),
IF($F183="Calculated",
INDEX(OP_Rates_SME_2[#Data],MATCH($C183,OP_Rates_SME_2[Rate name],0),MATCH(L$162,OP_Rates_SME_2[#Headers])),
INDEX(OP_RatesTU_SME_2[#Data],MATCH($C183,OP_RatesTU_SME_2[Rate name],0),MATCH(L$162,OP_RatesTU_SME_2[#Headers],0)))))</f>
        <v>0.30683354615771652</v>
      </c>
      <c r="M183" s="209">
        <f>IF($E183="VDO 2021 - Variation Final",
IF($G183="Residential",
INDEX(OP_TotalRates_RES_1[#Data],MATCH($C183,OP_TotalRates_RES_1[Rate name],0),MATCH(M$162,OP_TotalRates_RES_1[#Headers],0)),
INDEX(OP_TotalRates_SME_1[#Data],MATCH($C183,OP_TotalRates_SME_1[Rate name],0),MATCH(M$162,OP_TotalRates_SME_1[#Headers],0))),
IF($G183="Residential",
IF($F183="Calculated",
INDEX(OP_Rates_RES_2[#Data],MATCH($C183,OP_Rates_RES_2[Rate name],0),MATCH(M$162,OP_Rates_RES_2[#Headers],0)),
INDEX(OP_RatesTU_RES_2[#Data],MATCH($C183,OP_RatesTU_RES_2[Rate name],0),MATCH(M$162,OP_RatesTU_RES_2[#Headers],0))),
IF($F183="Calculated",
INDEX(OP_Rates_SME_2[#Data],MATCH($C183,OP_Rates_SME_2[Rate name],0),MATCH(M$162,OP_Rates_SME_2[#Headers])),
INDEX(OP_RatesTU_SME_2[#Data],MATCH($C183,OP_RatesTU_SME_2[Rate name],0),MATCH(M$162,OP_RatesTU_SME_2[#Headers],0)))))</f>
        <v>0.30863554749005234</v>
      </c>
      <c r="N183" s="180"/>
      <c r="O183" s="23" t="s">
        <v>691</v>
      </c>
      <c r="P183"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1320</v>
      </c>
    </row>
    <row r="184" spans="3:16" x14ac:dyDescent="0.25">
      <c r="C184" s="23" t="s">
        <v>609</v>
      </c>
      <c r="D184" s="23" t="s">
        <v>282</v>
      </c>
      <c r="E184" s="23" t="s">
        <v>259</v>
      </c>
      <c r="F184" s="23" t="s">
        <v>750</v>
      </c>
      <c r="G184" s="23" t="s">
        <v>92</v>
      </c>
      <c r="H184" s="23" t="s">
        <v>557</v>
      </c>
      <c r="I184" s="209">
        <f>IF($E184="VDO 2021 - Variation Final",
IF($G184="Residential",
INDEX(OP_TotalRates_RES_1[#Data],MATCH($C184,OP_TotalRates_RES_1[Rate name],0),MATCH(I$162,OP_TotalRates_RES_1[#Headers],0)),
INDEX(OP_TotalRates_SME_1[#Data],MATCH($C184,OP_TotalRates_SME_1[Rate name],0),MATCH(I$162,OP_TotalRates_SME_1[#Headers],0))),
IF($G184="Residential",
IF($F184="Calculated",
INDEX(OP_Rates_RES_2[#Data],MATCH($C184,OP_Rates_RES_2[Rate name],0),MATCH(I$162,OP_Rates_RES_2[#Headers],0)),
INDEX(OP_RatesTU_RES_2[#Data],MATCH($C184,OP_RatesTU_RES_2[Rate name],0),MATCH(I$162,OP_RatesTU_RES_2[#Headers],0))),
IF($F184="Calculated",
INDEX(OP_Rates_SME_2[#Data],MATCH($C184,OP_Rates_SME_2[Rate name],0),MATCH(I$162,OP_Rates_SME_2[#Headers])),
INDEX(OP_RatesTU_SME_2[#Data],MATCH($C184,OP_RatesTU_SME_2[Rate name],0),MATCH(I$162,OP_RatesTU_SME_2[#Headers],0)))))</f>
        <v>0.17531780284932075</v>
      </c>
      <c r="J184" s="209">
        <f>IF($E184="VDO 2021 - Variation Final",
IF($G184="Residential",
INDEX(OP_TotalRates_RES_1[#Data],MATCH($C184,OP_TotalRates_RES_1[Rate name],0),MATCH(J$162,OP_TotalRates_RES_1[#Headers],0)),
INDEX(OP_TotalRates_SME_1[#Data],MATCH($C184,OP_TotalRates_SME_1[Rate name],0),MATCH(J$162,OP_TotalRates_SME_1[#Headers],0))),
IF($G184="Residential",
IF($F184="Calculated",
INDEX(OP_Rates_RES_2[#Data],MATCH($C184,OP_Rates_RES_2[Rate name],0),MATCH(J$162,OP_Rates_RES_2[#Headers],0)),
INDEX(OP_RatesTU_RES_2[#Data],MATCH($C184,OP_RatesTU_RES_2[Rate name],0),MATCH(J$162,OP_RatesTU_RES_2[#Headers],0))),
IF($F184="Calculated",
INDEX(OP_Rates_SME_2[#Data],MATCH($C184,OP_Rates_SME_2[Rate name],0),MATCH(J$162,OP_Rates_SME_2[#Headers])),
INDEX(OP_RatesTU_SME_2[#Data],MATCH($C184,OP_RatesTU_SME_2[Rate name],0),MATCH(J$162,OP_RatesTU_SME_2[#Headers],0)))))</f>
        <v>0.16302540624288198</v>
      </c>
      <c r="K184" s="209">
        <f>IF($E184="VDO 2021 - Variation Final",
IF($G184="Residential",
INDEX(OP_TotalRates_RES_1[#Data],MATCH($C184,OP_TotalRates_RES_1[Rate name],0),MATCH(K$162,OP_TotalRates_RES_1[#Headers],0)),
INDEX(OP_TotalRates_SME_1[#Data],MATCH($C184,OP_TotalRates_SME_1[Rate name],0),MATCH(K$162,OP_TotalRates_SME_1[#Headers],0))),
IF($G184="Residential",
IF($F184="Calculated",
INDEX(OP_Rates_RES_2[#Data],MATCH($C184,OP_Rates_RES_2[Rate name],0),MATCH(K$162,OP_Rates_RES_2[#Headers],0)),
INDEX(OP_RatesTU_RES_2[#Data],MATCH($C184,OP_RatesTU_RES_2[Rate name],0),MATCH(K$162,OP_RatesTU_RES_2[#Headers],0))),
IF($F184="Calculated",
INDEX(OP_Rates_SME_2[#Data],MATCH($C184,OP_Rates_SME_2[Rate name],0),MATCH(K$162,OP_Rates_SME_2[#Headers])),
INDEX(OP_RatesTU_SME_2[#Data],MATCH($C184,OP_RatesTU_SME_2[Rate name],0),MATCH(K$162,OP_RatesTU_SME_2[#Headers],0)))))</f>
        <v>0.16850285227313166</v>
      </c>
      <c r="L184" s="209">
        <f>IF($E184="VDO 2021 - Variation Final",
IF($G184="Residential",
INDEX(OP_TotalRates_RES_1[#Data],MATCH($C184,OP_TotalRates_RES_1[Rate name],0),MATCH(L$162,OP_TotalRates_RES_1[#Headers],0)),
INDEX(OP_TotalRates_SME_1[#Data],MATCH($C184,OP_TotalRates_SME_1[Rate name],0),MATCH(L$162,OP_TotalRates_SME_1[#Headers],0))),
IF($G184="Residential",
IF($F184="Calculated",
INDEX(OP_Rates_RES_2[#Data],MATCH($C184,OP_Rates_RES_2[Rate name],0),MATCH(L$162,OP_Rates_RES_2[#Headers],0)),
INDEX(OP_RatesTU_RES_2[#Data],MATCH($C184,OP_RatesTU_RES_2[Rate name],0),MATCH(L$162,OP_RatesTU_RES_2[#Headers],0))),
IF($F184="Calculated",
INDEX(OP_Rates_SME_2[#Data],MATCH($C184,OP_Rates_SME_2[Rate name],0),MATCH(L$162,OP_Rates_SME_2[#Headers])),
INDEX(OP_RatesTU_SME_2[#Data],MATCH($C184,OP_RatesTU_SME_2[Rate name],0),MATCH(L$162,OP_RatesTU_SME_2[#Headers],0)))))</f>
        <v>0.16791054215771656</v>
      </c>
      <c r="M184" s="209">
        <f>IF($E184="VDO 2021 - Variation Final",
IF($G184="Residential",
INDEX(OP_TotalRates_RES_1[#Data],MATCH($C184,OP_TotalRates_RES_1[Rate name],0),MATCH(M$162,OP_TotalRates_RES_1[#Headers],0)),
INDEX(OP_TotalRates_SME_1[#Data],MATCH($C184,OP_TotalRates_SME_1[Rate name],0),MATCH(M$162,OP_TotalRates_SME_1[#Headers],0))),
IF($G184="Residential",
IF($F184="Calculated",
INDEX(OP_Rates_RES_2[#Data],MATCH($C184,OP_Rates_RES_2[Rate name],0),MATCH(M$162,OP_Rates_RES_2[#Headers],0)),
INDEX(OP_RatesTU_RES_2[#Data],MATCH($C184,OP_RatesTU_RES_2[Rate name],0),MATCH(M$162,OP_RatesTU_RES_2[#Headers],0))),
IF($F184="Calculated",
INDEX(OP_Rates_SME_2[#Data],MATCH($C184,OP_Rates_SME_2[Rate name],0),MATCH(M$162,OP_Rates_SME_2[#Headers])),
INDEX(OP_RatesTU_SME_2[#Data],MATCH($C184,OP_RatesTU_SME_2[Rate name],0),MATCH(M$162,OP_RatesTU_SME_2[#Headers],0)))))</f>
        <v>0.17052905149005237</v>
      </c>
      <c r="N184" s="180"/>
      <c r="O184" s="23" t="s">
        <v>691</v>
      </c>
      <c r="P184"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2680</v>
      </c>
    </row>
    <row r="185" spans="3:16" x14ac:dyDescent="0.25">
      <c r="C185" s="23" t="s">
        <v>287</v>
      </c>
      <c r="D185" s="23" t="s">
        <v>282</v>
      </c>
      <c r="E185" s="23" t="s">
        <v>259</v>
      </c>
      <c r="F185" s="23" t="s">
        <v>750</v>
      </c>
      <c r="G185" s="23" t="s">
        <v>92</v>
      </c>
      <c r="H185" s="23" t="s">
        <v>697</v>
      </c>
      <c r="I185" s="209">
        <f>IF($E185="VDO 2021 - Variation Final",
IF($G185="Residential",
INDEX(OP_TotalRates_RES_1[#Data],MATCH($C185,OP_TotalRates_RES_1[Rate name],0),MATCH(I$162,OP_TotalRates_RES_1[#Headers],0)),
INDEX(OP_TotalRates_SME_1[#Data],MATCH($C185,OP_TotalRates_SME_1[Rate name],0),MATCH(I$162,OP_TotalRates_SME_1[#Headers],0))),
IF($G185="Residential",
IF($F185="Calculated",
INDEX(OP_Rates_RES_2[#Data],MATCH($C185,OP_Rates_RES_2[Rate name],0),MATCH(I$162,OP_Rates_RES_2[#Headers],0)),
INDEX(OP_RatesTU_RES_2[#Data],MATCH($C185,OP_RatesTU_RES_2[Rate name],0),MATCH(I$162,OP_RatesTU_RES_2[#Headers],0))),
IF($F185="Calculated",
INDEX(OP_Rates_SME_2[#Data],MATCH($C185,OP_Rates_SME_2[Rate name],0),MATCH(I$162,OP_Rates_SME_2[#Headers])),
INDEX(OP_RatesTU_SME_2[#Data],MATCH($C185,OP_RatesTU_SME_2[Rate name],0),MATCH(I$162,OP_RatesTU_SME_2[#Headers],0)))))</f>
        <v>0.17438931660932072</v>
      </c>
      <c r="J185" s="209">
        <f>IF($E185="VDO 2021 - Variation Final",
IF($G185="Residential",
INDEX(OP_TotalRates_RES_1[#Data],MATCH($C185,OP_TotalRates_RES_1[Rate name],0),MATCH(J$162,OP_TotalRates_RES_1[#Headers],0)),
INDEX(OP_TotalRates_SME_1[#Data],MATCH($C185,OP_TotalRates_SME_1[Rate name],0),MATCH(J$162,OP_TotalRates_SME_1[#Headers],0))),
IF($G185="Residential",
IF($F185="Calculated",
INDEX(OP_Rates_RES_2[#Data],MATCH($C185,OP_Rates_RES_2[Rate name],0),MATCH(J$162,OP_Rates_RES_2[#Headers],0)),
INDEX(OP_RatesTU_RES_2[#Data],MATCH($C185,OP_RatesTU_RES_2[Rate name],0),MATCH(J$162,OP_RatesTU_RES_2[#Headers],0))),
IF($F185="Calculated",
INDEX(OP_Rates_SME_2[#Data],MATCH($C185,OP_Rates_SME_2[Rate name],0),MATCH(J$162,OP_Rates_SME_2[#Headers])),
INDEX(OP_RatesTU_SME_2[#Data],MATCH($C185,OP_RatesTU_SME_2[Rate name],0),MATCH(J$162,OP_RatesTU_SME_2[#Headers],0)))))</f>
        <v>0.14541216224288195</v>
      </c>
      <c r="K185" s="209">
        <f>IF($E185="VDO 2021 - Variation Final",
IF($G185="Residential",
INDEX(OP_TotalRates_RES_1[#Data],MATCH($C185,OP_TotalRates_RES_1[Rate name],0),MATCH(K$162,OP_TotalRates_RES_1[#Headers],0)),
INDEX(OP_TotalRates_SME_1[#Data],MATCH($C185,OP_TotalRates_SME_1[Rate name],0),MATCH(K$162,OP_TotalRates_SME_1[#Headers],0))),
IF($G185="Residential",
IF($F185="Calculated",
INDEX(OP_Rates_RES_2[#Data],MATCH($C185,OP_Rates_RES_2[Rate name],0),MATCH(K$162,OP_Rates_RES_2[#Headers],0)),
INDEX(OP_RatesTU_RES_2[#Data],MATCH($C185,OP_RatesTU_RES_2[Rate name],0),MATCH(K$162,OP_RatesTU_RES_2[#Headers],0))),
IF($F185="Calculated",
INDEX(OP_Rates_SME_2[#Data],MATCH($C185,OP_Rates_SME_2[Rate name],0),MATCH(K$162,OP_Rates_SME_2[#Headers])),
INDEX(OP_RatesTU_SME_2[#Data],MATCH($C185,OP_RatesTU_SME_2[Rate name],0),MATCH(K$162,OP_RatesTU_SME_2[#Headers],0)))))</f>
        <v>0.16510851187313164</v>
      </c>
      <c r="L185" s="209">
        <f>IF($E185="VDO 2021 - Variation Final",
IF($G185="Residential",
INDEX(OP_TotalRates_RES_1[#Data],MATCH($C185,OP_TotalRates_RES_1[Rate name],0),MATCH(L$162,OP_TotalRates_RES_1[#Headers],0)),
INDEX(OP_TotalRates_SME_1[#Data],MATCH($C185,OP_TotalRates_SME_1[Rate name],0),MATCH(L$162,OP_TotalRates_SME_1[#Headers],0))),
IF($G185="Residential",
IF($F185="Calculated",
INDEX(OP_Rates_RES_2[#Data],MATCH($C185,OP_Rates_RES_2[Rate name],0),MATCH(L$162,OP_Rates_RES_2[#Headers],0)),
INDEX(OP_RatesTU_RES_2[#Data],MATCH($C185,OP_RatesTU_RES_2[Rate name],0),MATCH(L$162,OP_RatesTU_RES_2[#Headers],0))),
IF($F185="Calculated",
INDEX(OP_Rates_SME_2[#Data],MATCH($C185,OP_Rates_SME_2[Rate name],0),MATCH(L$162,OP_Rates_SME_2[#Headers])),
INDEX(OP_RatesTU_SME_2[#Data],MATCH($C185,OP_RatesTU_SME_2[Rate name],0),MATCH(L$162,OP_RatesTU_SME_2[#Headers],0)))))</f>
        <v>0.14959743415771656</v>
      </c>
      <c r="M185" s="209">
        <f>IF($E185="VDO 2021 - Variation Final",
IF($G185="Residential",
INDEX(OP_TotalRates_RES_1[#Data],MATCH($C185,OP_TotalRates_RES_1[Rate name],0),MATCH(M$162,OP_TotalRates_RES_1[#Headers],0)),
INDEX(OP_TotalRates_SME_1[#Data],MATCH($C185,OP_TotalRates_SME_1[Rate name],0),MATCH(M$162,OP_TotalRates_SME_1[#Headers],0))),
IF($G185="Residential",
IF($F185="Calculated",
INDEX(OP_Rates_RES_2[#Data],MATCH($C185,OP_Rates_RES_2[Rate name],0),MATCH(M$162,OP_Rates_RES_2[#Headers],0)),
INDEX(OP_RatesTU_RES_2[#Data],MATCH($C185,OP_RatesTU_RES_2[Rate name],0),MATCH(M$162,OP_RatesTU_RES_2[#Headers],0))),
IF($F185="Calculated",
INDEX(OP_Rates_SME_2[#Data],MATCH($C185,OP_Rates_SME_2[Rate name],0),MATCH(M$162,OP_Rates_SME_2[#Headers])),
INDEX(OP_RatesTU_SME_2[#Data],MATCH($C185,OP_RatesTU_SME_2[Rate name],0),MATCH(M$162,OP_RatesTU_SME_2[#Headers],0)))))</f>
        <v>0.14976641949005237</v>
      </c>
      <c r="N185" s="180"/>
      <c r="O185" s="23" t="s">
        <v>691</v>
      </c>
      <c r="P185"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2000</v>
      </c>
    </row>
    <row r="186" spans="3:16" x14ac:dyDescent="0.25">
      <c r="C186" s="23" t="s">
        <v>550</v>
      </c>
      <c r="D186" s="23" t="s">
        <v>109</v>
      </c>
      <c r="E186" s="23" t="s">
        <v>259</v>
      </c>
      <c r="F186" s="23" t="s">
        <v>750</v>
      </c>
      <c r="G186" s="23" t="s">
        <v>93</v>
      </c>
      <c r="H186" s="23" t="s">
        <v>556</v>
      </c>
      <c r="I186" s="209">
        <f>IF($E186="VDO 2021 - Variation Final",
IF($G186="Residential",
INDEX(OP_TotalRates_RES_1[#Data],MATCH($C186,OP_TotalRates_RES_1[Rate name],0),MATCH(I$162,OP_TotalRates_RES_1[#Headers],0)),
INDEX(OP_TotalRates_SME_1[#Data],MATCH($C186,OP_TotalRates_SME_1[Rate name],0),MATCH(I$162,OP_TotalRates_SME_1[#Headers],0))),
IF($G186="Residential",
IF($F186="Calculated",
INDEX(OP_Rates_RES_2[#Data],MATCH($C186,OP_Rates_RES_2[Rate name],0),MATCH(I$162,OP_Rates_RES_2[#Headers],0)),
INDEX(OP_RatesTU_RES_2[#Data],MATCH($C186,OP_RatesTU_RES_2[Rate name],0),MATCH(I$162,OP_RatesTU_RES_2[#Headers],0))),
IF($F186="Calculated",
INDEX(OP_Rates_SME_2[#Data],MATCH($C186,OP_Rates_SME_2[Rate name],0),MATCH(I$162,OP_Rates_SME_2[#Headers])),
INDEX(OP_RatesTU_SME_2[#Data],MATCH($C186,OP_RatesTU_SME_2[Rate name],0),MATCH(I$162,OP_RatesTU_SME_2[#Headers],0)))))</f>
        <v>1.1940616018401751</v>
      </c>
      <c r="J186" s="209">
        <f>IF($E186="VDO 2021 - Variation Final",
IF($G186="Residential",
INDEX(OP_TotalRates_RES_1[#Data],MATCH($C186,OP_TotalRates_RES_1[Rate name],0),MATCH(J$162,OP_TotalRates_RES_1[#Headers],0)),
INDEX(OP_TotalRates_SME_1[#Data],MATCH($C186,OP_TotalRates_SME_1[Rate name],0),MATCH(J$162,OP_TotalRates_SME_1[#Headers],0))),
IF($G186="Residential",
IF($F186="Calculated",
INDEX(OP_Rates_RES_2[#Data],MATCH($C186,OP_Rates_RES_2[Rate name],0),MATCH(J$162,OP_Rates_RES_2[#Headers],0)),
INDEX(OP_RatesTU_RES_2[#Data],MATCH($C186,OP_RatesTU_RES_2[Rate name],0),MATCH(J$162,OP_RatesTU_RES_2[#Headers],0))),
IF($F186="Calculated",
INDEX(OP_Rates_SME_2[#Data],MATCH($C186,OP_Rates_SME_2[Rate name],0),MATCH(J$162,OP_Rates_SME_2[#Headers])),
INDEX(OP_RatesTU_SME_2[#Data],MATCH($C186,OP_RatesTU_SME_2[Rate name],0),MATCH(J$162,OP_RatesTU_SME_2[#Headers],0)))))</f>
        <v>1.3366101570182571</v>
      </c>
      <c r="K186" s="209">
        <f>IF($E186="VDO 2021 - Variation Final",
IF($G186="Residential",
INDEX(OP_TotalRates_RES_1[#Data],MATCH($C186,OP_TotalRates_RES_1[Rate name],0),MATCH(K$162,OP_TotalRates_RES_1[#Headers],0)),
INDEX(OP_TotalRates_SME_1[#Data],MATCH($C186,OP_TotalRates_SME_1[Rate name],0),MATCH(K$162,OP_TotalRates_SME_1[#Headers],0))),
IF($G186="Residential",
IF($F186="Calculated",
INDEX(OP_Rates_RES_2[#Data],MATCH($C186,OP_Rates_RES_2[Rate name],0),MATCH(K$162,OP_Rates_RES_2[#Headers],0)),
INDEX(OP_RatesTU_RES_2[#Data],MATCH($C186,OP_RatesTU_RES_2[Rate name],0),MATCH(K$162,OP_RatesTU_RES_2[#Headers],0))),
IF($F186="Calculated",
INDEX(OP_Rates_SME_2[#Data],MATCH($C186,OP_Rates_SME_2[Rate name],0),MATCH(K$162,OP_Rates_SME_2[#Headers])),
INDEX(OP_RatesTU_SME_2[#Data],MATCH($C186,OP_RatesTU_SME_2[Rate name],0),MATCH(K$162,OP_RatesTU_SME_2[#Headers],0)))))</f>
        <v>1.2383096244155174</v>
      </c>
      <c r="L186" s="209">
        <f>IF($E186="VDO 2021 - Variation Final",
IF($G186="Residential",
INDEX(OP_TotalRates_RES_1[#Data],MATCH($C186,OP_TotalRates_RES_1[Rate name],0),MATCH(L$162,OP_TotalRates_RES_1[#Headers],0)),
INDEX(OP_TotalRates_SME_1[#Data],MATCH($C186,OP_TotalRates_SME_1[Rate name],0),MATCH(L$162,OP_TotalRates_SME_1[#Headers],0))),
IF($G186="Residential",
IF($F186="Calculated",
INDEX(OP_Rates_RES_2[#Data],MATCH($C186,OP_Rates_RES_2[Rate name],0),MATCH(L$162,OP_Rates_RES_2[#Headers],0)),
INDEX(OP_RatesTU_RES_2[#Data],MATCH($C186,OP_RatesTU_RES_2[Rate name],0),MATCH(L$162,OP_RatesTU_RES_2[#Headers],0))),
IF($F186="Calculated",
INDEX(OP_Rates_SME_2[#Data],MATCH($C186,OP_Rates_SME_2[Rate name],0),MATCH(L$162,OP_Rates_SME_2[#Headers])),
INDEX(OP_RatesTU_SME_2[#Data],MATCH($C186,OP_RatesTU_SME_2[Rate name],0),MATCH(L$162,OP_RatesTU_SME_2[#Headers],0)))))</f>
        <v>1.3959404085799008</v>
      </c>
      <c r="M186" s="209">
        <f>IF($E186="VDO 2021 - Variation Final",
IF($G186="Residential",
INDEX(OP_TotalRates_RES_1[#Data],MATCH($C186,OP_TotalRates_RES_1[Rate name],0),MATCH(M$162,OP_TotalRates_RES_1[#Headers],0)),
INDEX(OP_TotalRates_SME_1[#Data],MATCH($C186,OP_TotalRates_SME_1[Rate name],0),MATCH(M$162,OP_TotalRates_SME_1[#Headers],0))),
IF($G186="Residential",
IF($F186="Calculated",
INDEX(OP_Rates_RES_2[#Data],MATCH($C186,OP_Rates_RES_2[Rate name],0),MATCH(M$162,OP_Rates_RES_2[#Headers],0)),
INDEX(OP_RatesTU_RES_2[#Data],MATCH($C186,OP_RatesTU_RES_2[Rate name],0),MATCH(M$162,OP_RatesTU_RES_2[#Headers],0))),
IF($F186="Calculated",
INDEX(OP_Rates_SME_2[#Data],MATCH($C186,OP_Rates_SME_2[Rate name],0),MATCH(M$162,OP_Rates_SME_2[#Headers])),
INDEX(OP_RatesTU_SME_2[#Data],MATCH($C186,OP_RatesTU_SME_2[Rate name],0),MATCH(M$162,OP_RatesTU_SME_2[#Headers],0)))))</f>
        <v>1.1561027680867502</v>
      </c>
      <c r="N186" s="180"/>
      <c r="O186" s="23" t="s">
        <v>427</v>
      </c>
      <c r="P186"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row>
    <row r="187" spans="3:16" x14ac:dyDescent="0.25">
      <c r="C187" s="23" t="s">
        <v>221</v>
      </c>
      <c r="D187" s="23" t="s">
        <v>282</v>
      </c>
      <c r="E187" s="23" t="s">
        <v>259</v>
      </c>
      <c r="F187" s="23" t="s">
        <v>750</v>
      </c>
      <c r="G187" s="23" t="s">
        <v>93</v>
      </c>
      <c r="H187" s="23" t="s">
        <v>556</v>
      </c>
      <c r="I187" s="209">
        <f>IF($E187="VDO 2021 - Variation Final",
IF($G187="Residential",
INDEX(OP_TotalRates_RES_1[#Data],MATCH($C187,OP_TotalRates_RES_1[Rate name],0),MATCH(I$162,OP_TotalRates_RES_1[#Headers],0)),
INDEX(OP_TotalRates_SME_1[#Data],MATCH($C187,OP_TotalRates_SME_1[Rate name],0),MATCH(I$162,OP_TotalRates_SME_1[#Headers],0))),
IF($G187="Residential",
IF($F187="Calculated",
INDEX(OP_Rates_RES_2[#Data],MATCH($C187,OP_Rates_RES_2[Rate name],0),MATCH(I$162,OP_Rates_RES_2[#Headers],0)),
INDEX(OP_RatesTU_RES_2[#Data],MATCH($C187,OP_RatesTU_RES_2[Rate name],0),MATCH(I$162,OP_RatesTU_RES_2[#Headers],0))),
IF($F187="Calculated",
INDEX(OP_Rates_SME_2[#Data],MATCH($C187,OP_Rates_SME_2[Rate name],0),MATCH(I$162,OP_Rates_SME_2[#Headers])),
INDEX(OP_RatesTU_SME_2[#Data],MATCH($C187,OP_RatesTU_SME_2[Rate name],0),MATCH(I$162,OP_RatesTU_SME_2[#Headers],0)))))</f>
        <v>0.29496627233989919</v>
      </c>
      <c r="J187" s="209" t="str">
        <f>IF($E187="VDO 2021 - Variation Final",
IF($G187="Residential",
INDEX(OP_TotalRates_RES_1[#Data],MATCH($C187,OP_TotalRates_RES_1[Rate name],0),MATCH(J$162,OP_TotalRates_RES_1[#Headers],0)),
INDEX(OP_TotalRates_SME_1[#Data],MATCH($C187,OP_TotalRates_SME_1[Rate name],0),MATCH(J$162,OP_TotalRates_SME_1[#Headers],0))),
IF($G187="Residential",
IF($F187="Calculated",
INDEX(OP_Rates_RES_2[#Data],MATCH($C187,OP_Rates_RES_2[Rate name],0),MATCH(J$162,OP_Rates_RES_2[#Headers],0)),
INDEX(OP_RatesTU_RES_2[#Data],MATCH($C187,OP_RatesTU_RES_2[Rate name],0),MATCH(J$162,OP_RatesTU_RES_2[#Headers],0))),
IF($F187="Calculated",
INDEX(OP_Rates_SME_2[#Data],MATCH($C187,OP_Rates_SME_2[Rate name],0),MATCH(J$162,OP_Rates_SME_2[#Headers])),
INDEX(OP_RatesTU_SME_2[#Data],MATCH($C187,OP_RatesTU_SME_2[Rate name],0),MATCH(J$162,OP_RatesTU_SME_2[#Headers],0)))))</f>
        <v>-</v>
      </c>
      <c r="K187" s="209" t="str">
        <f>IF($E187="VDO 2021 - Variation Final",
IF($G187="Residential",
INDEX(OP_TotalRates_RES_1[#Data],MATCH($C187,OP_TotalRates_RES_1[Rate name],0),MATCH(K$162,OP_TotalRates_RES_1[#Headers],0)),
INDEX(OP_TotalRates_SME_1[#Data],MATCH($C187,OP_TotalRates_SME_1[Rate name],0),MATCH(K$162,OP_TotalRates_SME_1[#Headers],0))),
IF($G187="Residential",
IF($F187="Calculated",
INDEX(OP_Rates_RES_2[#Data],MATCH($C187,OP_Rates_RES_2[Rate name],0),MATCH(K$162,OP_Rates_RES_2[#Headers],0)),
INDEX(OP_RatesTU_RES_2[#Data],MATCH($C187,OP_RatesTU_RES_2[Rate name],0),MATCH(K$162,OP_RatesTU_RES_2[#Headers],0))),
IF($F187="Calculated",
INDEX(OP_Rates_SME_2[#Data],MATCH($C187,OP_Rates_SME_2[Rate name],0),MATCH(K$162,OP_Rates_SME_2[#Headers])),
INDEX(OP_RatesTU_SME_2[#Data],MATCH($C187,OP_RatesTU_SME_2[Rate name],0),MATCH(K$162,OP_RatesTU_SME_2[#Headers],0)))))</f>
        <v>-</v>
      </c>
      <c r="L187" s="209" t="str">
        <f>IF($E187="VDO 2021 - Variation Final",
IF($G187="Residential",
INDEX(OP_TotalRates_RES_1[#Data],MATCH($C187,OP_TotalRates_RES_1[Rate name],0),MATCH(L$162,OP_TotalRates_RES_1[#Headers],0)),
INDEX(OP_TotalRates_SME_1[#Data],MATCH($C187,OP_TotalRates_SME_1[Rate name],0),MATCH(L$162,OP_TotalRates_SME_1[#Headers],0))),
IF($G187="Residential",
IF($F187="Calculated",
INDEX(OP_Rates_RES_2[#Data],MATCH($C187,OP_Rates_RES_2[Rate name],0),MATCH(L$162,OP_Rates_RES_2[#Headers],0)),
INDEX(OP_RatesTU_RES_2[#Data],MATCH($C187,OP_RatesTU_RES_2[Rate name],0),MATCH(L$162,OP_RatesTU_RES_2[#Headers],0))),
IF($F187="Calculated",
INDEX(OP_Rates_SME_2[#Data],MATCH($C187,OP_Rates_SME_2[Rate name],0),MATCH(L$162,OP_Rates_SME_2[#Headers])),
INDEX(OP_RatesTU_SME_2[#Data],MATCH($C187,OP_RatesTU_SME_2[Rate name],0),MATCH(L$162,OP_RatesTU_SME_2[#Headers],0)))))</f>
        <v>-</v>
      </c>
      <c r="M187" s="209" t="str">
        <f>IF($E187="VDO 2021 - Variation Final",
IF($G187="Residential",
INDEX(OP_TotalRates_RES_1[#Data],MATCH($C187,OP_TotalRates_RES_1[Rate name],0),MATCH(M$162,OP_TotalRates_RES_1[#Headers],0)),
INDEX(OP_TotalRates_SME_1[#Data],MATCH($C187,OP_TotalRates_SME_1[Rate name],0),MATCH(M$162,OP_TotalRates_SME_1[#Headers],0))),
IF($G187="Residential",
IF($F187="Calculated",
INDEX(OP_Rates_RES_2[#Data],MATCH($C187,OP_Rates_RES_2[Rate name],0),MATCH(M$162,OP_Rates_RES_2[#Headers],0)),
INDEX(OP_RatesTU_RES_2[#Data],MATCH($C187,OP_RatesTU_RES_2[Rate name],0),MATCH(M$162,OP_RatesTU_RES_2[#Headers],0))),
IF($F187="Calculated",
INDEX(OP_Rates_SME_2[#Data],MATCH($C187,OP_Rates_SME_2[Rate name],0),MATCH(M$162,OP_Rates_SME_2[#Headers])),
INDEX(OP_RatesTU_SME_2[#Data],MATCH($C187,OP_RatesTU_SME_2[Rate name],0),MATCH(M$162,OP_RatesTU_SME_2[#Headers],0)))))</f>
        <v>-</v>
      </c>
      <c r="N187" s="180"/>
      <c r="O187" s="23" t="s">
        <v>691</v>
      </c>
      <c r="P187"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4080</v>
      </c>
    </row>
    <row r="188" spans="3:16" x14ac:dyDescent="0.25">
      <c r="C188" s="23" t="s">
        <v>228</v>
      </c>
      <c r="D188" s="23" t="s">
        <v>282</v>
      </c>
      <c r="E188" s="23" t="s">
        <v>259</v>
      </c>
      <c r="F188" s="23" t="s">
        <v>750</v>
      </c>
      <c r="G188" s="23" t="s">
        <v>93</v>
      </c>
      <c r="H188" s="23" t="s">
        <v>556</v>
      </c>
      <c r="I188" s="209">
        <f>IF($E188="VDO 2021 - Variation Final",
IF($G188="Residential",
INDEX(OP_TotalRates_RES_1[#Data],MATCH($C188,OP_TotalRates_RES_1[Rate name],0),MATCH(I$162,OP_TotalRates_RES_1[#Headers],0)),
INDEX(OP_TotalRates_SME_1[#Data],MATCH($C188,OP_TotalRates_SME_1[Rate name],0),MATCH(I$162,OP_TotalRates_SME_1[#Headers],0))),
IF($G188="Residential",
IF($F188="Calculated",
INDEX(OP_Rates_RES_2[#Data],MATCH($C188,OP_Rates_RES_2[Rate name],0),MATCH(I$162,OP_Rates_RES_2[#Headers],0)),
INDEX(OP_RatesTU_RES_2[#Data],MATCH($C188,OP_RatesTU_RES_2[Rate name],0),MATCH(I$162,OP_RatesTU_RES_2[#Headers],0))),
IF($F188="Calculated",
INDEX(OP_Rates_SME_2[#Data],MATCH($C188,OP_Rates_SME_2[Rate name],0),MATCH(I$162,OP_Rates_SME_2[#Headers])),
INDEX(OP_RatesTU_SME_2[#Data],MATCH($C188,OP_RatesTU_SME_2[Rate name],0),MATCH(I$162,OP_RatesTU_SME_2[#Headers],0)))))</f>
        <v>0.3267879219798992</v>
      </c>
      <c r="J188" s="209" t="str">
        <f>IF($E188="VDO 2021 - Variation Final",
IF($G188="Residential",
INDEX(OP_TotalRates_RES_1[#Data],MATCH($C188,OP_TotalRates_RES_1[Rate name],0),MATCH(J$162,OP_TotalRates_RES_1[#Headers],0)),
INDEX(OP_TotalRates_SME_1[#Data],MATCH($C188,OP_TotalRates_SME_1[Rate name],0),MATCH(J$162,OP_TotalRates_SME_1[#Headers],0))),
IF($G188="Residential",
IF($F188="Calculated",
INDEX(OP_Rates_RES_2[#Data],MATCH($C188,OP_Rates_RES_2[Rate name],0),MATCH(J$162,OP_Rates_RES_2[#Headers],0)),
INDEX(OP_RatesTU_RES_2[#Data],MATCH($C188,OP_RatesTU_RES_2[Rate name],0),MATCH(J$162,OP_RatesTU_RES_2[#Headers],0))),
IF($F188="Calculated",
INDEX(OP_Rates_SME_2[#Data],MATCH($C188,OP_Rates_SME_2[Rate name],0),MATCH(J$162,OP_Rates_SME_2[#Headers])),
INDEX(OP_RatesTU_SME_2[#Data],MATCH($C188,OP_RatesTU_SME_2[Rate name],0),MATCH(J$162,OP_RatesTU_SME_2[#Headers],0)))))</f>
        <v>-</v>
      </c>
      <c r="K188" s="209" t="str">
        <f>IF($E188="VDO 2021 - Variation Final",
IF($G188="Residential",
INDEX(OP_TotalRates_RES_1[#Data],MATCH($C188,OP_TotalRates_RES_1[Rate name],0),MATCH(K$162,OP_TotalRates_RES_1[#Headers],0)),
INDEX(OP_TotalRates_SME_1[#Data],MATCH($C188,OP_TotalRates_SME_1[Rate name],0),MATCH(K$162,OP_TotalRates_SME_1[#Headers],0))),
IF($G188="Residential",
IF($F188="Calculated",
INDEX(OP_Rates_RES_2[#Data],MATCH($C188,OP_Rates_RES_2[Rate name],0),MATCH(K$162,OP_Rates_RES_2[#Headers],0)),
INDEX(OP_RatesTU_RES_2[#Data],MATCH($C188,OP_RatesTU_RES_2[Rate name],0),MATCH(K$162,OP_RatesTU_RES_2[#Headers],0))),
IF($F188="Calculated",
INDEX(OP_Rates_SME_2[#Data],MATCH($C188,OP_Rates_SME_2[Rate name],0),MATCH(K$162,OP_Rates_SME_2[#Headers])),
INDEX(OP_RatesTU_SME_2[#Data],MATCH($C188,OP_RatesTU_SME_2[Rate name],0),MATCH(K$162,OP_RatesTU_SME_2[#Headers],0)))))</f>
        <v>-</v>
      </c>
      <c r="L188" s="209" t="str">
        <f>IF($E188="VDO 2021 - Variation Final",
IF($G188="Residential",
INDEX(OP_TotalRates_RES_1[#Data],MATCH($C188,OP_TotalRates_RES_1[Rate name],0),MATCH(L$162,OP_TotalRates_RES_1[#Headers],0)),
INDEX(OP_TotalRates_SME_1[#Data],MATCH($C188,OP_TotalRates_SME_1[Rate name],0),MATCH(L$162,OP_TotalRates_SME_1[#Headers],0))),
IF($G188="Residential",
IF($F188="Calculated",
INDEX(OP_Rates_RES_2[#Data],MATCH($C188,OP_Rates_RES_2[Rate name],0),MATCH(L$162,OP_Rates_RES_2[#Headers],0)),
INDEX(OP_RatesTU_RES_2[#Data],MATCH($C188,OP_RatesTU_RES_2[Rate name],0),MATCH(L$162,OP_RatesTU_RES_2[#Headers],0))),
IF($F188="Calculated",
INDEX(OP_Rates_SME_2[#Data],MATCH($C188,OP_Rates_SME_2[Rate name],0),MATCH(L$162,OP_Rates_SME_2[#Headers])),
INDEX(OP_RatesTU_SME_2[#Data],MATCH($C188,OP_RatesTU_SME_2[Rate name],0),MATCH(L$162,OP_RatesTU_SME_2[#Headers],0)))))</f>
        <v>-</v>
      </c>
      <c r="M188" s="209" t="str">
        <f>IF($E188="VDO 2021 - Variation Final",
IF($G188="Residential",
INDEX(OP_TotalRates_RES_1[#Data],MATCH($C188,OP_TotalRates_RES_1[Rate name],0),MATCH(M$162,OP_TotalRates_RES_1[#Headers],0)),
INDEX(OP_TotalRates_SME_1[#Data],MATCH($C188,OP_TotalRates_SME_1[Rate name],0),MATCH(M$162,OP_TotalRates_SME_1[#Headers],0))),
IF($G188="Residential",
IF($F188="Calculated",
INDEX(OP_Rates_RES_2[#Data],MATCH($C188,OP_Rates_RES_2[Rate name],0),MATCH(M$162,OP_Rates_RES_2[#Headers],0)),
INDEX(OP_RatesTU_RES_2[#Data],MATCH($C188,OP_RatesTU_RES_2[Rate name],0),MATCH(M$162,OP_RatesTU_RES_2[#Headers],0))),
IF($F188="Calculated",
INDEX(OP_Rates_SME_2[#Data],MATCH($C188,OP_Rates_SME_2[Rate name],0),MATCH(M$162,OP_Rates_SME_2[#Headers])),
INDEX(OP_RatesTU_SME_2[#Data],MATCH($C188,OP_RatesTU_SME_2[Rate name],0),MATCH(M$162,OP_RatesTU_SME_2[#Headers],0)))))</f>
        <v>-</v>
      </c>
      <c r="N188" s="180"/>
      <c r="O188" s="23" t="s">
        <v>691</v>
      </c>
      <c r="P188"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15920</v>
      </c>
    </row>
    <row r="189" spans="3:16" x14ac:dyDescent="0.25">
      <c r="C189" s="23" t="s">
        <v>549</v>
      </c>
      <c r="D189" s="23" t="s">
        <v>282</v>
      </c>
      <c r="E189" s="23" t="s">
        <v>259</v>
      </c>
      <c r="F189" s="23" t="s">
        <v>750</v>
      </c>
      <c r="G189" s="23" t="s">
        <v>93</v>
      </c>
      <c r="H189" s="23" t="s">
        <v>556</v>
      </c>
      <c r="I189" s="209" t="str">
        <f>IF($E189="VDO 2021 - Variation Final",
IF($G189="Residential",
INDEX(OP_TotalRates_RES_1[#Data],MATCH($C189,OP_TotalRates_RES_1[Rate name],0),MATCH(I$162,OP_TotalRates_RES_1[#Headers],0)),
INDEX(OP_TotalRates_SME_1[#Data],MATCH($C189,OP_TotalRates_SME_1[Rate name],0),MATCH(I$162,OP_TotalRates_SME_1[#Headers],0))),
IF($G189="Residential",
IF($F189="Calculated",
INDEX(OP_Rates_RES_2[#Data],MATCH($C189,OP_Rates_RES_2[Rate name],0),MATCH(I$162,OP_Rates_RES_2[#Headers],0)),
INDEX(OP_RatesTU_RES_2[#Data],MATCH($C189,OP_RatesTU_RES_2[Rate name],0),MATCH(I$162,OP_RatesTU_RES_2[#Headers],0))),
IF($F189="Calculated",
INDEX(OP_Rates_SME_2[#Data],MATCH($C189,OP_Rates_SME_2[Rate name],0),MATCH(I$162,OP_Rates_SME_2[#Headers])),
INDEX(OP_RatesTU_SME_2[#Data],MATCH($C189,OP_RatesTU_SME_2[Rate name],0),MATCH(I$162,OP_RatesTU_SME_2[#Headers],0)))))</f>
        <v>-</v>
      </c>
      <c r="J189" s="209">
        <f>IF($E189="VDO 2021 - Variation Final",
IF($G189="Residential",
INDEX(OP_TotalRates_RES_1[#Data],MATCH($C189,OP_TotalRates_RES_1[Rate name],0),MATCH(J$162,OP_TotalRates_RES_1[#Headers],0)),
INDEX(OP_TotalRates_SME_1[#Data],MATCH($C189,OP_TotalRates_SME_1[Rate name],0),MATCH(J$162,OP_TotalRates_SME_1[#Headers],0))),
IF($G189="Residential",
IF($F189="Calculated",
INDEX(OP_Rates_RES_2[#Data],MATCH($C189,OP_Rates_RES_2[Rate name],0),MATCH(J$162,OP_Rates_RES_2[#Headers],0)),
INDEX(OP_RatesTU_RES_2[#Data],MATCH($C189,OP_RatesTU_RES_2[Rate name],0),MATCH(J$162,OP_RatesTU_RES_2[#Headers],0))),
IF($F189="Calculated",
INDEX(OP_Rates_SME_2[#Data],MATCH($C189,OP_Rates_SME_2[Rate name],0),MATCH(J$162,OP_Rates_SME_2[#Headers])),
INDEX(OP_RatesTU_SME_2[#Data],MATCH($C189,OP_RatesTU_SME_2[Rate name],0),MATCH(J$162,OP_RatesTU_SME_2[#Headers],0)))))</f>
        <v>0.20751383199490131</v>
      </c>
      <c r="K189" s="209">
        <f>IF($E189="VDO 2021 - Variation Final",
IF($G189="Residential",
INDEX(OP_TotalRates_RES_1[#Data],MATCH($C189,OP_TotalRates_RES_1[Rate name],0),MATCH(K$162,OP_TotalRates_RES_1[#Headers],0)),
INDEX(OP_TotalRates_SME_1[#Data],MATCH($C189,OP_TotalRates_SME_1[Rate name],0),MATCH(K$162,OP_TotalRates_SME_1[#Headers],0))),
IF($G189="Residential",
IF($F189="Calculated",
INDEX(OP_Rates_RES_2[#Data],MATCH($C189,OP_Rates_RES_2[Rate name],0),MATCH(K$162,OP_Rates_RES_2[#Headers],0)),
INDEX(OP_RatesTU_RES_2[#Data],MATCH($C189,OP_RatesTU_RES_2[Rate name],0),MATCH(K$162,OP_RatesTU_RES_2[#Headers],0))),
IF($F189="Calculated",
INDEX(OP_Rates_SME_2[#Data],MATCH($C189,OP_Rates_SME_2[Rate name],0),MATCH(K$162,OP_Rates_SME_2[#Headers])),
INDEX(OP_RatesTU_SME_2[#Data],MATCH($C189,OP_RatesTU_SME_2[Rate name],0),MATCH(K$162,OP_RatesTU_SME_2[#Headers],0)))))</f>
        <v>0.23924366871726979</v>
      </c>
      <c r="L189" s="209">
        <f>IF($E189="VDO 2021 - Variation Final",
IF($G189="Residential",
INDEX(OP_TotalRates_RES_1[#Data],MATCH($C189,OP_TotalRates_RES_1[Rate name],0),MATCH(L$162,OP_TotalRates_RES_1[#Headers],0)),
INDEX(OP_TotalRates_SME_1[#Data],MATCH($C189,OP_TotalRates_SME_1[Rate name],0),MATCH(L$162,OP_TotalRates_SME_1[#Headers],0))),
IF($G189="Residential",
IF($F189="Calculated",
INDEX(OP_Rates_RES_2[#Data],MATCH($C189,OP_Rates_RES_2[Rate name],0),MATCH(L$162,OP_Rates_RES_2[#Headers],0)),
INDEX(OP_RatesTU_RES_2[#Data],MATCH($C189,OP_RatesTU_RES_2[Rate name],0),MATCH(L$162,OP_RatesTU_RES_2[#Headers],0))),
IF($F189="Calculated",
INDEX(OP_Rates_SME_2[#Data],MATCH($C189,OP_Rates_SME_2[Rate name],0),MATCH(L$162,OP_Rates_SME_2[#Headers])),
INDEX(OP_RatesTU_SME_2[#Data],MATCH($C189,OP_RatesTU_SME_2[Rate name],0),MATCH(L$162,OP_RatesTU_SME_2[#Headers],0)))))</f>
        <v>0.21904541853424805</v>
      </c>
      <c r="M189" s="209">
        <f>IF($E189="VDO 2021 - Variation Final",
IF($G189="Residential",
INDEX(OP_TotalRates_RES_1[#Data],MATCH($C189,OP_TotalRates_RES_1[Rate name],0),MATCH(M$162,OP_TotalRates_RES_1[#Headers],0)),
INDEX(OP_TotalRates_SME_1[#Data],MATCH($C189,OP_TotalRates_SME_1[Rate name],0),MATCH(M$162,OP_TotalRates_SME_1[#Headers],0))),
IF($G189="Residential",
IF($F189="Calculated",
INDEX(OP_Rates_RES_2[#Data],MATCH($C189,OP_Rates_RES_2[Rate name],0),MATCH(M$162,OP_Rates_RES_2[#Headers],0)),
INDEX(OP_RatesTU_RES_2[#Data],MATCH($C189,OP_RatesTU_RES_2[Rate name],0),MATCH(M$162,OP_RatesTU_RES_2[#Headers],0))),
IF($F189="Calculated",
INDEX(OP_Rates_SME_2[#Data],MATCH($C189,OP_Rates_SME_2[Rate name],0),MATCH(M$162,OP_Rates_SME_2[#Headers])),
INDEX(OP_RatesTU_SME_2[#Data],MATCH($C189,OP_RatesTU_SME_2[Rate name],0),MATCH(M$162,OP_RatesTU_SME_2[#Headers],0)))))</f>
        <v>0.21593466334042918</v>
      </c>
      <c r="N189" s="180"/>
      <c r="O189" s="23" t="s">
        <v>691</v>
      </c>
      <c r="P189"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20000</v>
      </c>
    </row>
    <row r="190" spans="3:16" x14ac:dyDescent="0.25">
      <c r="C190" s="23" t="s">
        <v>551</v>
      </c>
      <c r="D190" s="23" t="s">
        <v>109</v>
      </c>
      <c r="E190" s="23" t="s">
        <v>259</v>
      </c>
      <c r="F190" s="23" t="s">
        <v>750</v>
      </c>
      <c r="G190" s="23" t="s">
        <v>93</v>
      </c>
      <c r="H190" s="23" t="s">
        <v>557</v>
      </c>
      <c r="I190" s="209">
        <f>IF($E190="VDO 2021 - Variation Final",
IF($G190="Residential",
INDEX(OP_TotalRates_RES_1[#Data],MATCH($C190,OP_TotalRates_RES_1[Rate name],0),MATCH(I$162,OP_TotalRates_RES_1[#Headers],0)),
INDEX(OP_TotalRates_SME_1[#Data],MATCH($C190,OP_TotalRates_SME_1[Rate name],0),MATCH(I$162,OP_TotalRates_SME_1[#Headers],0))),
IF($G190="Residential",
IF($F190="Calculated",
INDEX(OP_Rates_RES_2[#Data],MATCH($C190,OP_Rates_RES_2[Rate name],0),MATCH(I$162,OP_Rates_RES_2[#Headers],0)),
INDEX(OP_RatesTU_RES_2[#Data],MATCH($C190,OP_RatesTU_RES_2[Rate name],0),MATCH(I$162,OP_RatesTU_RES_2[#Headers],0))),
IF($F190="Calculated",
INDEX(OP_Rates_SME_2[#Data],MATCH($C190,OP_Rates_SME_2[Rate name],0),MATCH(I$162,OP_Rates_SME_2[#Headers])),
INDEX(OP_RatesTU_SME_2[#Data],MATCH($C190,OP_RatesTU_SME_2[Rate name],0),MATCH(I$162,OP_RatesTU_SME_2[#Headers],0)))))</f>
        <v>1.1940616018401751</v>
      </c>
      <c r="J190" s="209">
        <f>IF($E190="VDO 2021 - Variation Final",
IF($G190="Residential",
INDEX(OP_TotalRates_RES_1[#Data],MATCH($C190,OP_TotalRates_RES_1[Rate name],0),MATCH(J$162,OP_TotalRates_RES_1[#Headers],0)),
INDEX(OP_TotalRates_SME_1[#Data],MATCH($C190,OP_TotalRates_SME_1[Rate name],0),MATCH(J$162,OP_TotalRates_SME_1[#Headers],0))),
IF($G190="Residential",
IF($F190="Calculated",
INDEX(OP_Rates_RES_2[#Data],MATCH($C190,OP_Rates_RES_2[Rate name],0),MATCH(J$162,OP_Rates_RES_2[#Headers],0)),
INDEX(OP_RatesTU_RES_2[#Data],MATCH($C190,OP_RatesTU_RES_2[Rate name],0),MATCH(J$162,OP_RatesTU_RES_2[#Headers],0))),
IF($F190="Calculated",
INDEX(OP_Rates_SME_2[#Data],MATCH($C190,OP_Rates_SME_2[Rate name],0),MATCH(J$162,OP_Rates_SME_2[#Headers])),
INDEX(OP_RatesTU_SME_2[#Data],MATCH($C190,OP_RatesTU_SME_2[Rate name],0),MATCH(J$162,OP_RatesTU_SME_2[#Headers],0)))))</f>
        <v>1.3366101570182571</v>
      </c>
      <c r="K190" s="209">
        <f>IF($E190="VDO 2021 - Variation Final",
IF($G190="Residential",
INDEX(OP_TotalRates_RES_1[#Data],MATCH($C190,OP_TotalRates_RES_1[Rate name],0),MATCH(K$162,OP_TotalRates_RES_1[#Headers],0)),
INDEX(OP_TotalRates_SME_1[#Data],MATCH($C190,OP_TotalRates_SME_1[Rate name],0),MATCH(K$162,OP_TotalRates_SME_1[#Headers],0))),
IF($G190="Residential",
IF($F190="Calculated",
INDEX(OP_Rates_RES_2[#Data],MATCH($C190,OP_Rates_RES_2[Rate name],0),MATCH(K$162,OP_Rates_RES_2[#Headers],0)),
INDEX(OP_RatesTU_RES_2[#Data],MATCH($C190,OP_RatesTU_RES_2[Rate name],0),MATCH(K$162,OP_RatesTU_RES_2[#Headers],0))),
IF($F190="Calculated",
INDEX(OP_Rates_SME_2[#Data],MATCH($C190,OP_Rates_SME_2[Rate name],0),MATCH(K$162,OP_Rates_SME_2[#Headers])),
INDEX(OP_RatesTU_SME_2[#Data],MATCH($C190,OP_RatesTU_SME_2[Rate name],0),MATCH(K$162,OP_RatesTU_SME_2[#Headers],0)))))</f>
        <v>1.5823550970730516</v>
      </c>
      <c r="L190" s="209">
        <f>IF($E190="VDO 2021 - Variation Final",
IF($G190="Residential",
INDEX(OP_TotalRates_RES_1[#Data],MATCH($C190,OP_TotalRates_RES_1[Rate name],0),MATCH(L$162,OP_TotalRates_RES_1[#Headers],0)),
INDEX(OP_TotalRates_SME_1[#Data],MATCH($C190,OP_TotalRates_SME_1[Rate name],0),MATCH(L$162,OP_TotalRates_SME_1[#Headers],0))),
IF($G190="Residential",
IF($F190="Calculated",
INDEX(OP_Rates_RES_2[#Data],MATCH($C190,OP_Rates_RES_2[Rate name],0),MATCH(L$162,OP_Rates_RES_2[#Headers],0)),
INDEX(OP_RatesTU_RES_2[#Data],MATCH($C190,OP_RatesTU_RES_2[Rate name],0),MATCH(L$162,OP_RatesTU_RES_2[#Headers],0))),
IF($F190="Calculated",
INDEX(OP_Rates_SME_2[#Data],MATCH($C190,OP_Rates_SME_2[Rate name],0),MATCH(L$162,OP_Rates_SME_2[#Headers])),
INDEX(OP_RatesTU_SME_2[#Data],MATCH($C190,OP_RatesTU_SME_2[Rate name],0),MATCH(L$162,OP_RatesTU_SME_2[#Headers],0)))))</f>
        <v>1.3959404085799008</v>
      </c>
      <c r="M190" s="209">
        <f>IF($E190="VDO 2021 - Variation Final",
IF($G190="Residential",
INDEX(OP_TotalRates_RES_1[#Data],MATCH($C190,OP_TotalRates_RES_1[Rate name],0),MATCH(M$162,OP_TotalRates_RES_1[#Headers],0)),
INDEX(OP_TotalRates_SME_1[#Data],MATCH($C190,OP_TotalRates_SME_1[Rate name],0),MATCH(M$162,OP_TotalRates_SME_1[#Headers],0))),
IF($G190="Residential",
IF($F190="Calculated",
INDEX(OP_Rates_RES_2[#Data],MATCH($C190,OP_Rates_RES_2[Rate name],0),MATCH(M$162,OP_Rates_RES_2[#Headers],0)),
INDEX(OP_RatesTU_RES_2[#Data],MATCH($C190,OP_RatesTU_RES_2[Rate name],0),MATCH(M$162,OP_RatesTU_RES_2[#Headers],0))),
IF($F190="Calculated",
INDEX(OP_Rates_SME_2[#Data],MATCH($C190,OP_Rates_SME_2[Rate name],0),MATCH(M$162,OP_Rates_SME_2[#Headers])),
INDEX(OP_RatesTU_SME_2[#Data],MATCH($C190,OP_RatesTU_SME_2[Rate name],0),MATCH(M$162,OP_RatesTU_SME_2[#Headers],0)))))</f>
        <v>1.1561027680867502</v>
      </c>
      <c r="N190" s="180"/>
      <c r="O190" s="23" t="s">
        <v>427</v>
      </c>
      <c r="P190"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row>
    <row r="191" spans="3:16" x14ac:dyDescent="0.25">
      <c r="C191" s="23" t="s">
        <v>230</v>
      </c>
      <c r="D191" s="23" t="s">
        <v>282</v>
      </c>
      <c r="E191" s="23" t="s">
        <v>259</v>
      </c>
      <c r="F191" s="23" t="s">
        <v>750</v>
      </c>
      <c r="G191" s="23" t="s">
        <v>93</v>
      </c>
      <c r="H191" s="23" t="s">
        <v>557</v>
      </c>
      <c r="I191" s="209">
        <f>IF($E191="VDO 2021 - Variation Final",
IF($G191="Residential",
INDEX(OP_TotalRates_RES_1[#Data],MATCH($C191,OP_TotalRates_RES_1[Rate name],0),MATCH(I$162,OP_TotalRates_RES_1[#Headers],0)),
INDEX(OP_TotalRates_SME_1[#Data],MATCH($C191,OP_TotalRates_SME_1[Rate name],0),MATCH(I$162,OP_TotalRates_SME_1[#Headers],0))),
IF($G191="Residential",
IF($F191="Calculated",
INDEX(OP_Rates_RES_2[#Data],MATCH($C191,OP_Rates_RES_2[Rate name],0),MATCH(I$162,OP_Rates_RES_2[#Headers],0)),
INDEX(OP_RatesTU_RES_2[#Data],MATCH($C191,OP_RatesTU_RES_2[Rate name],0),MATCH(I$162,OP_RatesTU_RES_2[#Headers],0))),
IF($F191="Calculated",
INDEX(OP_Rates_SME_2[#Data],MATCH($C191,OP_Rates_SME_2[Rate name],0),MATCH(I$162,OP_Rates_SME_2[#Headers])),
INDEX(OP_RatesTU_SME_2[#Data],MATCH($C191,OP_RatesTU_SME_2[Rate name],0),MATCH(I$162,OP_RatesTU_SME_2[#Headers],0)))))</f>
        <v>0.31794630677989932</v>
      </c>
      <c r="J191" s="209">
        <f>IF($E191="VDO 2021 - Variation Final",
IF($G191="Residential",
INDEX(OP_TotalRates_RES_1[#Data],MATCH($C191,OP_TotalRates_RES_1[Rate name],0),MATCH(J$162,OP_TotalRates_RES_1[#Headers],0)),
INDEX(OP_TotalRates_SME_1[#Data],MATCH($C191,OP_TotalRates_SME_1[Rate name],0),MATCH(J$162,OP_TotalRates_SME_1[#Headers],0))),
IF($G191="Residential",
IF($F191="Calculated",
INDEX(OP_Rates_RES_2[#Data],MATCH($C191,OP_Rates_RES_2[Rate name],0),MATCH(J$162,OP_Rates_RES_2[#Headers],0)),
INDEX(OP_RatesTU_RES_2[#Data],MATCH($C191,OP_RatesTU_RES_2[Rate name],0),MATCH(J$162,OP_RatesTU_RES_2[#Headers],0))),
IF($F191="Calculated",
INDEX(OP_Rates_SME_2[#Data],MATCH($C191,OP_Rates_SME_2[Rate name],0),MATCH(J$162,OP_Rates_SME_2[#Headers])),
INDEX(OP_RatesTU_SME_2[#Data],MATCH($C191,OP_RatesTU_SME_2[Rate name],0),MATCH(J$162,OP_RatesTU_SME_2[#Headers],0)))))</f>
        <v>0.26361959599490126</v>
      </c>
      <c r="K191" s="209">
        <f>IF($E191="VDO 2021 - Variation Final",
IF($G191="Residential",
INDEX(OP_TotalRates_RES_1[#Data],MATCH($C191,OP_TotalRates_RES_1[Rate name],0),MATCH(K$162,OP_TotalRates_RES_1[#Headers],0)),
INDEX(OP_TotalRates_SME_1[#Data],MATCH($C191,OP_TotalRates_SME_1[Rate name],0),MATCH(K$162,OP_TotalRates_SME_1[#Headers],0))),
IF($G191="Residential",
IF($F191="Calculated",
INDEX(OP_Rates_RES_2[#Data],MATCH($C191,OP_Rates_RES_2[Rate name],0),MATCH(K$162,OP_Rates_RES_2[#Headers],0)),
INDEX(OP_RatesTU_RES_2[#Data],MATCH($C191,OP_RatesTU_RES_2[Rate name],0),MATCH(K$162,OP_RatesTU_RES_2[#Headers],0))),
IF($F191="Calculated",
INDEX(OP_Rates_SME_2[#Data],MATCH($C191,OP_Rates_SME_2[Rate name],0),MATCH(K$162,OP_Rates_SME_2[#Headers])),
INDEX(OP_RatesTU_SME_2[#Data],MATCH($C191,OP_RatesTU_SME_2[Rate name],0),MATCH(K$162,OP_RatesTU_SME_2[#Headers],0)))))</f>
        <v>0.27841272391726979</v>
      </c>
      <c r="L191" s="209">
        <f>IF($E191="VDO 2021 - Variation Final",
IF($G191="Residential",
INDEX(OP_TotalRates_RES_1[#Data],MATCH($C191,OP_TotalRates_RES_1[Rate name],0),MATCH(L$162,OP_TotalRates_RES_1[#Headers],0)),
INDEX(OP_TotalRates_SME_1[#Data],MATCH($C191,OP_TotalRates_SME_1[Rate name],0),MATCH(L$162,OP_TotalRates_SME_1[#Headers],0))),
IF($G191="Residential",
IF($F191="Calculated",
INDEX(OP_Rates_RES_2[#Data],MATCH($C191,OP_Rates_RES_2[Rate name],0),MATCH(L$162,OP_Rates_RES_2[#Headers],0)),
INDEX(OP_RatesTU_RES_2[#Data],MATCH($C191,OP_RatesTU_RES_2[Rate name],0),MATCH(L$162,OP_RatesTU_RES_2[#Headers],0))),
IF($F191="Calculated",
INDEX(OP_Rates_SME_2[#Data],MATCH($C191,OP_Rates_SME_2[Rate name],0),MATCH(L$162,OP_Rates_SME_2[#Headers])),
INDEX(OP_RatesTU_SME_2[#Data],MATCH($C191,OP_RatesTU_SME_2[Rate name],0),MATCH(L$162,OP_RatesTU_SME_2[#Headers],0)))))</f>
        <v>0.28273304253424808</v>
      </c>
      <c r="M191" s="209">
        <f>IF($E191="VDO 2021 - Variation Final",
IF($G191="Residential",
INDEX(OP_TotalRates_RES_1[#Data],MATCH($C191,OP_TotalRates_RES_1[Rate name],0),MATCH(M$162,OP_TotalRates_RES_1[#Headers],0)),
INDEX(OP_TotalRates_SME_1[#Data],MATCH($C191,OP_TotalRates_SME_1[Rate name],0),MATCH(M$162,OP_TotalRates_SME_1[#Headers],0))),
IF($G191="Residential",
IF($F191="Calculated",
INDEX(OP_Rates_RES_2[#Data],MATCH($C191,OP_Rates_RES_2[Rate name],0),MATCH(M$162,OP_Rates_RES_2[#Headers],0)),
INDEX(OP_RatesTU_RES_2[#Data],MATCH($C191,OP_RatesTU_RES_2[Rate name],0),MATCH(M$162,OP_RatesTU_RES_2[#Headers],0))),
IF($F191="Calculated",
INDEX(OP_Rates_SME_2[#Data],MATCH($C191,OP_Rates_SME_2[Rate name],0),MATCH(M$162,OP_Rates_SME_2[#Headers])),
INDEX(OP_RatesTU_SME_2[#Data],MATCH($C191,OP_RatesTU_SME_2[Rate name],0),MATCH(M$162,OP_RatesTU_SME_2[#Headers],0)))))</f>
        <v>0.27658954334042918</v>
      </c>
      <c r="N191" s="180"/>
      <c r="O191" s="23" t="s">
        <v>691</v>
      </c>
      <c r="P191"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9800</v>
      </c>
    </row>
    <row r="192" spans="3:16" x14ac:dyDescent="0.25">
      <c r="C192" s="23" t="s">
        <v>609</v>
      </c>
      <c r="D192" s="23" t="s">
        <v>282</v>
      </c>
      <c r="E192" s="23" t="s">
        <v>259</v>
      </c>
      <c r="F192" s="23" t="s">
        <v>750</v>
      </c>
      <c r="G192" s="23" t="s">
        <v>93</v>
      </c>
      <c r="H192" s="23" t="s">
        <v>557</v>
      </c>
      <c r="I192" s="209">
        <f>IF($E192="VDO 2021 - Variation Final",
IF($G192="Residential",
INDEX(OP_TotalRates_RES_1[#Data],MATCH($C192,OP_TotalRates_RES_1[Rate name],0),MATCH(I$162,OP_TotalRates_RES_1[#Headers],0)),
INDEX(OP_TotalRates_SME_1[#Data],MATCH($C192,OP_TotalRates_SME_1[Rate name],0),MATCH(I$162,OP_TotalRates_SME_1[#Headers],0))),
IF($G192="Residential",
IF($F192="Calculated",
INDEX(OP_Rates_RES_2[#Data],MATCH($C192,OP_Rates_RES_2[Rate name],0),MATCH(I$162,OP_Rates_RES_2[#Headers],0)),
INDEX(OP_RatesTU_RES_2[#Data],MATCH($C192,OP_RatesTU_RES_2[Rate name],0),MATCH(I$162,OP_RatesTU_RES_2[#Headers],0))),
IF($F192="Calculated",
INDEX(OP_Rates_SME_2[#Data],MATCH($C192,OP_Rates_SME_2[Rate name],0),MATCH(I$162,OP_Rates_SME_2[#Headers])),
INDEX(OP_RatesTU_SME_2[#Data],MATCH($C192,OP_RatesTU_SME_2[Rate name],0),MATCH(I$162,OP_RatesTU_SME_2[#Headers],0)))))</f>
        <v>0.16347349113989923</v>
      </c>
      <c r="J192" s="209">
        <f>IF($E192="VDO 2021 - Variation Final",
IF($G192="Residential",
INDEX(OP_TotalRates_RES_1[#Data],MATCH($C192,OP_TotalRates_RES_1[Rate name],0),MATCH(J$162,OP_TotalRates_RES_1[#Headers],0)),
INDEX(OP_TotalRates_SME_1[#Data],MATCH($C192,OP_TotalRates_SME_1[Rate name],0),MATCH(J$162,OP_TotalRates_SME_1[#Headers],0))),
IF($G192="Residential",
IF($F192="Calculated",
INDEX(OP_Rates_RES_2[#Data],MATCH($C192,OP_Rates_RES_2[Rate name],0),MATCH(J$162,OP_Rates_RES_2[#Headers],0)),
INDEX(OP_RatesTU_RES_2[#Data],MATCH($C192,OP_RatesTU_RES_2[Rate name],0),MATCH(J$162,OP_RatesTU_RES_2[#Headers],0))),
IF($F192="Calculated",
INDEX(OP_Rates_SME_2[#Data],MATCH($C192,OP_Rates_SME_2[Rate name],0),MATCH(J$162,OP_Rates_SME_2[#Headers])),
INDEX(OP_RatesTU_SME_2[#Data],MATCH($C192,OP_RatesTU_SME_2[Rate name],0),MATCH(J$162,OP_RatesTU_SME_2[#Headers],0)))))</f>
        <v>0.1454592239949013</v>
      </c>
      <c r="K192" s="209">
        <f>IF($E192="VDO 2021 - Variation Final",
IF($G192="Residential",
INDEX(OP_TotalRates_RES_1[#Data],MATCH($C192,OP_TotalRates_RES_1[Rate name],0),MATCH(K$162,OP_TotalRates_RES_1[#Headers],0)),
INDEX(OP_TotalRates_SME_1[#Data],MATCH($C192,OP_TotalRates_SME_1[Rate name],0),MATCH(K$162,OP_TotalRates_SME_1[#Headers],0))),
IF($G192="Residential",
IF($F192="Calculated",
INDEX(OP_Rates_RES_2[#Data],MATCH($C192,OP_Rates_RES_2[Rate name],0),MATCH(K$162,OP_Rates_RES_2[#Headers],0)),
INDEX(OP_RatesTU_RES_2[#Data],MATCH($C192,OP_RatesTU_RES_2[Rate name],0),MATCH(K$162,OP_RatesTU_RES_2[#Headers],0))),
IF($F192="Calculated",
INDEX(OP_Rates_SME_2[#Data],MATCH($C192,OP_Rates_SME_2[Rate name],0),MATCH(K$162,OP_Rates_SME_2[#Headers])),
INDEX(OP_RatesTU_SME_2[#Data],MATCH($C192,OP_RatesTU_SME_2[Rate name],0),MATCH(K$162,OP_RatesTU_SME_2[#Headers],0)))))</f>
        <v>0.1468499563172698</v>
      </c>
      <c r="L192" s="209">
        <f>IF($E192="VDO 2021 - Variation Final",
IF($G192="Residential",
INDEX(OP_TotalRates_RES_1[#Data],MATCH($C192,OP_TotalRates_RES_1[Rate name],0),MATCH(L$162,OP_TotalRates_RES_1[#Headers],0)),
INDEX(OP_TotalRates_SME_1[#Data],MATCH($C192,OP_TotalRates_SME_1[Rate name],0),MATCH(L$162,OP_TotalRates_SME_1[#Headers],0))),
IF($G192="Residential",
IF($F192="Calculated",
INDEX(OP_Rates_RES_2[#Data],MATCH($C192,OP_Rates_RES_2[Rate name],0),MATCH(L$162,OP_Rates_RES_2[#Headers],0)),
INDEX(OP_RatesTU_RES_2[#Data],MATCH($C192,OP_RatesTU_RES_2[Rate name],0),MATCH(L$162,OP_RatesTU_RES_2[#Headers],0))),
IF($F192="Calculated",
INDEX(OP_Rates_SME_2[#Data],MATCH($C192,OP_Rates_SME_2[Rate name],0),MATCH(L$162,OP_Rates_SME_2[#Headers])),
INDEX(OP_RatesTU_SME_2[#Data],MATCH($C192,OP_RatesTU_SME_2[Rate name],0),MATCH(L$162,OP_RatesTU_SME_2[#Headers],0)))))</f>
        <v>0.14894237453424808</v>
      </c>
      <c r="M192" s="209">
        <f>IF($E192="VDO 2021 - Variation Final",
IF($G192="Residential",
INDEX(OP_TotalRates_RES_1[#Data],MATCH($C192,OP_TotalRates_RES_1[Rate name],0),MATCH(M$162,OP_TotalRates_RES_1[#Headers],0)),
INDEX(OP_TotalRates_SME_1[#Data],MATCH($C192,OP_TotalRates_SME_1[Rate name],0),MATCH(M$162,OP_TotalRates_SME_1[#Headers],0))),
IF($G192="Residential",
IF($F192="Calculated",
INDEX(OP_Rates_RES_2[#Data],MATCH($C192,OP_Rates_RES_2[Rate name],0),MATCH(M$162,OP_Rates_RES_2[#Headers],0)),
INDEX(OP_RatesTU_RES_2[#Data],MATCH($C192,OP_RatesTU_RES_2[Rate name],0),MATCH(M$162,OP_RatesTU_RES_2[#Headers],0))),
IF($F192="Calculated",
INDEX(OP_Rates_SME_2[#Data],MATCH($C192,OP_Rates_SME_2[Rate name],0),MATCH(M$162,OP_Rates_SME_2[#Headers])),
INDEX(OP_RatesTU_SME_2[#Data],MATCH($C192,OP_RatesTU_SME_2[Rate name],0),MATCH(M$162,OP_RatesTU_SME_2[#Headers],0)))))</f>
        <v>0.14968087134042918</v>
      </c>
      <c r="N192" s="180"/>
      <c r="O192" s="23" t="s">
        <v>691</v>
      </c>
      <c r="P192"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10200</v>
      </c>
    </row>
    <row r="193" spans="3:16" x14ac:dyDescent="0.25">
      <c r="C193" s="23" t="s">
        <v>556</v>
      </c>
      <c r="D193" s="23" t="s">
        <v>109</v>
      </c>
      <c r="E193" s="23" t="s">
        <v>259</v>
      </c>
      <c r="F193" s="23" t="s">
        <v>313</v>
      </c>
      <c r="G193" s="23" t="s">
        <v>92</v>
      </c>
      <c r="H193" s="23" t="s">
        <v>556</v>
      </c>
      <c r="I193" s="209">
        <f>IF($E193="VDO 2021 - Variation Final",
IF($G193="Residential",
INDEX(OP_TotalRates_RES_1[#Data],MATCH($C193,OP_TotalRates_RES_1[Rate name],0),MATCH(I$162,OP_TotalRates_RES_1[#Headers],0)),
INDEX(OP_TotalRates_SME_1[#Data],MATCH($C193,OP_TotalRates_SME_1[Rate name],0),MATCH(I$162,OP_TotalRates_SME_1[#Headers],0))),
IF($G193="Residential",
IF($F193="Calculated",
INDEX(OP_Rates_RES_2[#Data],MATCH($C193,OP_Rates_RES_2[Rate name],0),MATCH(I$162,OP_Rates_RES_2[#Headers],0)),
INDEX(OP_RatesTU_RES_2[#Data],MATCH($C193,OP_RatesTU_RES_2[Rate name],0),MATCH(I$162,OP_RatesTU_RES_2[#Headers],0))),
IF($F193="Calculated",
INDEX(OP_Rates_SME_2[#Data],MATCH($C193,OP_Rates_SME_2[Rate name],0),MATCH(I$162,OP_Rates_SME_2[#Headers])),
INDEX(OP_RatesTU_SME_2[#Data],MATCH($C193,OP_RatesTU_SME_2[Rate name],0),MATCH(I$162,OP_RatesTU_SME_2[#Headers],0)))))</f>
        <v>6.5942940910810238E-2</v>
      </c>
      <c r="J193" s="209">
        <f>IF($E193="VDO 2021 - Variation Final",
IF($G193="Residential",
INDEX(OP_TotalRates_RES_1[#Data],MATCH($C193,OP_TotalRates_RES_1[Rate name],0),MATCH(J$162,OP_TotalRates_RES_1[#Headers],0)),
INDEX(OP_TotalRates_SME_1[#Data],MATCH($C193,OP_TotalRates_SME_1[Rate name],0),MATCH(J$162,OP_TotalRates_SME_1[#Headers],0))),
IF($G193="Residential",
IF($F193="Calculated",
INDEX(OP_Rates_RES_2[#Data],MATCH($C193,OP_Rates_RES_2[Rate name],0),MATCH(J$162,OP_Rates_RES_2[#Headers],0)),
INDEX(OP_RatesTU_RES_2[#Data],MATCH($C193,OP_RatesTU_RES_2[Rate name],0),MATCH(J$162,OP_RatesTU_RES_2[#Headers],0))),
IF($F193="Calculated",
INDEX(OP_Rates_SME_2[#Data],MATCH($C193,OP_Rates_SME_2[Rate name],0),MATCH(J$162,OP_Rates_SME_2[#Headers])),
INDEX(OP_RatesTU_SME_2[#Data],MATCH($C193,OP_RatesTU_SME_2[Rate name],0),MATCH(J$162,OP_RatesTU_SME_2[#Headers],0)))))</f>
        <v>8.9431863759251856E-2</v>
      </c>
      <c r="K193" s="209">
        <f>IF($E193="VDO 2021 - Variation Final",
IF($G193="Residential",
INDEX(OP_TotalRates_RES_1[#Data],MATCH($C193,OP_TotalRates_RES_1[Rate name],0),MATCH(K$162,OP_TotalRates_RES_1[#Headers],0)),
INDEX(OP_TotalRates_SME_1[#Data],MATCH($C193,OP_TotalRates_SME_1[Rate name],0),MATCH(K$162,OP_TotalRates_SME_1[#Headers],0))),
IF($G193="Residential",
IF($F193="Calculated",
INDEX(OP_Rates_RES_2[#Data],MATCH($C193,OP_Rates_RES_2[Rate name],0),MATCH(K$162,OP_Rates_RES_2[#Headers],0)),
INDEX(OP_RatesTU_RES_2[#Data],MATCH($C193,OP_RatesTU_RES_2[Rate name],0),MATCH(K$162,OP_RatesTU_RES_2[#Headers],0))),
IF($F193="Calculated",
INDEX(OP_Rates_SME_2[#Data],MATCH($C193,OP_Rates_SME_2[Rate name],0),MATCH(K$162,OP_Rates_SME_2[#Headers])),
INDEX(OP_RatesTU_SME_2[#Data],MATCH($C193,OP_RatesTU_SME_2[Rate name],0),MATCH(K$162,OP_RatesTU_SME_2[#Headers],0)))))</f>
        <v>7.7831933455424371E-2</v>
      </c>
      <c r="L193" s="209">
        <f>IF($E193="VDO 2021 - Variation Final",
IF($G193="Residential",
INDEX(OP_TotalRates_RES_1[#Data],MATCH($C193,OP_TotalRates_RES_1[Rate name],0),MATCH(L$162,OP_TotalRates_RES_1[#Headers],0)),
INDEX(OP_TotalRates_SME_1[#Data],MATCH($C193,OP_TotalRates_SME_1[Rate name],0),MATCH(L$162,OP_TotalRates_SME_1[#Headers],0))),
IF($G193="Residential",
IF($F193="Calculated",
INDEX(OP_Rates_RES_2[#Data],MATCH($C193,OP_Rates_RES_2[Rate name],0),MATCH(L$162,OP_Rates_RES_2[#Headers],0)),
INDEX(OP_RatesTU_RES_2[#Data],MATCH($C193,OP_RatesTU_RES_2[Rate name],0),MATCH(L$162,OP_RatesTU_RES_2[#Headers],0))),
IF($F193="Calculated",
INDEX(OP_Rates_SME_2[#Data],MATCH($C193,OP_Rates_SME_2[Rate name],0),MATCH(L$162,OP_Rates_SME_2[#Headers])),
INDEX(OP_RatesTU_SME_2[#Data],MATCH($C193,OP_RatesTU_SME_2[Rate name],0),MATCH(L$162,OP_RatesTU_SME_2[#Headers],0)))))</f>
        <v>7.7818093461869797E-2</v>
      </c>
      <c r="M193" s="209">
        <f>IF($E193="VDO 2021 - Variation Final",
IF($G193="Residential",
INDEX(OP_TotalRates_RES_1[#Data],MATCH($C193,OP_TotalRates_RES_1[Rate name],0),MATCH(M$162,OP_TotalRates_RES_1[#Headers],0)),
INDEX(OP_TotalRates_SME_1[#Data],MATCH($C193,OP_TotalRates_SME_1[Rate name],0),MATCH(M$162,OP_TotalRates_SME_1[#Headers],0))),
IF($G193="Residential",
IF($F193="Calculated",
INDEX(OP_Rates_RES_2[#Data],MATCH($C193,OP_Rates_RES_2[Rate name],0),MATCH(M$162,OP_Rates_RES_2[#Headers],0)),
INDEX(OP_RatesTU_RES_2[#Data],MATCH($C193,OP_RatesTU_RES_2[Rate name],0),MATCH(M$162,OP_RatesTU_RES_2[#Headers],0))),
IF($F193="Calculated",
INDEX(OP_Rates_SME_2[#Data],MATCH($C193,OP_Rates_SME_2[Rate name],0),MATCH(M$162,OP_Rates_SME_2[#Headers])),
INDEX(OP_RatesTU_SME_2[#Data],MATCH($C193,OP_RatesTU_SME_2[Rate name],0),MATCH(M$162,OP_RatesTU_SME_2[#Headers],0)))))</f>
        <v>3.5126537362516849E-2</v>
      </c>
      <c r="N193" s="295"/>
      <c r="O193" s="23" t="s">
        <v>427</v>
      </c>
      <c r="P193" s="23" t="e">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#N/A</v>
      </c>
    </row>
    <row r="194" spans="3:16" x14ac:dyDescent="0.25">
      <c r="C194" s="23" t="s">
        <v>221</v>
      </c>
      <c r="D194" s="23" t="s">
        <v>282</v>
      </c>
      <c r="E194" s="23" t="s">
        <v>259</v>
      </c>
      <c r="F194" s="23" t="s">
        <v>313</v>
      </c>
      <c r="G194" s="23" t="s">
        <v>92</v>
      </c>
      <c r="H194" s="23" t="s">
        <v>556</v>
      </c>
      <c r="I194" s="209">
        <f>IF($E194="VDO 2021 - Variation Final",
IF($G194="Residential",
INDEX(OP_TotalRates_RES_1[#Data],MATCH($C194,OP_TotalRates_RES_1[Rate name],0),MATCH(I$162,OP_TotalRates_RES_1[#Headers],0)),
INDEX(OP_TotalRates_SME_1[#Data],MATCH($C194,OP_TotalRates_SME_1[Rate name],0),MATCH(I$162,OP_TotalRates_SME_1[#Headers],0))),
IF($G194="Residential",
IF($F194="Calculated",
INDEX(OP_Rates_RES_2[#Data],MATCH($C194,OP_Rates_RES_2[Rate name],0),MATCH(I$162,OP_Rates_RES_2[#Headers],0)),
INDEX(OP_RatesTU_RES_2[#Data],MATCH($C194,OP_RatesTU_RES_2[Rate name],0),MATCH(I$162,OP_RatesTU_RES_2[#Headers],0))),
IF($F194="Calculated",
INDEX(OP_Rates_SME_2[#Data],MATCH($C194,OP_Rates_SME_2[Rate name],0),MATCH(I$162,OP_Rates_SME_2[#Headers])),
INDEX(OP_RatesTU_SME_2[#Data],MATCH($C194,OP_RatesTU_SME_2[Rate name],0),MATCH(I$162,OP_RatesTU_SME_2[#Headers],0)))))</f>
        <v>6.66713910181736E-3</v>
      </c>
      <c r="J194" s="209">
        <f>IF($E194="VDO 2021 - Variation Final",
IF($G194="Residential",
INDEX(OP_TotalRates_RES_1[#Data],MATCH($C194,OP_TotalRates_RES_1[Rate name],0),MATCH(J$162,OP_TotalRates_RES_1[#Headers],0)),
INDEX(OP_TotalRates_SME_1[#Data],MATCH($C194,OP_TotalRates_SME_1[Rate name],0),MATCH(J$162,OP_TotalRates_SME_1[#Headers],0))),
IF($G194="Residential",
IF($F194="Calculated",
INDEX(OP_Rates_RES_2[#Data],MATCH($C194,OP_Rates_RES_2[Rate name],0),MATCH(J$162,OP_Rates_RES_2[#Headers],0)),
INDEX(OP_RatesTU_RES_2[#Data],MATCH($C194,OP_RatesTU_RES_2[Rate name],0),MATCH(J$162,OP_RatesTU_RES_2[#Headers],0))),
IF($F194="Calculated",
INDEX(OP_Rates_SME_2[#Data],MATCH($C194,OP_Rates_SME_2[Rate name],0),MATCH(J$162,OP_Rates_SME_2[#Headers])),
INDEX(OP_RatesTU_SME_2[#Data],MATCH($C194,OP_RatesTU_SME_2[Rate name],0),MATCH(J$162,OP_RatesTU_SME_2[#Headers],0)))))</f>
        <v>0</v>
      </c>
      <c r="K194" s="209">
        <f>IF($E194="VDO 2021 - Variation Final",
IF($G194="Residential",
INDEX(OP_TotalRates_RES_1[#Data],MATCH($C194,OP_TotalRates_RES_1[Rate name],0),MATCH(K$162,OP_TotalRates_RES_1[#Headers],0)),
INDEX(OP_TotalRates_SME_1[#Data],MATCH($C194,OP_TotalRates_SME_1[Rate name],0),MATCH(K$162,OP_TotalRates_SME_1[#Headers],0))),
IF($G194="Residential",
IF($F194="Calculated",
INDEX(OP_Rates_RES_2[#Data],MATCH($C194,OP_Rates_RES_2[Rate name],0),MATCH(K$162,OP_Rates_RES_2[#Headers],0)),
INDEX(OP_RatesTU_RES_2[#Data],MATCH($C194,OP_RatesTU_RES_2[Rate name],0),MATCH(K$162,OP_RatesTU_RES_2[#Headers],0))),
IF($F194="Calculated",
INDEX(OP_Rates_SME_2[#Data],MATCH($C194,OP_Rates_SME_2[Rate name],0),MATCH(K$162,OP_Rates_SME_2[#Headers])),
INDEX(OP_RatesTU_SME_2[#Data],MATCH($C194,OP_RatesTU_SME_2[Rate name],0),MATCH(K$162,OP_RatesTU_SME_2[#Headers],0)))))</f>
        <v>0</v>
      </c>
      <c r="L194" s="209">
        <f>IF($E194="VDO 2021 - Variation Final",
IF($G194="Residential",
INDEX(OP_TotalRates_RES_1[#Data],MATCH($C194,OP_TotalRates_RES_1[Rate name],0),MATCH(L$162,OP_TotalRates_RES_1[#Headers],0)),
INDEX(OP_TotalRates_SME_1[#Data],MATCH($C194,OP_TotalRates_SME_1[Rate name],0),MATCH(L$162,OP_TotalRates_SME_1[#Headers],0))),
IF($G194="Residential",
IF($F194="Calculated",
INDEX(OP_Rates_RES_2[#Data],MATCH($C194,OP_Rates_RES_2[Rate name],0),MATCH(L$162,OP_Rates_RES_2[#Headers],0)),
INDEX(OP_RatesTU_RES_2[#Data],MATCH($C194,OP_RatesTU_RES_2[Rate name],0),MATCH(L$162,OP_RatesTU_RES_2[#Headers],0))),
IF($F194="Calculated",
INDEX(OP_Rates_SME_2[#Data],MATCH($C194,OP_Rates_SME_2[Rate name],0),MATCH(L$162,OP_Rates_SME_2[#Headers])),
INDEX(OP_RatesTU_SME_2[#Data],MATCH($C194,OP_RatesTU_SME_2[Rate name],0),MATCH(L$162,OP_RatesTU_SME_2[#Headers],0)))))</f>
        <v>0</v>
      </c>
      <c r="M194" s="209">
        <f>IF($E194="VDO 2021 - Variation Final",
IF($G194="Residential",
INDEX(OP_TotalRates_RES_1[#Data],MATCH($C194,OP_TotalRates_RES_1[Rate name],0),MATCH(M$162,OP_TotalRates_RES_1[#Headers],0)),
INDEX(OP_TotalRates_SME_1[#Data],MATCH($C194,OP_TotalRates_SME_1[Rate name],0),MATCH(M$162,OP_TotalRates_SME_1[#Headers],0))),
IF($G194="Residential",
IF($F194="Calculated",
INDEX(OP_Rates_RES_2[#Data],MATCH($C194,OP_Rates_RES_2[Rate name],0),MATCH(M$162,OP_Rates_RES_2[#Headers],0)),
INDEX(OP_RatesTU_RES_2[#Data],MATCH($C194,OP_RatesTU_RES_2[Rate name],0),MATCH(M$162,OP_RatesTU_RES_2[#Headers],0))),
IF($F194="Calculated",
INDEX(OP_Rates_SME_2[#Data],MATCH($C194,OP_Rates_SME_2[Rate name],0),MATCH(M$162,OP_Rates_SME_2[#Headers])),
INDEX(OP_RatesTU_SME_2[#Data],MATCH($C194,OP_RatesTU_SME_2[Rate name],0),MATCH(M$162,OP_RatesTU_SME_2[#Headers],0)))))</f>
        <v>0</v>
      </c>
      <c r="N194" s="295"/>
      <c r="O194" s="23" t="s">
        <v>691</v>
      </c>
      <c r="P194"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4000</v>
      </c>
    </row>
    <row r="195" spans="3:16" x14ac:dyDescent="0.25">
      <c r="C195" s="23" t="s">
        <v>228</v>
      </c>
      <c r="D195" s="23" t="s">
        <v>282</v>
      </c>
      <c r="E195" s="23" t="s">
        <v>259</v>
      </c>
      <c r="F195" s="23" t="s">
        <v>313</v>
      </c>
      <c r="G195" s="23" t="s">
        <v>92</v>
      </c>
      <c r="H195" s="23" t="s">
        <v>556</v>
      </c>
      <c r="I195" s="209">
        <f>IF($E195="VDO 2021 - Variation Final",
IF($G195="Residential",
INDEX(OP_TotalRates_RES_1[#Data],MATCH($C195,OP_TotalRates_RES_1[Rate name],0),MATCH(I$162,OP_TotalRates_RES_1[#Headers],0)),
INDEX(OP_TotalRates_SME_1[#Data],MATCH($C195,OP_TotalRates_SME_1[Rate name],0),MATCH(I$162,OP_TotalRates_SME_1[#Headers],0))),
IF($G195="Residential",
IF($F195="Calculated",
INDEX(OP_Rates_RES_2[#Data],MATCH($C195,OP_Rates_RES_2[Rate name],0),MATCH(I$162,OP_Rates_RES_2[#Headers],0)),
INDEX(OP_RatesTU_RES_2[#Data],MATCH($C195,OP_RatesTU_RES_2[Rate name],0),MATCH(I$162,OP_RatesTU_RES_2[#Headers],0))),
IF($F195="Calculated",
INDEX(OP_Rates_SME_2[#Data],MATCH($C195,OP_Rates_SME_2[Rate name],0),MATCH(I$162,OP_Rates_SME_2[#Headers])),
INDEX(OP_RatesTU_SME_2[#Data],MATCH($C195,OP_RatesTU_SME_2[Rate name],0),MATCH(I$162,OP_RatesTU_SME_2[#Headers],0)))))</f>
        <v>6.66713910181736E-3</v>
      </c>
      <c r="J195" s="209">
        <f>IF($E195="VDO 2021 - Variation Final",
IF($G195="Residential",
INDEX(OP_TotalRates_RES_1[#Data],MATCH($C195,OP_TotalRates_RES_1[Rate name],0),MATCH(J$162,OP_TotalRates_RES_1[#Headers],0)),
INDEX(OP_TotalRates_SME_1[#Data],MATCH($C195,OP_TotalRates_SME_1[Rate name],0),MATCH(J$162,OP_TotalRates_SME_1[#Headers],0))),
IF($G195="Residential",
IF($F195="Calculated",
INDEX(OP_Rates_RES_2[#Data],MATCH($C195,OP_Rates_RES_2[Rate name],0),MATCH(J$162,OP_Rates_RES_2[#Headers],0)),
INDEX(OP_RatesTU_RES_2[#Data],MATCH($C195,OP_RatesTU_RES_2[Rate name],0),MATCH(J$162,OP_RatesTU_RES_2[#Headers],0))),
IF($F195="Calculated",
INDEX(OP_Rates_SME_2[#Data],MATCH($C195,OP_Rates_SME_2[Rate name],0),MATCH(J$162,OP_Rates_SME_2[#Headers])),
INDEX(OP_RatesTU_SME_2[#Data],MATCH($C195,OP_RatesTU_SME_2[Rate name],0),MATCH(J$162,OP_RatesTU_SME_2[#Headers],0)))))</f>
        <v>0</v>
      </c>
      <c r="K195" s="209">
        <f>IF($E195="VDO 2021 - Variation Final",
IF($G195="Residential",
INDEX(OP_TotalRates_RES_1[#Data],MATCH($C195,OP_TotalRates_RES_1[Rate name],0),MATCH(K$162,OP_TotalRates_RES_1[#Headers],0)),
INDEX(OP_TotalRates_SME_1[#Data],MATCH($C195,OP_TotalRates_SME_1[Rate name],0),MATCH(K$162,OP_TotalRates_SME_1[#Headers],0))),
IF($G195="Residential",
IF($F195="Calculated",
INDEX(OP_Rates_RES_2[#Data],MATCH($C195,OP_Rates_RES_2[Rate name],0),MATCH(K$162,OP_Rates_RES_2[#Headers],0)),
INDEX(OP_RatesTU_RES_2[#Data],MATCH($C195,OP_RatesTU_RES_2[Rate name],0),MATCH(K$162,OP_RatesTU_RES_2[#Headers],0))),
IF($F195="Calculated",
INDEX(OP_Rates_SME_2[#Data],MATCH($C195,OP_Rates_SME_2[Rate name],0),MATCH(K$162,OP_Rates_SME_2[#Headers])),
INDEX(OP_RatesTU_SME_2[#Data],MATCH($C195,OP_RatesTU_SME_2[Rate name],0),MATCH(K$162,OP_RatesTU_SME_2[#Headers],0)))))</f>
        <v>0</v>
      </c>
      <c r="L195" s="209">
        <f>IF($E195="VDO 2021 - Variation Final",
IF($G195="Residential",
INDEX(OP_TotalRates_RES_1[#Data],MATCH($C195,OP_TotalRates_RES_1[Rate name],0),MATCH(L$162,OP_TotalRates_RES_1[#Headers],0)),
INDEX(OP_TotalRates_SME_1[#Data],MATCH($C195,OP_TotalRates_SME_1[Rate name],0),MATCH(L$162,OP_TotalRates_SME_1[#Headers],0))),
IF($G195="Residential",
IF($F195="Calculated",
INDEX(OP_Rates_RES_2[#Data],MATCH($C195,OP_Rates_RES_2[Rate name],0),MATCH(L$162,OP_Rates_RES_2[#Headers],0)),
INDEX(OP_RatesTU_RES_2[#Data],MATCH($C195,OP_RatesTU_RES_2[Rate name],0),MATCH(L$162,OP_RatesTU_RES_2[#Headers],0))),
IF($F195="Calculated",
INDEX(OP_Rates_SME_2[#Data],MATCH($C195,OP_Rates_SME_2[Rate name],0),MATCH(L$162,OP_Rates_SME_2[#Headers])),
INDEX(OP_RatesTU_SME_2[#Data],MATCH($C195,OP_RatesTU_SME_2[Rate name],0),MATCH(L$162,OP_RatesTU_SME_2[#Headers],0)))))</f>
        <v>0</v>
      </c>
      <c r="M195" s="209">
        <f>IF($E195="VDO 2021 - Variation Final",
IF($G195="Residential",
INDEX(OP_TotalRates_RES_1[#Data],MATCH($C195,OP_TotalRates_RES_1[Rate name],0),MATCH(M$162,OP_TotalRates_RES_1[#Headers],0)),
INDEX(OP_TotalRates_SME_1[#Data],MATCH($C195,OP_TotalRates_SME_1[Rate name],0),MATCH(M$162,OP_TotalRates_SME_1[#Headers],0))),
IF($G195="Residential",
IF($F195="Calculated",
INDEX(OP_Rates_RES_2[#Data],MATCH($C195,OP_Rates_RES_2[Rate name],0),MATCH(M$162,OP_Rates_RES_2[#Headers],0)),
INDEX(OP_RatesTU_RES_2[#Data],MATCH($C195,OP_RatesTU_RES_2[Rate name],0),MATCH(M$162,OP_RatesTU_RES_2[#Headers],0))),
IF($F195="Calculated",
INDEX(OP_Rates_SME_2[#Data],MATCH($C195,OP_Rates_SME_2[Rate name],0),MATCH(M$162,OP_Rates_SME_2[#Headers])),
INDEX(OP_RatesTU_SME_2[#Data],MATCH($C195,OP_RatesTU_SME_2[Rate name],0),MATCH(M$162,OP_RatesTU_SME_2[#Headers],0)))))</f>
        <v>0</v>
      </c>
      <c r="N195" s="295"/>
      <c r="O195" s="23" t="s">
        <v>691</v>
      </c>
      <c r="P195"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0</v>
      </c>
    </row>
    <row r="196" spans="3:16" x14ac:dyDescent="0.25">
      <c r="C196" s="23" t="s">
        <v>549</v>
      </c>
      <c r="D196" s="23" t="s">
        <v>282</v>
      </c>
      <c r="E196" s="23" t="s">
        <v>259</v>
      </c>
      <c r="F196" s="23" t="s">
        <v>313</v>
      </c>
      <c r="G196" s="23" t="s">
        <v>92</v>
      </c>
      <c r="H196" s="23" t="s">
        <v>556</v>
      </c>
      <c r="I196" s="209">
        <f>IF($E196="VDO 2021 - Variation Final",
IF($G196="Residential",
INDEX(OP_TotalRates_RES_1[#Data],MATCH($C196,OP_TotalRates_RES_1[Rate name],0),MATCH(I$162,OP_TotalRates_RES_1[#Headers],0)),
INDEX(OP_TotalRates_SME_1[#Data],MATCH($C196,OP_TotalRates_SME_1[Rate name],0),MATCH(I$162,OP_TotalRates_SME_1[#Headers],0))),
IF($G196="Residential",
IF($F196="Calculated",
INDEX(OP_Rates_RES_2[#Data],MATCH($C196,OP_Rates_RES_2[Rate name],0),MATCH(I$162,OP_Rates_RES_2[#Headers],0)),
INDEX(OP_RatesTU_RES_2[#Data],MATCH($C196,OP_RatesTU_RES_2[Rate name],0),MATCH(I$162,OP_RatesTU_RES_2[#Headers],0))),
IF($F196="Calculated",
INDEX(OP_Rates_SME_2[#Data],MATCH($C196,OP_Rates_SME_2[Rate name],0),MATCH(I$162,OP_Rates_SME_2[#Headers])),
INDEX(OP_RatesTU_SME_2[#Data],MATCH($C196,OP_RatesTU_SME_2[Rate name],0),MATCH(I$162,OP_RatesTU_SME_2[#Headers],0)))))</f>
        <v>0</v>
      </c>
      <c r="J196" s="209">
        <f>IF($E196="VDO 2021 - Variation Final",
IF($G196="Residential",
INDEX(OP_TotalRates_RES_1[#Data],MATCH($C196,OP_TotalRates_RES_1[Rate name],0),MATCH(J$162,OP_TotalRates_RES_1[#Headers],0)),
INDEX(OP_TotalRates_SME_1[#Data],MATCH($C196,OP_TotalRates_SME_1[Rate name],0),MATCH(J$162,OP_TotalRates_SME_1[#Headers],0))),
IF($G196="Residential",
IF($F196="Calculated",
INDEX(OP_Rates_RES_2[#Data],MATCH($C196,OP_Rates_RES_2[Rate name],0),MATCH(J$162,OP_Rates_RES_2[#Headers],0)),
INDEX(OP_RatesTU_RES_2[#Data],MATCH($C196,OP_RatesTU_RES_2[Rate name],0),MATCH(J$162,OP_RatesTU_RES_2[#Headers],0))),
IF($F196="Calculated",
INDEX(OP_Rates_SME_2[#Data],MATCH($C196,OP_Rates_SME_2[Rate name],0),MATCH(J$162,OP_Rates_SME_2[#Headers])),
INDEX(OP_RatesTU_SME_2[#Data],MATCH($C196,OP_RatesTU_SME_2[Rate name],0),MATCH(J$162,OP_RatesTU_SME_2[#Headers],0)))))</f>
        <v>6.5518983001313221E-3</v>
      </c>
      <c r="K196" s="209">
        <f>IF($E196="VDO 2021 - Variation Final",
IF($G196="Residential",
INDEX(OP_TotalRates_RES_1[#Data],MATCH($C196,OP_TotalRates_RES_1[Rate name],0),MATCH(K$162,OP_TotalRates_RES_1[#Headers],0)),
INDEX(OP_TotalRates_SME_1[#Data],MATCH($C196,OP_TotalRates_SME_1[Rate name],0),MATCH(K$162,OP_TotalRates_SME_1[#Headers],0))),
IF($G196="Residential",
IF($F196="Calculated",
INDEX(OP_Rates_RES_2[#Data],MATCH($C196,OP_Rates_RES_2[Rate name],0),MATCH(K$162,OP_Rates_RES_2[#Headers],0)),
INDEX(OP_RatesTU_RES_2[#Data],MATCH($C196,OP_RatesTU_RES_2[Rate name],0),MATCH(K$162,OP_RatesTU_RES_2[#Headers],0))),
IF($F196="Calculated",
INDEX(OP_Rates_SME_2[#Data],MATCH($C196,OP_Rates_SME_2[Rate name],0),MATCH(K$162,OP_Rates_SME_2[#Headers])),
INDEX(OP_RatesTU_SME_2[#Data],MATCH($C196,OP_RatesTU_SME_2[Rate name],0),MATCH(K$162,OP_RatesTU_SME_2[#Headers],0)))))</f>
        <v>6.4834552967827147E-3</v>
      </c>
      <c r="L196" s="209">
        <f>IF($E196="VDO 2021 - Variation Final",
IF($G196="Residential",
INDEX(OP_TotalRates_RES_1[#Data],MATCH($C196,OP_TotalRates_RES_1[Rate name],0),MATCH(L$162,OP_TotalRates_RES_1[#Headers],0)),
INDEX(OP_TotalRates_SME_1[#Data],MATCH($C196,OP_TotalRates_SME_1[Rate name],0),MATCH(L$162,OP_TotalRates_SME_1[#Headers],0))),
IF($G196="Residential",
IF($F196="Calculated",
INDEX(OP_Rates_RES_2[#Data],MATCH($C196,OP_Rates_RES_2[Rate name],0),MATCH(L$162,OP_Rates_RES_2[#Headers],0)),
INDEX(OP_RatesTU_RES_2[#Data],MATCH($C196,OP_RatesTU_RES_2[Rate name],0),MATCH(L$162,OP_RatesTU_RES_2[#Headers],0))),
IF($F196="Calculated",
INDEX(OP_Rates_SME_2[#Data],MATCH($C196,OP_Rates_SME_2[Rate name],0),MATCH(L$162,OP_Rates_SME_2[#Headers])),
INDEX(OP_RatesTU_SME_2[#Data],MATCH($C196,OP_RatesTU_SME_2[Rate name],0),MATCH(L$162,OP_RatesTU_SME_2[#Headers],0)))))</f>
        <v>6.6923795662660671E-3</v>
      </c>
      <c r="M196" s="209">
        <f>IF($E196="VDO 2021 - Variation Final",
IF($G196="Residential",
INDEX(OP_TotalRates_RES_1[#Data],MATCH($C196,OP_TotalRates_RES_1[Rate name],0),MATCH(M$162,OP_TotalRates_RES_1[#Headers],0)),
INDEX(OP_TotalRates_SME_1[#Data],MATCH($C196,OP_TotalRates_SME_1[Rate name],0),MATCH(M$162,OP_TotalRates_SME_1[#Headers],0))),
IF($G196="Residential",
IF($F196="Calculated",
INDEX(OP_Rates_RES_2[#Data],MATCH($C196,OP_Rates_RES_2[Rate name],0),MATCH(M$162,OP_Rates_RES_2[#Headers],0)),
INDEX(OP_RatesTU_RES_2[#Data],MATCH($C196,OP_RatesTU_RES_2[Rate name],0),MATCH(M$162,OP_RatesTU_RES_2[#Headers],0))),
IF($F196="Calculated",
INDEX(OP_Rates_SME_2[#Data],MATCH($C196,OP_Rates_SME_2[Rate name],0),MATCH(M$162,OP_Rates_SME_2[#Headers])),
INDEX(OP_RatesTU_SME_2[#Data],MATCH($C196,OP_RatesTU_SME_2[Rate name],0),MATCH(M$162,OP_RatesTU_SME_2[#Headers],0)))))</f>
        <v>6.5757968919376237E-3</v>
      </c>
      <c r="N196" s="295"/>
      <c r="O196" s="23" t="s">
        <v>691</v>
      </c>
      <c r="P196"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4000</v>
      </c>
    </row>
    <row r="197" spans="3:16" x14ac:dyDescent="0.25">
      <c r="C197" s="23" t="s">
        <v>557</v>
      </c>
      <c r="D197" s="23" t="s">
        <v>109</v>
      </c>
      <c r="E197" s="23" t="s">
        <v>259</v>
      </c>
      <c r="F197" s="23" t="s">
        <v>313</v>
      </c>
      <c r="G197" s="23" t="s">
        <v>92</v>
      </c>
      <c r="H197" s="23" t="s">
        <v>557</v>
      </c>
      <c r="I197" s="209">
        <f>IF($E197="VDO 2021 - Variation Final",
IF($G197="Residential",
INDEX(OP_TotalRates_RES_1[#Data],MATCH($C197,OP_TotalRates_RES_1[Rate name],0),MATCH(I$162,OP_TotalRates_RES_1[#Headers],0)),
INDEX(OP_TotalRates_SME_1[#Data],MATCH($C197,OP_TotalRates_SME_1[Rate name],0),MATCH(I$162,OP_TotalRates_SME_1[#Headers],0))),
IF($G197="Residential",
IF($F197="Calculated",
INDEX(OP_Rates_RES_2[#Data],MATCH($C197,OP_Rates_RES_2[Rate name],0),MATCH(I$162,OP_Rates_RES_2[#Headers],0)),
INDEX(OP_RatesTU_RES_2[#Data],MATCH($C197,OP_RatesTU_RES_2[Rate name],0),MATCH(I$162,OP_RatesTU_RES_2[#Headers],0))),
IF($F197="Calculated",
INDEX(OP_Rates_SME_2[#Data],MATCH($C197,OP_Rates_SME_2[Rate name],0),MATCH(I$162,OP_Rates_SME_2[#Headers])),
INDEX(OP_RatesTU_SME_2[#Data],MATCH($C197,OP_RatesTU_SME_2[Rate name],0),MATCH(I$162,OP_RatesTU_SME_2[#Headers],0)))))</f>
        <v>-3.5347295640949759E-2</v>
      </c>
      <c r="J197" s="209">
        <f>IF($E197="VDO 2021 - Variation Final",
IF($G197="Residential",
INDEX(OP_TotalRates_RES_1[#Data],MATCH($C197,OP_TotalRates_RES_1[Rate name],0),MATCH(J$162,OP_TotalRates_RES_1[#Headers],0)),
INDEX(OP_TotalRates_SME_1[#Data],MATCH($C197,OP_TotalRates_SME_1[Rate name],0),MATCH(J$162,OP_TotalRates_SME_1[#Headers],0))),
IF($G197="Residential",
IF($F197="Calculated",
INDEX(OP_Rates_RES_2[#Data],MATCH($C197,OP_Rates_RES_2[Rate name],0),MATCH(J$162,OP_Rates_RES_2[#Headers],0)),
INDEX(OP_RatesTU_RES_2[#Data],MATCH($C197,OP_RatesTU_RES_2[Rate name],0),MATCH(J$162,OP_RatesTU_RES_2[#Headers],0))),
IF($F197="Calculated",
INDEX(OP_Rates_SME_2[#Data],MATCH($C197,OP_Rates_SME_2[Rate name],0),MATCH(J$162,OP_Rates_SME_2[#Headers])),
INDEX(OP_RatesTU_SME_2[#Data],MATCH($C197,OP_RatesTU_SME_2[Rate name],0),MATCH(J$162,OP_RatesTU_SME_2[#Headers],0)))))</f>
        <v>8.191292949868044E-2</v>
      </c>
      <c r="K197" s="209">
        <f>IF($E197="VDO 2021 - Variation Final",
IF($G197="Residential",
INDEX(OP_TotalRates_RES_1[#Data],MATCH($C197,OP_TotalRates_RES_1[Rate name],0),MATCH(K$162,OP_TotalRates_RES_1[#Headers],0)),
INDEX(OP_TotalRates_SME_1[#Data],MATCH($C197,OP_TotalRates_SME_1[Rate name],0),MATCH(K$162,OP_TotalRates_SME_1[#Headers],0))),
IF($G197="Residential",
IF($F197="Calculated",
INDEX(OP_Rates_RES_2[#Data],MATCH($C197,OP_Rates_RES_2[Rate name],0),MATCH(K$162,OP_Rates_RES_2[#Headers],0)),
INDEX(OP_RatesTU_RES_2[#Data],MATCH($C197,OP_RatesTU_RES_2[Rate name],0),MATCH(K$162,OP_RatesTU_RES_2[#Headers],0))),
IF($F197="Calculated",
INDEX(OP_Rates_SME_2[#Data],MATCH($C197,OP_Rates_SME_2[Rate name],0),MATCH(K$162,OP_Rates_SME_2[#Headers])),
INDEX(OP_RatesTU_SME_2[#Data],MATCH($C197,OP_RatesTU_SME_2[Rate name],0),MATCH(K$162,OP_RatesTU_SME_2[#Headers],0)))))</f>
        <v>-2.0508647156825287E-2</v>
      </c>
      <c r="L197" s="209">
        <f>IF($E197="VDO 2021 - Variation Final",
IF($G197="Residential",
INDEX(OP_TotalRates_RES_1[#Data],MATCH($C197,OP_TotalRates_RES_1[Rate name],0),MATCH(L$162,OP_TotalRates_RES_1[#Headers],0)),
INDEX(OP_TotalRates_SME_1[#Data],MATCH($C197,OP_TotalRates_SME_1[Rate name],0),MATCH(L$162,OP_TotalRates_SME_1[#Headers],0))),
IF($G197="Residential",
IF($F197="Calculated",
INDEX(OP_Rates_RES_2[#Data],MATCH($C197,OP_Rates_RES_2[Rate name],0),MATCH(L$162,OP_Rates_RES_2[#Headers],0)),
INDEX(OP_RatesTU_RES_2[#Data],MATCH($C197,OP_RatesTU_RES_2[Rate name],0),MATCH(L$162,OP_RatesTU_RES_2[#Headers],0))),
IF($F197="Calculated",
INDEX(OP_Rates_SME_2[#Data],MATCH($C197,OP_Rates_SME_2[Rate name],0),MATCH(L$162,OP_Rates_SME_2[#Headers])),
INDEX(OP_RatesTU_SME_2[#Data],MATCH($C197,OP_RatesTU_SME_2[Rate name],0),MATCH(L$162,OP_RatesTU_SME_2[#Headers],0)))))</f>
        <v>6.1968521810324292E-2</v>
      </c>
      <c r="M197" s="209">
        <f>IF($E197="VDO 2021 - Variation Final",
IF($G197="Residential",
INDEX(OP_TotalRates_RES_1[#Data],MATCH($C197,OP_TotalRates_RES_1[Rate name],0),MATCH(M$162,OP_TotalRates_RES_1[#Headers],0)),
INDEX(OP_TotalRates_SME_1[#Data],MATCH($C197,OP_TotalRates_SME_1[Rate name],0),MATCH(M$162,OP_TotalRates_SME_1[#Headers],0))),
IF($G197="Residential",
IF($F197="Calculated",
INDEX(OP_Rates_RES_2[#Data],MATCH($C197,OP_Rates_RES_2[Rate name],0),MATCH(M$162,OP_Rates_RES_2[#Headers],0)),
INDEX(OP_RatesTU_RES_2[#Data],MATCH($C197,OP_RatesTU_RES_2[Rate name],0),MATCH(M$162,OP_RatesTU_RES_2[#Headers],0))),
IF($F197="Calculated",
INDEX(OP_Rates_SME_2[#Data],MATCH($C197,OP_Rates_SME_2[Rate name],0),MATCH(M$162,OP_Rates_SME_2[#Headers])),
INDEX(OP_RatesTU_SME_2[#Data],MATCH($C197,OP_RatesTU_SME_2[Rate name],0),MATCH(M$162,OP_RatesTU_SME_2[#Headers],0)))))</f>
        <v>2.7021712120602229E-2</v>
      </c>
      <c r="N197" s="295"/>
      <c r="O197" s="23" t="s">
        <v>427</v>
      </c>
      <c r="P197" s="23" t="e">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#N/A</v>
      </c>
    </row>
    <row r="198" spans="3:16" x14ac:dyDescent="0.25">
      <c r="C198" s="23" t="s">
        <v>230</v>
      </c>
      <c r="D198" s="23" t="s">
        <v>282</v>
      </c>
      <c r="E198" s="23" t="s">
        <v>259</v>
      </c>
      <c r="F198" s="23" t="s">
        <v>313</v>
      </c>
      <c r="G198" s="23" t="s">
        <v>92</v>
      </c>
      <c r="H198" s="23" t="s">
        <v>557</v>
      </c>
      <c r="I198" s="209">
        <f>IF($E198="VDO 2021 - Variation Final",
IF($G198="Residential",
INDEX(OP_TotalRates_RES_1[#Data],MATCH($C198,OP_TotalRates_RES_1[Rate name],0),MATCH(I$162,OP_TotalRates_RES_1[#Headers],0)),
INDEX(OP_TotalRates_SME_1[#Data],MATCH($C198,OP_TotalRates_SME_1[Rate name],0),MATCH(I$162,OP_TotalRates_SME_1[#Headers],0))),
IF($G198="Residential",
IF($F198="Calculated",
INDEX(OP_Rates_RES_2[#Data],MATCH($C198,OP_Rates_RES_2[Rate name],0),MATCH(I$162,OP_Rates_RES_2[#Headers],0)),
INDEX(OP_RatesTU_RES_2[#Data],MATCH($C198,OP_RatesTU_RES_2[Rate name],0),MATCH(I$162,OP_RatesTU_RES_2[#Headers],0))),
IF($F198="Calculated",
INDEX(OP_Rates_SME_2[#Data],MATCH($C198,OP_Rates_SME_2[Rate name],0),MATCH(I$162,OP_Rates_SME_2[#Headers])),
INDEX(OP_RatesTU_SME_2[#Data],MATCH($C198,OP_RatesTU_SME_2[Rate name],0),MATCH(I$162,OP_RatesTU_SME_2[#Headers],0)))))</f>
        <v>6.66713910181736E-3</v>
      </c>
      <c r="J198" s="209">
        <f>IF($E198="VDO 2021 - Variation Final",
IF($G198="Residential",
INDEX(OP_TotalRates_RES_1[#Data],MATCH($C198,OP_TotalRates_RES_1[Rate name],0),MATCH(J$162,OP_TotalRates_RES_1[#Headers],0)),
INDEX(OP_TotalRates_SME_1[#Data],MATCH($C198,OP_TotalRates_SME_1[Rate name],0),MATCH(J$162,OP_TotalRates_SME_1[#Headers],0))),
IF($G198="Residential",
IF($F198="Calculated",
INDEX(OP_Rates_RES_2[#Data],MATCH($C198,OP_Rates_RES_2[Rate name],0),MATCH(J$162,OP_Rates_RES_2[#Headers],0)),
INDEX(OP_RatesTU_RES_2[#Data],MATCH($C198,OP_RatesTU_RES_2[Rate name],0),MATCH(J$162,OP_RatesTU_RES_2[#Headers],0))),
IF($F198="Calculated",
INDEX(OP_Rates_SME_2[#Data],MATCH($C198,OP_Rates_SME_2[Rate name],0),MATCH(J$162,OP_Rates_SME_2[#Headers])),
INDEX(OP_RatesTU_SME_2[#Data],MATCH($C198,OP_RatesTU_SME_2[Rate name],0),MATCH(J$162,OP_RatesTU_SME_2[#Headers],0)))))</f>
        <v>6.5518983001313221E-3</v>
      </c>
      <c r="K198" s="209">
        <f>IF($E198="VDO 2021 - Variation Final",
IF($G198="Residential",
INDEX(OP_TotalRates_RES_1[#Data],MATCH($C198,OP_TotalRates_RES_1[Rate name],0),MATCH(K$162,OP_TotalRates_RES_1[#Headers],0)),
INDEX(OP_TotalRates_SME_1[#Data],MATCH($C198,OP_TotalRates_SME_1[Rate name],0),MATCH(K$162,OP_TotalRates_SME_1[#Headers],0))),
IF($G198="Residential",
IF($F198="Calculated",
INDEX(OP_Rates_RES_2[#Data],MATCH($C198,OP_Rates_RES_2[Rate name],0),MATCH(K$162,OP_Rates_RES_2[#Headers],0)),
INDEX(OP_RatesTU_RES_2[#Data],MATCH($C198,OP_RatesTU_RES_2[Rate name],0),MATCH(K$162,OP_RatesTU_RES_2[#Headers],0))),
IF($F198="Calculated",
INDEX(OP_Rates_SME_2[#Data],MATCH($C198,OP_Rates_SME_2[Rate name],0),MATCH(K$162,OP_Rates_SME_2[#Headers])),
INDEX(OP_RatesTU_SME_2[#Data],MATCH($C198,OP_RatesTU_SME_2[Rate name],0),MATCH(K$162,OP_RatesTU_SME_2[#Headers],0)))))</f>
        <v>6.4834552967827147E-3</v>
      </c>
      <c r="L198" s="209">
        <f>IF($E198="VDO 2021 - Variation Final",
IF($G198="Residential",
INDEX(OP_TotalRates_RES_1[#Data],MATCH($C198,OP_TotalRates_RES_1[Rate name],0),MATCH(L$162,OP_TotalRates_RES_1[#Headers],0)),
INDEX(OP_TotalRates_SME_1[#Data],MATCH($C198,OP_TotalRates_SME_1[Rate name],0),MATCH(L$162,OP_TotalRates_SME_1[#Headers],0))),
IF($G198="Residential",
IF($F198="Calculated",
INDEX(OP_Rates_RES_2[#Data],MATCH($C198,OP_Rates_RES_2[Rate name],0),MATCH(L$162,OP_Rates_RES_2[#Headers],0)),
INDEX(OP_RatesTU_RES_2[#Data],MATCH($C198,OP_RatesTU_RES_2[Rate name],0),MATCH(L$162,OP_RatesTU_RES_2[#Headers],0))),
IF($F198="Calculated",
INDEX(OP_Rates_SME_2[#Data],MATCH($C198,OP_Rates_SME_2[Rate name],0),MATCH(L$162,OP_Rates_SME_2[#Headers])),
INDEX(OP_RatesTU_SME_2[#Data],MATCH($C198,OP_RatesTU_SME_2[Rate name],0),MATCH(L$162,OP_RatesTU_SME_2[#Headers],0)))))</f>
        <v>6.6923795662660671E-3</v>
      </c>
      <c r="M198" s="209">
        <f>IF($E198="VDO 2021 - Variation Final",
IF($G198="Residential",
INDEX(OP_TotalRates_RES_1[#Data],MATCH($C198,OP_TotalRates_RES_1[Rate name],0),MATCH(M$162,OP_TotalRates_RES_1[#Headers],0)),
INDEX(OP_TotalRates_SME_1[#Data],MATCH($C198,OP_TotalRates_SME_1[Rate name],0),MATCH(M$162,OP_TotalRates_SME_1[#Headers],0))),
IF($G198="Residential",
IF($F198="Calculated",
INDEX(OP_Rates_RES_2[#Data],MATCH($C198,OP_Rates_RES_2[Rate name],0),MATCH(M$162,OP_Rates_RES_2[#Headers],0)),
INDEX(OP_RatesTU_RES_2[#Data],MATCH($C198,OP_RatesTU_RES_2[Rate name],0),MATCH(M$162,OP_RatesTU_RES_2[#Headers],0))),
IF($F198="Calculated",
INDEX(OP_Rates_SME_2[#Data],MATCH($C198,OP_Rates_SME_2[Rate name],0),MATCH(M$162,OP_Rates_SME_2[#Headers])),
INDEX(OP_RatesTU_SME_2[#Data],MATCH($C198,OP_RatesTU_SME_2[Rate name],0),MATCH(M$162,OP_RatesTU_SME_2[#Headers],0)))))</f>
        <v>6.5757968919376237E-3</v>
      </c>
      <c r="N198" s="295"/>
      <c r="O198" s="23" t="s">
        <v>691</v>
      </c>
      <c r="P198"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1320</v>
      </c>
    </row>
    <row r="199" spans="3:16" x14ac:dyDescent="0.25">
      <c r="C199" s="23" t="s">
        <v>609</v>
      </c>
      <c r="D199" s="23" t="s">
        <v>282</v>
      </c>
      <c r="E199" s="23" t="s">
        <v>259</v>
      </c>
      <c r="F199" s="23" t="s">
        <v>313</v>
      </c>
      <c r="G199" s="23" t="s">
        <v>92</v>
      </c>
      <c r="H199" s="23" t="s">
        <v>557</v>
      </c>
      <c r="I199" s="209">
        <f>IF($E199="VDO 2021 - Variation Final",
IF($G199="Residential",
INDEX(OP_TotalRates_RES_1[#Data],MATCH($C199,OP_TotalRates_RES_1[Rate name],0),MATCH(I$162,OP_TotalRates_RES_1[#Headers],0)),
INDEX(OP_TotalRates_SME_1[#Data],MATCH($C199,OP_TotalRates_SME_1[Rate name],0),MATCH(I$162,OP_TotalRates_SME_1[#Headers],0))),
IF($G199="Residential",
IF($F199="Calculated",
INDEX(OP_Rates_RES_2[#Data],MATCH($C199,OP_Rates_RES_2[Rate name],0),MATCH(I$162,OP_Rates_RES_2[#Headers],0)),
INDEX(OP_RatesTU_RES_2[#Data],MATCH($C199,OP_RatesTU_RES_2[Rate name],0),MATCH(I$162,OP_RatesTU_RES_2[#Headers],0))),
IF($F199="Calculated",
INDEX(OP_Rates_SME_2[#Data],MATCH($C199,OP_Rates_SME_2[Rate name],0),MATCH(I$162,OP_Rates_SME_2[#Headers])),
INDEX(OP_RatesTU_SME_2[#Data],MATCH($C199,OP_RatesTU_SME_2[Rate name],0),MATCH(I$162,OP_RatesTU_SME_2[#Headers],0)))))</f>
        <v>6.66713910181736E-3</v>
      </c>
      <c r="J199" s="209">
        <f>IF($E199="VDO 2021 - Variation Final",
IF($G199="Residential",
INDEX(OP_TotalRates_RES_1[#Data],MATCH($C199,OP_TotalRates_RES_1[Rate name],0),MATCH(J$162,OP_TotalRates_RES_1[#Headers],0)),
INDEX(OP_TotalRates_SME_1[#Data],MATCH($C199,OP_TotalRates_SME_1[Rate name],0),MATCH(J$162,OP_TotalRates_SME_1[#Headers],0))),
IF($G199="Residential",
IF($F199="Calculated",
INDEX(OP_Rates_RES_2[#Data],MATCH($C199,OP_Rates_RES_2[Rate name],0),MATCH(J$162,OP_Rates_RES_2[#Headers],0)),
INDEX(OP_RatesTU_RES_2[#Data],MATCH($C199,OP_RatesTU_RES_2[Rate name],0),MATCH(J$162,OP_RatesTU_RES_2[#Headers],0))),
IF($F199="Calculated",
INDEX(OP_Rates_SME_2[#Data],MATCH($C199,OP_Rates_SME_2[Rate name],0),MATCH(J$162,OP_Rates_SME_2[#Headers])),
INDEX(OP_RatesTU_SME_2[#Data],MATCH($C199,OP_RatesTU_SME_2[Rate name],0),MATCH(J$162,OP_RatesTU_SME_2[#Headers],0)))))</f>
        <v>6.5518983001313221E-3</v>
      </c>
      <c r="K199" s="209">
        <f>IF($E199="VDO 2021 - Variation Final",
IF($G199="Residential",
INDEX(OP_TotalRates_RES_1[#Data],MATCH($C199,OP_TotalRates_RES_1[Rate name],0),MATCH(K$162,OP_TotalRates_RES_1[#Headers],0)),
INDEX(OP_TotalRates_SME_1[#Data],MATCH($C199,OP_TotalRates_SME_1[Rate name],0),MATCH(K$162,OP_TotalRates_SME_1[#Headers],0))),
IF($G199="Residential",
IF($F199="Calculated",
INDEX(OP_Rates_RES_2[#Data],MATCH($C199,OP_Rates_RES_2[Rate name],0),MATCH(K$162,OP_Rates_RES_2[#Headers],0)),
INDEX(OP_RatesTU_RES_2[#Data],MATCH($C199,OP_RatesTU_RES_2[Rate name],0),MATCH(K$162,OP_RatesTU_RES_2[#Headers],0))),
IF($F199="Calculated",
INDEX(OP_Rates_SME_2[#Data],MATCH($C199,OP_Rates_SME_2[Rate name],0),MATCH(K$162,OP_Rates_SME_2[#Headers])),
INDEX(OP_RatesTU_SME_2[#Data],MATCH($C199,OP_RatesTU_SME_2[Rate name],0),MATCH(K$162,OP_RatesTU_SME_2[#Headers],0)))))</f>
        <v>6.4834552967827147E-3</v>
      </c>
      <c r="L199" s="209">
        <f>IF($E199="VDO 2021 - Variation Final",
IF($G199="Residential",
INDEX(OP_TotalRates_RES_1[#Data],MATCH($C199,OP_TotalRates_RES_1[Rate name],0),MATCH(L$162,OP_TotalRates_RES_1[#Headers],0)),
INDEX(OP_TotalRates_SME_1[#Data],MATCH($C199,OP_TotalRates_SME_1[Rate name],0),MATCH(L$162,OP_TotalRates_SME_1[#Headers],0))),
IF($G199="Residential",
IF($F199="Calculated",
INDEX(OP_Rates_RES_2[#Data],MATCH($C199,OP_Rates_RES_2[Rate name],0),MATCH(L$162,OP_Rates_RES_2[#Headers],0)),
INDEX(OP_RatesTU_RES_2[#Data],MATCH($C199,OP_RatesTU_RES_2[Rate name],0),MATCH(L$162,OP_RatesTU_RES_2[#Headers],0))),
IF($F199="Calculated",
INDEX(OP_Rates_SME_2[#Data],MATCH($C199,OP_Rates_SME_2[Rate name],0),MATCH(L$162,OP_Rates_SME_2[#Headers])),
INDEX(OP_RatesTU_SME_2[#Data],MATCH($C199,OP_RatesTU_SME_2[Rate name],0),MATCH(L$162,OP_RatesTU_SME_2[#Headers],0)))))</f>
        <v>6.6923795662660671E-3</v>
      </c>
      <c r="M199" s="209">
        <f>IF($E199="VDO 2021 - Variation Final",
IF($G199="Residential",
INDEX(OP_TotalRates_RES_1[#Data],MATCH($C199,OP_TotalRates_RES_1[Rate name],0),MATCH(M$162,OP_TotalRates_RES_1[#Headers],0)),
INDEX(OP_TotalRates_SME_1[#Data],MATCH($C199,OP_TotalRates_SME_1[Rate name],0),MATCH(M$162,OP_TotalRates_SME_1[#Headers],0))),
IF($G199="Residential",
IF($F199="Calculated",
INDEX(OP_Rates_RES_2[#Data],MATCH($C199,OP_Rates_RES_2[Rate name],0),MATCH(M$162,OP_Rates_RES_2[#Headers],0)),
INDEX(OP_RatesTU_RES_2[#Data],MATCH($C199,OP_RatesTU_RES_2[Rate name],0),MATCH(M$162,OP_RatesTU_RES_2[#Headers],0))),
IF($F199="Calculated",
INDEX(OP_Rates_SME_2[#Data],MATCH($C199,OP_Rates_SME_2[Rate name],0),MATCH(M$162,OP_Rates_SME_2[#Headers])),
INDEX(OP_RatesTU_SME_2[#Data],MATCH($C199,OP_RatesTU_SME_2[Rate name],0),MATCH(M$162,OP_RatesTU_SME_2[#Headers],0)))))</f>
        <v>6.5757968919376237E-3</v>
      </c>
      <c r="N199" s="295"/>
      <c r="O199" s="23" t="s">
        <v>691</v>
      </c>
      <c r="P199"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2680</v>
      </c>
    </row>
    <row r="200" spans="3:16" x14ac:dyDescent="0.25">
      <c r="C200" s="23" t="s">
        <v>287</v>
      </c>
      <c r="D200" s="23" t="s">
        <v>282</v>
      </c>
      <c r="E200" s="23" t="s">
        <v>259</v>
      </c>
      <c r="F200" s="23" t="s">
        <v>313</v>
      </c>
      <c r="G200" s="23" t="s">
        <v>92</v>
      </c>
      <c r="H200" s="23" t="s">
        <v>697</v>
      </c>
      <c r="I200" s="209">
        <f>IF($E200="VDO 2021 - Variation Final",
IF($G200="Residential",
INDEX(OP_TotalRates_RES_1[#Data],MATCH($C200,OP_TotalRates_RES_1[Rate name],0),MATCH(I$162,OP_TotalRates_RES_1[#Headers],0)),
INDEX(OP_TotalRates_SME_1[#Data],MATCH($C200,OP_TotalRates_SME_1[Rate name],0),MATCH(I$162,OP_TotalRates_SME_1[#Headers],0))),
IF($G200="Residential",
IF($F200="Calculated",
INDEX(OP_Rates_RES_2[#Data],MATCH($C200,OP_Rates_RES_2[Rate name],0),MATCH(I$162,OP_Rates_RES_2[#Headers],0)),
INDEX(OP_RatesTU_RES_2[#Data],MATCH($C200,OP_RatesTU_RES_2[Rate name],0),MATCH(I$162,OP_RatesTU_RES_2[#Headers],0))),
IF($F200="Calculated",
INDEX(OP_Rates_SME_2[#Data],MATCH($C200,OP_Rates_SME_2[Rate name],0),MATCH(I$162,OP_Rates_SME_2[#Headers])),
INDEX(OP_RatesTU_SME_2[#Data],MATCH($C200,OP_RatesTU_SME_2[Rate name],0),MATCH(I$162,OP_RatesTU_SME_2[#Headers],0)))))</f>
        <v>2.3791062236162628E-3</v>
      </c>
      <c r="J200" s="209">
        <f>IF($E200="VDO 2021 - Variation Final",
IF($G200="Residential",
INDEX(OP_TotalRates_RES_1[#Data],MATCH($C200,OP_TotalRates_RES_1[Rate name],0),MATCH(J$162,OP_TotalRates_RES_1[#Headers],0)),
INDEX(OP_TotalRates_SME_1[#Data],MATCH($C200,OP_TotalRates_SME_1[Rate name],0),MATCH(J$162,OP_TotalRates_SME_1[#Headers],0))),
IF($G200="Residential",
IF($F200="Calculated",
INDEX(OP_Rates_RES_2[#Data],MATCH($C200,OP_Rates_RES_2[Rate name],0),MATCH(J$162,OP_Rates_RES_2[#Headers],0)),
INDEX(OP_RatesTU_RES_2[#Data],MATCH($C200,OP_RatesTU_RES_2[Rate name],0),MATCH(J$162,OP_RatesTU_RES_2[#Headers],0))),
IF($F200="Calculated",
INDEX(OP_Rates_SME_2[#Data],MATCH($C200,OP_Rates_SME_2[Rate name],0),MATCH(J$162,OP_Rates_SME_2[#Headers])),
INDEX(OP_RatesTU_SME_2[#Data],MATCH($C200,OP_RatesTU_SME_2[Rate name],0),MATCH(J$162,OP_RatesTU_SME_2[#Headers],0)))))</f>
        <v>2.2539525429423595E-3</v>
      </c>
      <c r="K200" s="209">
        <f>IF($E200="VDO 2021 - Variation Final",
IF($G200="Residential",
INDEX(OP_TotalRates_RES_1[#Data],MATCH($C200,OP_TotalRates_RES_1[Rate name],0),MATCH(K$162,OP_TotalRates_RES_1[#Headers],0)),
INDEX(OP_TotalRates_SME_1[#Data],MATCH($C200,OP_TotalRates_SME_1[Rate name],0),MATCH(K$162,OP_TotalRates_SME_1[#Headers],0))),
IF($G200="Residential",
IF($F200="Calculated",
INDEX(OP_Rates_RES_2[#Data],MATCH($C200,OP_Rates_RES_2[Rate name],0),MATCH(K$162,OP_Rates_RES_2[#Headers],0)),
INDEX(OP_RatesTU_RES_2[#Data],MATCH($C200,OP_RatesTU_RES_2[Rate name],0),MATCH(K$162,OP_RatesTU_RES_2[#Headers],0))),
IF($F200="Calculated",
INDEX(OP_Rates_SME_2[#Data],MATCH($C200,OP_Rates_SME_2[Rate name],0),MATCH(K$162,OP_Rates_SME_2[#Headers])),
INDEX(OP_RatesTU_SME_2[#Data],MATCH($C200,OP_RatesTU_SME_2[Rate name],0),MATCH(K$162,OP_RatesTU_SME_2[#Headers],0)))))</f>
        <v>4.0511831232358702E-3</v>
      </c>
      <c r="L200" s="209">
        <f>IF($E200="VDO 2021 - Variation Final",
IF($G200="Residential",
INDEX(OP_TotalRates_RES_1[#Data],MATCH($C200,OP_TotalRates_RES_1[Rate name],0),MATCH(L$162,OP_TotalRates_RES_1[#Headers],0)),
INDEX(OP_TotalRates_SME_1[#Data],MATCH($C200,OP_TotalRates_SME_1[Rate name],0),MATCH(L$162,OP_TotalRates_SME_1[#Headers],0))),
IF($G200="Residential",
IF($F200="Calculated",
INDEX(OP_Rates_RES_2[#Data],MATCH($C200,OP_Rates_RES_2[Rate name],0),MATCH(L$162,OP_Rates_RES_2[#Headers],0)),
INDEX(OP_RatesTU_RES_2[#Data],MATCH($C200,OP_RatesTU_RES_2[Rate name],0),MATCH(L$162,OP_RatesTU_RES_2[#Headers],0))),
IF($F200="Calculated",
INDEX(OP_Rates_SME_2[#Data],MATCH($C200,OP_Rates_SME_2[Rate name],0),MATCH(L$162,OP_Rates_SME_2[#Headers])),
INDEX(OP_RatesTU_SME_2[#Data],MATCH($C200,OP_RatesTU_SME_2[Rate name],0),MATCH(L$162,OP_RatesTU_SME_2[#Headers],0)))))</f>
        <v>1.4828635150936562E-3</v>
      </c>
      <c r="M200" s="209">
        <f>IF($E200="VDO 2021 - Variation Final",
IF($G200="Residential",
INDEX(OP_TotalRates_RES_1[#Data],MATCH($C200,OP_TotalRates_RES_1[Rate name],0),MATCH(M$162,OP_TotalRates_RES_1[#Headers],0)),
INDEX(OP_TotalRates_SME_1[#Data],MATCH($C200,OP_TotalRates_SME_1[Rate name],0),MATCH(M$162,OP_TotalRates_SME_1[#Headers],0))),
IF($G200="Residential",
IF($F200="Calculated",
INDEX(OP_Rates_RES_2[#Data],MATCH($C200,OP_Rates_RES_2[Rate name],0),MATCH(M$162,OP_Rates_RES_2[#Headers],0)),
INDEX(OP_RatesTU_RES_2[#Data],MATCH($C200,OP_RatesTU_RES_2[Rate name],0),MATCH(M$162,OP_RatesTU_RES_2[#Headers],0))),
IF($F200="Calculated",
INDEX(OP_Rates_SME_2[#Data],MATCH($C200,OP_Rates_SME_2[Rate name],0),MATCH(M$162,OP_Rates_SME_2[#Headers])),
INDEX(OP_RatesTU_SME_2[#Data],MATCH($C200,OP_RatesTU_SME_2[Rate name],0),MATCH(M$162,OP_RatesTU_SME_2[#Headers],0)))))</f>
        <v>2.6098397865648355E-3</v>
      </c>
      <c r="N200" s="295"/>
      <c r="O200" s="23" t="s">
        <v>691</v>
      </c>
      <c r="P200"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2000</v>
      </c>
    </row>
    <row r="201" spans="3:16" x14ac:dyDescent="0.25">
      <c r="C201" s="23" t="s">
        <v>556</v>
      </c>
      <c r="D201" s="23" t="s">
        <v>109</v>
      </c>
      <c r="E201" s="23" t="s">
        <v>259</v>
      </c>
      <c r="F201" s="23" t="s">
        <v>313</v>
      </c>
      <c r="G201" s="23" t="s">
        <v>93</v>
      </c>
      <c r="H201" s="23" t="s">
        <v>556</v>
      </c>
      <c r="I201" s="209">
        <f>IF($E201="VDO 2021 - Variation Final",
IF($G201="Residential",
INDEX(OP_TotalRates_RES_1[#Data],MATCH($C201,OP_TotalRates_RES_1[Rate name],0),MATCH(I$162,OP_TotalRates_RES_1[#Headers],0)),
INDEX(OP_TotalRates_SME_1[#Data],MATCH($C201,OP_TotalRates_SME_1[Rate name],0),MATCH(I$162,OP_TotalRates_SME_1[#Headers],0))),
IF($G201="Residential",
IF($F201="Calculated",
INDEX(OP_Rates_RES_2[#Data],MATCH($C201,OP_Rates_RES_2[Rate name],0),MATCH(I$162,OP_Rates_RES_2[#Headers],0)),
INDEX(OP_RatesTU_RES_2[#Data],MATCH($C201,OP_RatesTU_RES_2[Rate name],0),MATCH(I$162,OP_RatesTU_RES_2[#Headers],0))),
IF($F201="Calculated",
INDEX(OP_Rates_SME_2[#Data],MATCH($C201,OP_Rates_SME_2[Rate name],0),MATCH(I$162,OP_Rates_SME_2[#Headers])),
INDEX(OP_RatesTU_SME_2[#Data],MATCH($C201,OP_RatesTU_SME_2[Rate name],0),MATCH(I$162,OP_RatesTU_SME_2[#Headers],0)))))</f>
        <v>0.14155426304843055</v>
      </c>
      <c r="J201" s="209">
        <f>IF($E201="VDO 2021 - Variation Final",
IF($G201="Residential",
INDEX(OP_TotalRates_RES_1[#Data],MATCH($C201,OP_TotalRates_RES_1[Rate name],0),MATCH(J$162,OP_TotalRates_RES_1[#Headers],0)),
INDEX(OP_TotalRates_SME_1[#Data],MATCH($C201,OP_TotalRates_SME_1[Rate name],0),MATCH(J$162,OP_TotalRates_SME_1[#Headers],0))),
IF($G201="Residential",
IF($F201="Calculated",
INDEX(OP_Rates_RES_2[#Data],MATCH($C201,OP_Rates_RES_2[Rate name],0),MATCH(J$162,OP_Rates_RES_2[#Headers],0)),
INDEX(OP_RatesTU_RES_2[#Data],MATCH($C201,OP_RatesTU_RES_2[Rate name],0),MATCH(J$162,OP_RatesTU_RES_2[#Headers],0))),
IF($F201="Calculated",
INDEX(OP_Rates_SME_2[#Data],MATCH($C201,OP_Rates_SME_2[Rate name],0),MATCH(J$162,OP_Rates_SME_2[#Headers])),
INDEX(OP_RatesTU_SME_2[#Data],MATCH($C201,OP_RatesTU_SME_2[Rate name],0),MATCH(J$162,OP_RatesTU_SME_2[#Headers],0)))))</f>
        <v>5.0997769858831137E-2</v>
      </c>
      <c r="K201" s="209">
        <f>IF($E201="VDO 2021 - Variation Final",
IF($G201="Residential",
INDEX(OP_TotalRates_RES_1[#Data],MATCH($C201,OP_TotalRates_RES_1[Rate name],0),MATCH(K$162,OP_TotalRates_RES_1[#Headers],0)),
INDEX(OP_TotalRates_SME_1[#Data],MATCH($C201,OP_TotalRates_SME_1[Rate name],0),MATCH(K$162,OP_TotalRates_SME_1[#Headers],0))),
IF($G201="Residential",
IF($F201="Calculated",
INDEX(OP_Rates_RES_2[#Data],MATCH($C201,OP_Rates_RES_2[Rate name],0),MATCH(K$162,OP_Rates_RES_2[#Headers],0)),
INDEX(OP_RatesTU_RES_2[#Data],MATCH($C201,OP_RatesTU_RES_2[Rate name],0),MATCH(K$162,OP_RatesTU_RES_2[#Headers],0))),
IF($F201="Calculated",
INDEX(OP_Rates_SME_2[#Data],MATCH($C201,OP_Rates_SME_2[Rate name],0),MATCH(K$162,OP_Rates_SME_2[#Headers])),
INDEX(OP_RatesTU_SME_2[#Data],MATCH($C201,OP_RatesTU_SME_2[Rate name],0),MATCH(K$162,OP_RatesTU_SME_2[#Headers],0)))))</f>
        <v>0.14652115442345531</v>
      </c>
      <c r="L201" s="209">
        <f>IF($E201="VDO 2021 - Variation Final",
IF($G201="Residential",
INDEX(OP_TotalRates_RES_1[#Data],MATCH($C201,OP_TotalRates_RES_1[Rate name],0),MATCH(L$162,OP_TotalRates_RES_1[#Headers],0)),
INDEX(OP_TotalRates_SME_1[#Data],MATCH($C201,OP_TotalRates_SME_1[Rate name],0),MATCH(L$162,OP_TotalRates_SME_1[#Headers],0))),
IF($G201="Residential",
IF($F201="Calculated",
INDEX(OP_Rates_RES_2[#Data],MATCH($C201,OP_Rates_RES_2[Rate name],0),MATCH(L$162,OP_Rates_RES_2[#Headers],0)),
INDEX(OP_RatesTU_RES_2[#Data],MATCH($C201,OP_RatesTU_RES_2[Rate name],0),MATCH(L$162,OP_RatesTU_RES_2[#Headers],0))),
IF($F201="Calculated",
INDEX(OP_Rates_SME_2[#Data],MATCH($C201,OP_Rates_SME_2[Rate name],0),MATCH(L$162,OP_Rates_SME_2[#Headers])),
INDEX(OP_RatesTU_SME_2[#Data],MATCH($C201,OP_RatesTU_SME_2[Rate name],0),MATCH(L$162,OP_RatesTU_SME_2[#Headers],0)))))</f>
        <v>6.5334232735095366E-2</v>
      </c>
      <c r="M201" s="209">
        <f>IF($E201="VDO 2021 - Variation Final",
IF($G201="Residential",
INDEX(OP_TotalRates_RES_1[#Data],MATCH($C201,OP_TotalRates_RES_1[Rate name],0),MATCH(M$162,OP_TotalRates_RES_1[#Headers],0)),
INDEX(OP_TotalRates_SME_1[#Data],MATCH($C201,OP_TotalRates_SME_1[Rate name],0),MATCH(M$162,OP_TotalRates_SME_1[#Headers],0))),
IF($G201="Residential",
IF($F201="Calculated",
INDEX(OP_Rates_RES_2[#Data],MATCH($C201,OP_Rates_RES_2[Rate name],0),MATCH(M$162,OP_Rates_RES_2[#Headers],0)),
INDEX(OP_RatesTU_RES_2[#Data],MATCH($C201,OP_RatesTU_RES_2[Rate name],0),MATCH(M$162,OP_RatesTU_RES_2[#Headers],0))),
IF($F201="Calculated",
INDEX(OP_Rates_SME_2[#Data],MATCH($C201,OP_Rates_SME_2[Rate name],0),MATCH(M$162,OP_Rates_SME_2[#Headers])),
INDEX(OP_RatesTU_SME_2[#Data],MATCH($C201,OP_RatesTU_SME_2[Rate name],0),MATCH(M$162,OP_RatesTU_SME_2[#Headers],0)))))</f>
        <v>-4.0499060250920585E-3</v>
      </c>
      <c r="N201" s="295"/>
      <c r="O201" s="23" t="s">
        <v>427</v>
      </c>
      <c r="P201" s="23" t="e">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#N/A</v>
      </c>
    </row>
    <row r="202" spans="3:16" x14ac:dyDescent="0.25">
      <c r="C202" s="23" t="s">
        <v>221</v>
      </c>
      <c r="D202" s="23" t="s">
        <v>282</v>
      </c>
      <c r="E202" s="23" t="s">
        <v>259</v>
      </c>
      <c r="F202" s="23" t="s">
        <v>313</v>
      </c>
      <c r="G202" s="23" t="s">
        <v>93</v>
      </c>
      <c r="H202" s="23" t="s">
        <v>556</v>
      </c>
      <c r="I202" s="209">
        <f>IF($E202="VDO 2021 - Variation Final",
IF($G202="Residential",
INDEX(OP_TotalRates_RES_1[#Data],MATCH($C202,OP_TotalRates_RES_1[Rate name],0),MATCH(I$162,OP_TotalRates_RES_1[#Headers],0)),
INDEX(OP_TotalRates_SME_1[#Data],MATCH($C202,OP_TotalRates_SME_1[Rate name],0),MATCH(I$162,OP_TotalRates_SME_1[#Headers],0))),
IF($G202="Residential",
IF($F202="Calculated",
INDEX(OP_Rates_RES_2[#Data],MATCH($C202,OP_Rates_RES_2[Rate name],0),MATCH(I$162,OP_Rates_RES_2[#Headers],0)),
INDEX(OP_RatesTU_RES_2[#Data],MATCH($C202,OP_RatesTU_RES_2[Rate name],0),MATCH(I$162,OP_RatesTU_RES_2[#Headers],0))),
IF($F202="Calculated",
INDEX(OP_Rates_SME_2[#Data],MATCH($C202,OP_Rates_SME_2[Rate name],0),MATCH(I$162,OP_Rates_SME_2[#Headers])),
INDEX(OP_RatesTU_SME_2[#Data],MATCH($C202,OP_RatesTU_SME_2[Rate name],0),MATCH(I$162,OP_RatesTU_SME_2[#Headers],0)))))</f>
        <v>6.66713910181736E-3</v>
      </c>
      <c r="J202" s="209">
        <f>IF($E202="VDO 2021 - Variation Final",
IF($G202="Residential",
INDEX(OP_TotalRates_RES_1[#Data],MATCH($C202,OP_TotalRates_RES_1[Rate name],0),MATCH(J$162,OP_TotalRates_RES_1[#Headers],0)),
INDEX(OP_TotalRates_SME_1[#Data],MATCH($C202,OP_TotalRates_SME_1[Rate name],0),MATCH(J$162,OP_TotalRates_SME_1[#Headers],0))),
IF($G202="Residential",
IF($F202="Calculated",
INDEX(OP_Rates_RES_2[#Data],MATCH($C202,OP_Rates_RES_2[Rate name],0),MATCH(J$162,OP_Rates_RES_2[#Headers],0)),
INDEX(OP_RatesTU_RES_2[#Data],MATCH($C202,OP_RatesTU_RES_2[Rate name],0),MATCH(J$162,OP_RatesTU_RES_2[#Headers],0))),
IF($F202="Calculated",
INDEX(OP_Rates_SME_2[#Data],MATCH($C202,OP_Rates_SME_2[Rate name],0),MATCH(J$162,OP_Rates_SME_2[#Headers])),
INDEX(OP_RatesTU_SME_2[#Data],MATCH($C202,OP_RatesTU_SME_2[Rate name],0),MATCH(J$162,OP_RatesTU_SME_2[#Headers],0)))))</f>
        <v>0</v>
      </c>
      <c r="K202" s="209">
        <f>IF($E202="VDO 2021 - Variation Final",
IF($G202="Residential",
INDEX(OP_TotalRates_RES_1[#Data],MATCH($C202,OP_TotalRates_RES_1[Rate name],0),MATCH(K$162,OP_TotalRates_RES_1[#Headers],0)),
INDEX(OP_TotalRates_SME_1[#Data],MATCH($C202,OP_TotalRates_SME_1[Rate name],0),MATCH(K$162,OP_TotalRates_SME_1[#Headers],0))),
IF($G202="Residential",
IF($F202="Calculated",
INDEX(OP_Rates_RES_2[#Data],MATCH($C202,OP_Rates_RES_2[Rate name],0),MATCH(K$162,OP_Rates_RES_2[#Headers],0)),
INDEX(OP_RatesTU_RES_2[#Data],MATCH($C202,OP_RatesTU_RES_2[Rate name],0),MATCH(K$162,OP_RatesTU_RES_2[#Headers],0))),
IF($F202="Calculated",
INDEX(OP_Rates_SME_2[#Data],MATCH($C202,OP_Rates_SME_2[Rate name],0),MATCH(K$162,OP_Rates_SME_2[#Headers])),
INDEX(OP_RatesTU_SME_2[#Data],MATCH($C202,OP_RatesTU_SME_2[Rate name],0),MATCH(K$162,OP_RatesTU_SME_2[#Headers],0)))))</f>
        <v>0</v>
      </c>
      <c r="L202" s="209">
        <f>IF($E202="VDO 2021 - Variation Final",
IF($G202="Residential",
INDEX(OP_TotalRates_RES_1[#Data],MATCH($C202,OP_TotalRates_RES_1[Rate name],0),MATCH(L$162,OP_TotalRates_RES_1[#Headers],0)),
INDEX(OP_TotalRates_SME_1[#Data],MATCH($C202,OP_TotalRates_SME_1[Rate name],0),MATCH(L$162,OP_TotalRates_SME_1[#Headers],0))),
IF($G202="Residential",
IF($F202="Calculated",
INDEX(OP_Rates_RES_2[#Data],MATCH($C202,OP_Rates_RES_2[Rate name],0),MATCH(L$162,OP_Rates_RES_2[#Headers],0)),
INDEX(OP_RatesTU_RES_2[#Data],MATCH($C202,OP_RatesTU_RES_2[Rate name],0),MATCH(L$162,OP_RatesTU_RES_2[#Headers],0))),
IF($F202="Calculated",
INDEX(OP_Rates_SME_2[#Data],MATCH($C202,OP_Rates_SME_2[Rate name],0),MATCH(L$162,OP_Rates_SME_2[#Headers])),
INDEX(OP_RatesTU_SME_2[#Data],MATCH($C202,OP_RatesTU_SME_2[Rate name],0),MATCH(L$162,OP_RatesTU_SME_2[#Headers],0)))))</f>
        <v>0</v>
      </c>
      <c r="M202" s="209">
        <f>IF($E202="VDO 2021 - Variation Final",
IF($G202="Residential",
INDEX(OP_TotalRates_RES_1[#Data],MATCH($C202,OP_TotalRates_RES_1[Rate name],0),MATCH(M$162,OP_TotalRates_RES_1[#Headers],0)),
INDEX(OP_TotalRates_SME_1[#Data],MATCH($C202,OP_TotalRates_SME_1[Rate name],0),MATCH(M$162,OP_TotalRates_SME_1[#Headers],0))),
IF($G202="Residential",
IF($F202="Calculated",
INDEX(OP_Rates_RES_2[#Data],MATCH($C202,OP_Rates_RES_2[Rate name],0),MATCH(M$162,OP_Rates_RES_2[#Headers],0)),
INDEX(OP_RatesTU_RES_2[#Data],MATCH($C202,OP_RatesTU_RES_2[Rate name],0),MATCH(M$162,OP_RatesTU_RES_2[#Headers],0))),
IF($F202="Calculated",
INDEX(OP_Rates_SME_2[#Data],MATCH($C202,OP_Rates_SME_2[Rate name],0),MATCH(M$162,OP_Rates_SME_2[#Headers])),
INDEX(OP_RatesTU_SME_2[#Data],MATCH($C202,OP_RatesTU_SME_2[Rate name],0),MATCH(M$162,OP_RatesTU_SME_2[#Headers],0)))))</f>
        <v>0</v>
      </c>
      <c r="N202" s="295"/>
      <c r="O202" s="23" t="s">
        <v>691</v>
      </c>
      <c r="P202"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4080</v>
      </c>
    </row>
    <row r="203" spans="3:16" x14ac:dyDescent="0.25">
      <c r="C203" s="23" t="s">
        <v>228</v>
      </c>
      <c r="D203" s="23" t="s">
        <v>282</v>
      </c>
      <c r="E203" s="23" t="s">
        <v>259</v>
      </c>
      <c r="F203" s="23" t="s">
        <v>313</v>
      </c>
      <c r="G203" s="23" t="s">
        <v>93</v>
      </c>
      <c r="H203" s="23" t="s">
        <v>556</v>
      </c>
      <c r="I203" s="209">
        <f>IF($E203="VDO 2021 - Variation Final",
IF($G203="Residential",
INDEX(OP_TotalRates_RES_1[#Data],MATCH($C203,OP_TotalRates_RES_1[Rate name],0),MATCH(I$162,OP_TotalRates_RES_1[#Headers],0)),
INDEX(OP_TotalRates_SME_1[#Data],MATCH($C203,OP_TotalRates_SME_1[Rate name],0),MATCH(I$162,OP_TotalRates_SME_1[#Headers],0))),
IF($G203="Residential",
IF($F203="Calculated",
INDEX(OP_Rates_RES_2[#Data],MATCH($C203,OP_Rates_RES_2[Rate name],0),MATCH(I$162,OP_Rates_RES_2[#Headers],0)),
INDEX(OP_RatesTU_RES_2[#Data],MATCH($C203,OP_RatesTU_RES_2[Rate name],0),MATCH(I$162,OP_RatesTU_RES_2[#Headers],0))),
IF($F203="Calculated",
INDEX(OP_Rates_SME_2[#Data],MATCH($C203,OP_Rates_SME_2[Rate name],0),MATCH(I$162,OP_Rates_SME_2[#Headers])),
INDEX(OP_RatesTU_SME_2[#Data],MATCH($C203,OP_RatesTU_SME_2[Rate name],0),MATCH(I$162,OP_RatesTU_SME_2[#Headers],0)))))</f>
        <v>6.66713910181736E-3</v>
      </c>
      <c r="J203" s="209">
        <f>IF($E203="VDO 2021 - Variation Final",
IF($G203="Residential",
INDEX(OP_TotalRates_RES_1[#Data],MATCH($C203,OP_TotalRates_RES_1[Rate name],0),MATCH(J$162,OP_TotalRates_RES_1[#Headers],0)),
INDEX(OP_TotalRates_SME_1[#Data],MATCH($C203,OP_TotalRates_SME_1[Rate name],0),MATCH(J$162,OP_TotalRates_SME_1[#Headers],0))),
IF($G203="Residential",
IF($F203="Calculated",
INDEX(OP_Rates_RES_2[#Data],MATCH($C203,OP_Rates_RES_2[Rate name],0),MATCH(J$162,OP_Rates_RES_2[#Headers],0)),
INDEX(OP_RatesTU_RES_2[#Data],MATCH($C203,OP_RatesTU_RES_2[Rate name],0),MATCH(J$162,OP_RatesTU_RES_2[#Headers],0))),
IF($F203="Calculated",
INDEX(OP_Rates_SME_2[#Data],MATCH($C203,OP_Rates_SME_2[Rate name],0),MATCH(J$162,OP_Rates_SME_2[#Headers])),
INDEX(OP_RatesTU_SME_2[#Data],MATCH($C203,OP_RatesTU_SME_2[Rate name],0),MATCH(J$162,OP_RatesTU_SME_2[#Headers],0)))))</f>
        <v>0</v>
      </c>
      <c r="K203" s="209">
        <f>IF($E203="VDO 2021 - Variation Final",
IF($G203="Residential",
INDEX(OP_TotalRates_RES_1[#Data],MATCH($C203,OP_TotalRates_RES_1[Rate name],0),MATCH(K$162,OP_TotalRates_RES_1[#Headers],0)),
INDEX(OP_TotalRates_SME_1[#Data],MATCH($C203,OP_TotalRates_SME_1[Rate name],0),MATCH(K$162,OP_TotalRates_SME_1[#Headers],0))),
IF($G203="Residential",
IF($F203="Calculated",
INDEX(OP_Rates_RES_2[#Data],MATCH($C203,OP_Rates_RES_2[Rate name],0),MATCH(K$162,OP_Rates_RES_2[#Headers],0)),
INDEX(OP_RatesTU_RES_2[#Data],MATCH($C203,OP_RatesTU_RES_2[Rate name],0),MATCH(K$162,OP_RatesTU_RES_2[#Headers],0))),
IF($F203="Calculated",
INDEX(OP_Rates_SME_2[#Data],MATCH($C203,OP_Rates_SME_2[Rate name],0),MATCH(K$162,OP_Rates_SME_2[#Headers])),
INDEX(OP_RatesTU_SME_2[#Data],MATCH($C203,OP_RatesTU_SME_2[Rate name],0),MATCH(K$162,OP_RatesTU_SME_2[#Headers],0)))))</f>
        <v>0</v>
      </c>
      <c r="L203" s="209">
        <f>IF($E203="VDO 2021 - Variation Final",
IF($G203="Residential",
INDEX(OP_TotalRates_RES_1[#Data],MATCH($C203,OP_TotalRates_RES_1[Rate name],0),MATCH(L$162,OP_TotalRates_RES_1[#Headers],0)),
INDEX(OP_TotalRates_SME_1[#Data],MATCH($C203,OP_TotalRates_SME_1[Rate name],0),MATCH(L$162,OP_TotalRates_SME_1[#Headers],0))),
IF($G203="Residential",
IF($F203="Calculated",
INDEX(OP_Rates_RES_2[#Data],MATCH($C203,OP_Rates_RES_2[Rate name],0),MATCH(L$162,OP_Rates_RES_2[#Headers],0)),
INDEX(OP_RatesTU_RES_2[#Data],MATCH($C203,OP_RatesTU_RES_2[Rate name],0),MATCH(L$162,OP_RatesTU_RES_2[#Headers],0))),
IF($F203="Calculated",
INDEX(OP_Rates_SME_2[#Data],MATCH($C203,OP_Rates_SME_2[Rate name],0),MATCH(L$162,OP_Rates_SME_2[#Headers])),
INDEX(OP_RatesTU_SME_2[#Data],MATCH($C203,OP_RatesTU_SME_2[Rate name],0),MATCH(L$162,OP_RatesTU_SME_2[#Headers],0)))))</f>
        <v>0</v>
      </c>
      <c r="M203" s="209">
        <f>IF($E203="VDO 2021 - Variation Final",
IF($G203="Residential",
INDEX(OP_TotalRates_RES_1[#Data],MATCH($C203,OP_TotalRates_RES_1[Rate name],0),MATCH(M$162,OP_TotalRates_RES_1[#Headers],0)),
INDEX(OP_TotalRates_SME_1[#Data],MATCH($C203,OP_TotalRates_SME_1[Rate name],0),MATCH(M$162,OP_TotalRates_SME_1[#Headers],0))),
IF($G203="Residential",
IF($F203="Calculated",
INDEX(OP_Rates_RES_2[#Data],MATCH($C203,OP_Rates_RES_2[Rate name],0),MATCH(M$162,OP_Rates_RES_2[#Headers],0)),
INDEX(OP_RatesTU_RES_2[#Data],MATCH($C203,OP_RatesTU_RES_2[Rate name],0),MATCH(M$162,OP_RatesTU_RES_2[#Headers],0))),
IF($F203="Calculated",
INDEX(OP_Rates_SME_2[#Data],MATCH($C203,OP_Rates_SME_2[Rate name],0),MATCH(M$162,OP_Rates_SME_2[#Headers])),
INDEX(OP_RatesTU_SME_2[#Data],MATCH($C203,OP_RatesTU_SME_2[Rate name],0),MATCH(M$162,OP_RatesTU_SME_2[#Headers],0)))))</f>
        <v>0</v>
      </c>
      <c r="N203" s="295"/>
      <c r="O203" s="23" t="s">
        <v>691</v>
      </c>
      <c r="P203"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15920</v>
      </c>
    </row>
    <row r="204" spans="3:16" x14ac:dyDescent="0.25">
      <c r="C204" s="23" t="s">
        <v>549</v>
      </c>
      <c r="D204" s="23" t="s">
        <v>282</v>
      </c>
      <c r="E204" s="23" t="s">
        <v>259</v>
      </c>
      <c r="F204" s="23" t="s">
        <v>313</v>
      </c>
      <c r="G204" s="23" t="s">
        <v>93</v>
      </c>
      <c r="H204" s="23" t="s">
        <v>556</v>
      </c>
      <c r="I204" s="209">
        <f>IF($E204="VDO 2021 - Variation Final",
IF($G204="Residential",
INDEX(OP_TotalRates_RES_1[#Data],MATCH($C204,OP_TotalRates_RES_1[Rate name],0),MATCH(I$162,OP_TotalRates_RES_1[#Headers],0)),
INDEX(OP_TotalRates_SME_1[#Data],MATCH($C204,OP_TotalRates_SME_1[Rate name],0),MATCH(I$162,OP_TotalRates_SME_1[#Headers],0))),
IF($G204="Residential",
IF($F204="Calculated",
INDEX(OP_Rates_RES_2[#Data],MATCH($C204,OP_Rates_RES_2[Rate name],0),MATCH(I$162,OP_Rates_RES_2[#Headers],0)),
INDEX(OP_RatesTU_RES_2[#Data],MATCH($C204,OP_RatesTU_RES_2[Rate name],0),MATCH(I$162,OP_RatesTU_RES_2[#Headers],0))),
IF($F204="Calculated",
INDEX(OP_Rates_SME_2[#Data],MATCH($C204,OP_Rates_SME_2[Rate name],0),MATCH(I$162,OP_Rates_SME_2[#Headers])),
INDEX(OP_RatesTU_SME_2[#Data],MATCH($C204,OP_RatesTU_SME_2[Rate name],0),MATCH(I$162,OP_RatesTU_SME_2[#Headers],0)))))</f>
        <v>0</v>
      </c>
      <c r="J204" s="209">
        <f>IF($E204="VDO 2021 - Variation Final",
IF($G204="Residential",
INDEX(OP_TotalRates_RES_1[#Data],MATCH($C204,OP_TotalRates_RES_1[Rate name],0),MATCH(J$162,OP_TotalRates_RES_1[#Headers],0)),
INDEX(OP_TotalRates_SME_1[#Data],MATCH($C204,OP_TotalRates_SME_1[Rate name],0),MATCH(J$162,OP_TotalRates_SME_1[#Headers],0))),
IF($G204="Residential",
IF($F204="Calculated",
INDEX(OP_Rates_RES_2[#Data],MATCH($C204,OP_Rates_RES_2[Rate name],0),MATCH(J$162,OP_Rates_RES_2[#Headers],0)),
INDEX(OP_RatesTU_RES_2[#Data],MATCH($C204,OP_RatesTU_RES_2[Rate name],0),MATCH(J$162,OP_RatesTU_RES_2[#Headers],0))),
IF($F204="Calculated",
INDEX(OP_Rates_SME_2[#Data],MATCH($C204,OP_Rates_SME_2[Rate name],0),MATCH(J$162,OP_Rates_SME_2[#Headers])),
INDEX(OP_RatesTU_SME_2[#Data],MATCH($C204,OP_RatesTU_SME_2[Rate name],0),MATCH(J$162,OP_RatesTU_SME_2[#Headers],0)))))</f>
        <v>6.5518983001313221E-3</v>
      </c>
      <c r="K204" s="209">
        <f>IF($E204="VDO 2021 - Variation Final",
IF($G204="Residential",
INDEX(OP_TotalRates_RES_1[#Data],MATCH($C204,OP_TotalRates_RES_1[Rate name],0),MATCH(K$162,OP_TotalRates_RES_1[#Headers],0)),
INDEX(OP_TotalRates_SME_1[#Data],MATCH($C204,OP_TotalRates_SME_1[Rate name],0),MATCH(K$162,OP_TotalRates_SME_1[#Headers],0))),
IF($G204="Residential",
IF($F204="Calculated",
INDEX(OP_Rates_RES_2[#Data],MATCH($C204,OP_Rates_RES_2[Rate name],0),MATCH(K$162,OP_Rates_RES_2[#Headers],0)),
INDEX(OP_RatesTU_RES_2[#Data],MATCH($C204,OP_RatesTU_RES_2[Rate name],0),MATCH(K$162,OP_RatesTU_RES_2[#Headers],0))),
IF($F204="Calculated",
INDEX(OP_Rates_SME_2[#Data],MATCH($C204,OP_Rates_SME_2[Rate name],0),MATCH(K$162,OP_Rates_SME_2[#Headers])),
INDEX(OP_RatesTU_SME_2[#Data],MATCH($C204,OP_RatesTU_SME_2[Rate name],0),MATCH(K$162,OP_RatesTU_SME_2[#Headers],0)))))</f>
        <v>6.4834552967827147E-3</v>
      </c>
      <c r="L204" s="209">
        <f>IF($E204="VDO 2021 - Variation Final",
IF($G204="Residential",
INDEX(OP_TotalRates_RES_1[#Data],MATCH($C204,OP_TotalRates_RES_1[Rate name],0),MATCH(L$162,OP_TotalRates_RES_1[#Headers],0)),
INDEX(OP_TotalRates_SME_1[#Data],MATCH($C204,OP_TotalRates_SME_1[Rate name],0),MATCH(L$162,OP_TotalRates_SME_1[#Headers],0))),
IF($G204="Residential",
IF($F204="Calculated",
INDEX(OP_Rates_RES_2[#Data],MATCH($C204,OP_Rates_RES_2[Rate name],0),MATCH(L$162,OP_Rates_RES_2[#Headers],0)),
INDEX(OP_RatesTU_RES_2[#Data],MATCH($C204,OP_RatesTU_RES_2[Rate name],0),MATCH(L$162,OP_RatesTU_RES_2[#Headers],0))),
IF($F204="Calculated",
INDEX(OP_Rates_SME_2[#Data],MATCH($C204,OP_Rates_SME_2[Rate name],0),MATCH(L$162,OP_Rates_SME_2[#Headers])),
INDEX(OP_RatesTU_SME_2[#Data],MATCH($C204,OP_RatesTU_SME_2[Rate name],0),MATCH(L$162,OP_RatesTU_SME_2[#Headers],0)))))</f>
        <v>6.6923795662660671E-3</v>
      </c>
      <c r="M204" s="209">
        <f>IF($E204="VDO 2021 - Variation Final",
IF($G204="Residential",
INDEX(OP_TotalRates_RES_1[#Data],MATCH($C204,OP_TotalRates_RES_1[Rate name],0),MATCH(M$162,OP_TotalRates_RES_1[#Headers],0)),
INDEX(OP_TotalRates_SME_1[#Data],MATCH($C204,OP_TotalRates_SME_1[Rate name],0),MATCH(M$162,OP_TotalRates_SME_1[#Headers],0))),
IF($G204="Residential",
IF($F204="Calculated",
INDEX(OP_Rates_RES_2[#Data],MATCH($C204,OP_Rates_RES_2[Rate name],0),MATCH(M$162,OP_Rates_RES_2[#Headers],0)),
INDEX(OP_RatesTU_RES_2[#Data],MATCH($C204,OP_RatesTU_RES_2[Rate name],0),MATCH(M$162,OP_RatesTU_RES_2[#Headers],0))),
IF($F204="Calculated",
INDEX(OP_Rates_SME_2[#Data],MATCH($C204,OP_Rates_SME_2[Rate name],0),MATCH(M$162,OP_Rates_SME_2[#Headers])),
INDEX(OP_RatesTU_SME_2[#Data],MATCH($C204,OP_RatesTU_SME_2[Rate name],0),MATCH(M$162,OP_RatesTU_SME_2[#Headers],0)))))</f>
        <v>6.5757968919376237E-3</v>
      </c>
      <c r="N204" s="295"/>
      <c r="O204" s="23" t="s">
        <v>691</v>
      </c>
      <c r="P204"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20000</v>
      </c>
    </row>
    <row r="205" spans="3:16" x14ac:dyDescent="0.25">
      <c r="C205" s="23" t="s">
        <v>557</v>
      </c>
      <c r="D205" s="23" t="s">
        <v>109</v>
      </c>
      <c r="E205" s="23" t="s">
        <v>259</v>
      </c>
      <c r="F205" s="23" t="s">
        <v>313</v>
      </c>
      <c r="G205" s="23" t="s">
        <v>93</v>
      </c>
      <c r="H205" s="23" t="s">
        <v>557</v>
      </c>
      <c r="I205" s="209">
        <f>IF($E205="VDO 2021 - Variation Final",
IF($G205="Residential",
INDEX(OP_TotalRates_RES_1[#Data],MATCH($C205,OP_TotalRates_RES_1[Rate name],0),MATCH(I$162,OP_TotalRates_RES_1[#Headers],0)),
INDEX(OP_TotalRates_SME_1[#Data],MATCH($C205,OP_TotalRates_SME_1[Rate name],0),MATCH(I$162,OP_TotalRates_SME_1[#Headers],0))),
IF($G205="Residential",
IF($F205="Calculated",
INDEX(OP_Rates_RES_2[#Data],MATCH($C205,OP_Rates_RES_2[Rate name],0),MATCH(I$162,OP_Rates_RES_2[#Headers],0)),
INDEX(OP_RatesTU_RES_2[#Data],MATCH($C205,OP_RatesTU_RES_2[Rate name],0),MATCH(I$162,OP_RatesTU_RES_2[#Headers],0))),
IF($F205="Calculated",
INDEX(OP_Rates_SME_2[#Data],MATCH($C205,OP_Rates_SME_2[Rate name],0),MATCH(I$162,OP_Rates_SME_2[#Headers])),
INDEX(OP_RatesTU_SME_2[#Data],MATCH($C205,OP_RatesTU_SME_2[Rate name],0),MATCH(I$162,OP_RatesTU_SME_2[#Headers],0)))))</f>
        <v>-0.32925474284111511</v>
      </c>
      <c r="J205" s="209">
        <f>IF($E205="VDO 2021 - Variation Final",
IF($G205="Residential",
INDEX(OP_TotalRates_RES_1[#Data],MATCH($C205,OP_TotalRates_RES_1[Rate name],0),MATCH(J$162,OP_TotalRates_RES_1[#Headers],0)),
INDEX(OP_TotalRates_SME_1[#Data],MATCH($C205,OP_TotalRates_SME_1[Rate name],0),MATCH(J$162,OP_TotalRates_SME_1[#Headers],0))),
IF($G205="Residential",
IF($F205="Calculated",
INDEX(OP_Rates_RES_2[#Data],MATCH($C205,OP_Rates_RES_2[Rate name],0),MATCH(J$162,OP_Rates_RES_2[#Headers],0)),
INDEX(OP_RatesTU_RES_2[#Data],MATCH($C205,OP_RatesTU_RES_2[Rate name],0),MATCH(J$162,OP_RatesTU_RES_2[#Headers],0))),
IF($F205="Calculated",
INDEX(OP_Rates_SME_2[#Data],MATCH($C205,OP_Rates_SME_2[Rate name],0),MATCH(J$162,OP_Rates_SME_2[#Headers])),
INDEX(OP_RatesTU_SME_2[#Data],MATCH($C205,OP_RatesTU_SME_2[Rate name],0),MATCH(J$162,OP_RatesTU_SME_2[#Headers],0)))))</f>
        <v>2.0161263023850056E-2</v>
      </c>
      <c r="K205" s="209">
        <f>IF($E205="VDO 2021 - Variation Final",
IF($G205="Residential",
INDEX(OP_TotalRates_RES_1[#Data],MATCH($C205,OP_TotalRates_RES_1[Rate name],0),MATCH(K$162,OP_TotalRates_RES_1[#Headers],0)),
INDEX(OP_TotalRates_SME_1[#Data],MATCH($C205,OP_TotalRates_SME_1[Rate name],0),MATCH(K$162,OP_TotalRates_SME_1[#Headers],0))),
IF($G205="Residential",
IF($F205="Calculated",
INDEX(OP_Rates_RES_2[#Data],MATCH($C205,OP_Rates_RES_2[Rate name],0),MATCH(K$162,OP_Rates_RES_2[#Headers],0)),
INDEX(OP_RatesTU_RES_2[#Data],MATCH($C205,OP_RatesTU_RES_2[Rate name],0),MATCH(K$162,OP_RatesTU_RES_2[#Headers],0))),
IF($F205="Calculated",
INDEX(OP_Rates_SME_2[#Data],MATCH($C205,OP_Rates_SME_2[Rate name],0),MATCH(K$162,OP_Rates_SME_2[#Headers])),
INDEX(OP_RatesTU_SME_2[#Data],MATCH($C205,OP_RatesTU_SME_2[Rate name],0),MATCH(K$162,OP_RatesTU_SME_2[#Headers],0)))))</f>
        <v>5.7153640043026116E-2</v>
      </c>
      <c r="L205" s="209">
        <f>IF($E205="VDO 2021 - Variation Final",
IF($G205="Residential",
INDEX(OP_TotalRates_RES_1[#Data],MATCH($C205,OP_TotalRates_RES_1[Rate name],0),MATCH(L$162,OP_TotalRates_RES_1[#Headers],0)),
INDEX(OP_TotalRates_SME_1[#Data],MATCH($C205,OP_TotalRates_SME_1[Rate name],0),MATCH(L$162,OP_TotalRates_SME_1[#Headers],0))),
IF($G205="Residential",
IF($F205="Calculated",
INDEX(OP_Rates_RES_2[#Data],MATCH($C205,OP_Rates_RES_2[Rate name],0),MATCH(L$162,OP_Rates_RES_2[#Headers],0)),
INDEX(OP_RatesTU_RES_2[#Data],MATCH($C205,OP_RatesTU_RES_2[Rate name],0),MATCH(L$162,OP_RatesTU_RES_2[#Headers],0))),
IF($F205="Calculated",
INDEX(OP_Rates_SME_2[#Data],MATCH($C205,OP_Rates_SME_2[Rate name],0),MATCH(L$162,OP_Rates_SME_2[#Headers])),
INDEX(OP_RatesTU_SME_2[#Data],MATCH($C205,OP_RatesTU_SME_2[Rate name],0),MATCH(L$162,OP_RatesTU_SME_2[#Headers],0)))))</f>
        <v>3.1607073842049929E-2</v>
      </c>
      <c r="M205" s="209">
        <f>IF($E205="VDO 2021 - Variation Final",
IF($G205="Residential",
INDEX(OP_TotalRates_RES_1[#Data],MATCH($C205,OP_TotalRates_RES_1[Rate name],0),MATCH(M$162,OP_TotalRates_RES_1[#Headers],0)),
INDEX(OP_TotalRates_SME_1[#Data],MATCH($C205,OP_TotalRates_SME_1[Rate name],0),MATCH(M$162,OP_TotalRates_SME_1[#Headers],0))),
IF($G205="Residential",
IF($F205="Calculated",
INDEX(OP_Rates_RES_2[#Data],MATCH($C205,OP_Rates_RES_2[Rate name],0),MATCH(M$162,OP_Rates_RES_2[#Headers],0)),
INDEX(OP_RatesTU_RES_2[#Data],MATCH($C205,OP_RatesTU_RES_2[Rate name],0),MATCH(M$162,OP_RatesTU_RES_2[#Headers],0))),
IF($F205="Calculated",
INDEX(OP_Rates_SME_2[#Data],MATCH($C205,OP_Rates_SME_2[Rate name],0),MATCH(M$162,OP_Rates_SME_2[#Headers])),
INDEX(OP_RatesTU_SME_2[#Data],MATCH($C205,OP_RatesTU_SME_2[Rate name],0),MATCH(M$162,OP_RatesTU_SME_2[#Headers],0)))))</f>
        <v>-3.4237314344040502E-2</v>
      </c>
      <c r="N205" s="295"/>
      <c r="O205" s="23" t="s">
        <v>427</v>
      </c>
      <c r="P205" s="23" t="e">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#N/A</v>
      </c>
    </row>
    <row r="206" spans="3:16" x14ac:dyDescent="0.25">
      <c r="C206" s="23" t="s">
        <v>230</v>
      </c>
      <c r="D206" s="23" t="s">
        <v>282</v>
      </c>
      <c r="E206" s="23" t="s">
        <v>259</v>
      </c>
      <c r="F206" s="23" t="s">
        <v>313</v>
      </c>
      <c r="G206" s="23" t="s">
        <v>93</v>
      </c>
      <c r="H206" s="23" t="s">
        <v>557</v>
      </c>
      <c r="I206" s="209">
        <f>IF($E206="VDO 2021 - Variation Final",
IF($G206="Residential",
INDEX(OP_TotalRates_RES_1[#Data],MATCH($C206,OP_TotalRates_RES_1[Rate name],0),MATCH(I$162,OP_TotalRates_RES_1[#Headers],0)),
INDEX(OP_TotalRates_SME_1[#Data],MATCH($C206,OP_TotalRates_SME_1[Rate name],0),MATCH(I$162,OP_TotalRates_SME_1[#Headers],0))),
IF($G206="Residential",
IF($F206="Calculated",
INDEX(OP_Rates_RES_2[#Data],MATCH($C206,OP_Rates_RES_2[Rate name],0),MATCH(I$162,OP_Rates_RES_2[#Headers],0)),
INDEX(OP_RatesTU_RES_2[#Data],MATCH($C206,OP_RatesTU_RES_2[Rate name],0),MATCH(I$162,OP_RatesTU_RES_2[#Headers],0))),
IF($F206="Calculated",
INDEX(OP_Rates_SME_2[#Data],MATCH($C206,OP_Rates_SME_2[Rate name],0),MATCH(I$162,OP_Rates_SME_2[#Headers])),
INDEX(OP_RatesTU_SME_2[#Data],MATCH($C206,OP_RatesTU_SME_2[Rate name],0),MATCH(I$162,OP_RatesTU_SME_2[#Headers],0)))))</f>
        <v>6.66713910181736E-3</v>
      </c>
      <c r="J206" s="209">
        <f>IF($E206="VDO 2021 - Variation Final",
IF($G206="Residential",
INDEX(OP_TotalRates_RES_1[#Data],MATCH($C206,OP_TotalRates_RES_1[Rate name],0),MATCH(J$162,OP_TotalRates_RES_1[#Headers],0)),
INDEX(OP_TotalRates_SME_1[#Data],MATCH($C206,OP_TotalRates_SME_1[Rate name],0),MATCH(J$162,OP_TotalRates_SME_1[#Headers],0))),
IF($G206="Residential",
IF($F206="Calculated",
INDEX(OP_Rates_RES_2[#Data],MATCH($C206,OP_Rates_RES_2[Rate name],0),MATCH(J$162,OP_Rates_RES_2[#Headers],0)),
INDEX(OP_RatesTU_RES_2[#Data],MATCH($C206,OP_RatesTU_RES_2[Rate name],0),MATCH(J$162,OP_RatesTU_RES_2[#Headers],0))),
IF($F206="Calculated",
INDEX(OP_Rates_SME_2[#Data],MATCH($C206,OP_Rates_SME_2[Rate name],0),MATCH(J$162,OP_Rates_SME_2[#Headers])),
INDEX(OP_RatesTU_SME_2[#Data],MATCH($C206,OP_RatesTU_SME_2[Rate name],0),MATCH(J$162,OP_RatesTU_SME_2[#Headers],0)))))</f>
        <v>6.5518983001313221E-3</v>
      </c>
      <c r="K206" s="209">
        <f>IF($E206="VDO 2021 - Variation Final",
IF($G206="Residential",
INDEX(OP_TotalRates_RES_1[#Data],MATCH($C206,OP_TotalRates_RES_1[Rate name],0),MATCH(K$162,OP_TotalRates_RES_1[#Headers],0)),
INDEX(OP_TotalRates_SME_1[#Data],MATCH($C206,OP_TotalRates_SME_1[Rate name],0),MATCH(K$162,OP_TotalRates_SME_1[#Headers],0))),
IF($G206="Residential",
IF($F206="Calculated",
INDEX(OP_Rates_RES_2[#Data],MATCH($C206,OP_Rates_RES_2[Rate name],0),MATCH(K$162,OP_Rates_RES_2[#Headers],0)),
INDEX(OP_RatesTU_RES_2[#Data],MATCH($C206,OP_RatesTU_RES_2[Rate name],0),MATCH(K$162,OP_RatesTU_RES_2[#Headers],0))),
IF($F206="Calculated",
INDEX(OP_Rates_SME_2[#Data],MATCH($C206,OP_Rates_SME_2[Rate name],0),MATCH(K$162,OP_Rates_SME_2[#Headers])),
INDEX(OP_RatesTU_SME_2[#Data],MATCH($C206,OP_RatesTU_SME_2[Rate name],0),MATCH(K$162,OP_RatesTU_SME_2[#Headers],0)))))</f>
        <v>6.4834552967827147E-3</v>
      </c>
      <c r="L206" s="209">
        <f>IF($E206="VDO 2021 - Variation Final",
IF($G206="Residential",
INDEX(OP_TotalRates_RES_1[#Data],MATCH($C206,OP_TotalRates_RES_1[Rate name],0),MATCH(L$162,OP_TotalRates_RES_1[#Headers],0)),
INDEX(OP_TotalRates_SME_1[#Data],MATCH($C206,OP_TotalRates_SME_1[Rate name],0),MATCH(L$162,OP_TotalRates_SME_1[#Headers],0))),
IF($G206="Residential",
IF($F206="Calculated",
INDEX(OP_Rates_RES_2[#Data],MATCH($C206,OP_Rates_RES_2[Rate name],0),MATCH(L$162,OP_Rates_RES_2[#Headers],0)),
INDEX(OP_RatesTU_RES_2[#Data],MATCH($C206,OP_RatesTU_RES_2[Rate name],0),MATCH(L$162,OP_RatesTU_RES_2[#Headers],0))),
IF($F206="Calculated",
INDEX(OP_Rates_SME_2[#Data],MATCH($C206,OP_Rates_SME_2[Rate name],0),MATCH(L$162,OP_Rates_SME_2[#Headers])),
INDEX(OP_RatesTU_SME_2[#Data],MATCH($C206,OP_RatesTU_SME_2[Rate name],0),MATCH(L$162,OP_RatesTU_SME_2[#Headers],0)))))</f>
        <v>6.6923795662660671E-3</v>
      </c>
      <c r="M206" s="209">
        <f>IF($E206="VDO 2021 - Variation Final",
IF($G206="Residential",
INDEX(OP_TotalRates_RES_1[#Data],MATCH($C206,OP_TotalRates_RES_1[Rate name],0),MATCH(M$162,OP_TotalRates_RES_1[#Headers],0)),
INDEX(OP_TotalRates_SME_1[#Data],MATCH($C206,OP_TotalRates_SME_1[Rate name],0),MATCH(M$162,OP_TotalRates_SME_1[#Headers],0))),
IF($G206="Residential",
IF($F206="Calculated",
INDEX(OP_Rates_RES_2[#Data],MATCH($C206,OP_Rates_RES_2[Rate name],0),MATCH(M$162,OP_Rates_RES_2[#Headers],0)),
INDEX(OP_RatesTU_RES_2[#Data],MATCH($C206,OP_RatesTU_RES_2[Rate name],0),MATCH(M$162,OP_RatesTU_RES_2[#Headers],0))),
IF($F206="Calculated",
INDEX(OP_Rates_SME_2[#Data],MATCH($C206,OP_Rates_SME_2[Rate name],0),MATCH(M$162,OP_Rates_SME_2[#Headers])),
INDEX(OP_RatesTU_SME_2[#Data],MATCH($C206,OP_RatesTU_SME_2[Rate name],0),MATCH(M$162,OP_RatesTU_SME_2[#Headers],0)))))</f>
        <v>6.5757968919376237E-3</v>
      </c>
      <c r="N206" s="295"/>
      <c r="O206" s="23" t="s">
        <v>691</v>
      </c>
      <c r="P206"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9800</v>
      </c>
    </row>
    <row r="207" spans="3:16" x14ac:dyDescent="0.25">
      <c r="C207" s="23" t="s">
        <v>609</v>
      </c>
      <c r="D207" s="23" t="s">
        <v>282</v>
      </c>
      <c r="E207" s="23" t="s">
        <v>259</v>
      </c>
      <c r="F207" s="23" t="s">
        <v>313</v>
      </c>
      <c r="G207" s="23" t="s">
        <v>93</v>
      </c>
      <c r="H207" s="23" t="s">
        <v>557</v>
      </c>
      <c r="I207" s="209">
        <f>IF($E207="VDO 2021 - Variation Final",
IF($G207="Residential",
INDEX(OP_TotalRates_RES_1[#Data],MATCH($C207,OP_TotalRates_RES_1[Rate name],0),MATCH(I$162,OP_TotalRates_RES_1[#Headers],0)),
INDEX(OP_TotalRates_SME_1[#Data],MATCH($C207,OP_TotalRates_SME_1[Rate name],0),MATCH(I$162,OP_TotalRates_SME_1[#Headers],0))),
IF($G207="Residential",
IF($F207="Calculated",
INDEX(OP_Rates_RES_2[#Data],MATCH($C207,OP_Rates_RES_2[Rate name],0),MATCH(I$162,OP_Rates_RES_2[#Headers],0)),
INDEX(OP_RatesTU_RES_2[#Data],MATCH($C207,OP_RatesTU_RES_2[Rate name],0),MATCH(I$162,OP_RatesTU_RES_2[#Headers],0))),
IF($F207="Calculated",
INDEX(OP_Rates_SME_2[#Data],MATCH($C207,OP_Rates_SME_2[Rate name],0),MATCH(I$162,OP_Rates_SME_2[#Headers])),
INDEX(OP_RatesTU_SME_2[#Data],MATCH($C207,OP_RatesTU_SME_2[Rate name],0),MATCH(I$162,OP_RatesTU_SME_2[#Headers],0)))))</f>
        <v>6.66713910181736E-3</v>
      </c>
      <c r="J207" s="209">
        <f>IF($E207="VDO 2021 - Variation Final",
IF($G207="Residential",
INDEX(OP_TotalRates_RES_1[#Data],MATCH($C207,OP_TotalRates_RES_1[Rate name],0),MATCH(J$162,OP_TotalRates_RES_1[#Headers],0)),
INDEX(OP_TotalRates_SME_1[#Data],MATCH($C207,OP_TotalRates_SME_1[Rate name],0),MATCH(J$162,OP_TotalRates_SME_1[#Headers],0))),
IF($G207="Residential",
IF($F207="Calculated",
INDEX(OP_Rates_RES_2[#Data],MATCH($C207,OP_Rates_RES_2[Rate name],0),MATCH(J$162,OP_Rates_RES_2[#Headers],0)),
INDEX(OP_RatesTU_RES_2[#Data],MATCH($C207,OP_RatesTU_RES_2[Rate name],0),MATCH(J$162,OP_RatesTU_RES_2[#Headers],0))),
IF($F207="Calculated",
INDEX(OP_Rates_SME_2[#Data],MATCH($C207,OP_Rates_SME_2[Rate name],0),MATCH(J$162,OP_Rates_SME_2[#Headers])),
INDEX(OP_RatesTU_SME_2[#Data],MATCH($C207,OP_RatesTU_SME_2[Rate name],0),MATCH(J$162,OP_RatesTU_SME_2[#Headers],0)))))</f>
        <v>6.5518983001313221E-3</v>
      </c>
      <c r="K207" s="209">
        <f>IF($E207="VDO 2021 - Variation Final",
IF($G207="Residential",
INDEX(OP_TotalRates_RES_1[#Data],MATCH($C207,OP_TotalRates_RES_1[Rate name],0),MATCH(K$162,OP_TotalRates_RES_1[#Headers],0)),
INDEX(OP_TotalRates_SME_1[#Data],MATCH($C207,OP_TotalRates_SME_1[Rate name],0),MATCH(K$162,OP_TotalRates_SME_1[#Headers],0))),
IF($G207="Residential",
IF($F207="Calculated",
INDEX(OP_Rates_RES_2[#Data],MATCH($C207,OP_Rates_RES_2[Rate name],0),MATCH(K$162,OP_Rates_RES_2[#Headers],0)),
INDEX(OP_RatesTU_RES_2[#Data],MATCH($C207,OP_RatesTU_RES_2[Rate name],0),MATCH(K$162,OP_RatesTU_RES_2[#Headers],0))),
IF($F207="Calculated",
INDEX(OP_Rates_SME_2[#Data],MATCH($C207,OP_Rates_SME_2[Rate name],0),MATCH(K$162,OP_Rates_SME_2[#Headers])),
INDEX(OP_RatesTU_SME_2[#Data],MATCH($C207,OP_RatesTU_SME_2[Rate name],0),MATCH(K$162,OP_RatesTU_SME_2[#Headers],0)))))</f>
        <v>6.4834552967827147E-3</v>
      </c>
      <c r="L207" s="209">
        <f>IF($E207="VDO 2021 - Variation Final",
IF($G207="Residential",
INDEX(OP_TotalRates_RES_1[#Data],MATCH($C207,OP_TotalRates_RES_1[Rate name],0),MATCH(L$162,OP_TotalRates_RES_1[#Headers],0)),
INDEX(OP_TotalRates_SME_1[#Data],MATCH($C207,OP_TotalRates_SME_1[Rate name],0),MATCH(L$162,OP_TotalRates_SME_1[#Headers],0))),
IF($G207="Residential",
IF($F207="Calculated",
INDEX(OP_Rates_RES_2[#Data],MATCH($C207,OP_Rates_RES_2[Rate name],0),MATCH(L$162,OP_Rates_RES_2[#Headers],0)),
INDEX(OP_RatesTU_RES_2[#Data],MATCH($C207,OP_RatesTU_RES_2[Rate name],0),MATCH(L$162,OP_RatesTU_RES_2[#Headers],0))),
IF($F207="Calculated",
INDEX(OP_Rates_SME_2[#Data],MATCH($C207,OP_Rates_SME_2[Rate name],0),MATCH(L$162,OP_Rates_SME_2[#Headers])),
INDEX(OP_RatesTU_SME_2[#Data],MATCH($C207,OP_RatesTU_SME_2[Rate name],0),MATCH(L$162,OP_RatesTU_SME_2[#Headers],0)))))</f>
        <v>6.6923795662660671E-3</v>
      </c>
      <c r="M207" s="209">
        <f>IF($E207="VDO 2021 - Variation Final",
IF($G207="Residential",
INDEX(OP_TotalRates_RES_1[#Data],MATCH($C207,OP_TotalRates_RES_1[Rate name],0),MATCH(M$162,OP_TotalRates_RES_1[#Headers],0)),
INDEX(OP_TotalRates_SME_1[#Data],MATCH($C207,OP_TotalRates_SME_1[Rate name],0),MATCH(M$162,OP_TotalRates_SME_1[#Headers],0))),
IF($G207="Residential",
IF($F207="Calculated",
INDEX(OP_Rates_RES_2[#Data],MATCH($C207,OP_Rates_RES_2[Rate name],0),MATCH(M$162,OP_Rates_RES_2[#Headers],0)),
INDEX(OP_RatesTU_RES_2[#Data],MATCH($C207,OP_RatesTU_RES_2[Rate name],0),MATCH(M$162,OP_RatesTU_RES_2[#Headers],0))),
IF($F207="Calculated",
INDEX(OP_Rates_SME_2[#Data],MATCH($C207,OP_Rates_SME_2[Rate name],0),MATCH(M$162,OP_Rates_SME_2[#Headers])),
INDEX(OP_RatesTU_SME_2[#Data],MATCH($C207,OP_RatesTU_SME_2[Rate name],0),MATCH(M$162,OP_RatesTU_SME_2[#Headers],0)))))</f>
        <v>6.5757968919376237E-3</v>
      </c>
      <c r="N207" s="295"/>
      <c r="O207" s="23" t="s">
        <v>691</v>
      </c>
      <c r="P207"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10200</v>
      </c>
    </row>
    <row r="208" spans="3:16" x14ac:dyDescent="0.25">
      <c r="C208" s="23" t="s">
        <v>287</v>
      </c>
      <c r="D208" s="23" t="s">
        <v>282</v>
      </c>
      <c r="E208" s="23" t="s">
        <v>259</v>
      </c>
      <c r="F208" s="23" t="s">
        <v>313</v>
      </c>
      <c r="G208" s="23" t="s">
        <v>92</v>
      </c>
      <c r="H208" s="23" t="s">
        <v>697</v>
      </c>
      <c r="I208" s="209">
        <f>OP_Rates!G112</f>
        <v>6.66713910181736E-3</v>
      </c>
      <c r="J208" s="209">
        <f>OP_Rates!H112</f>
        <v>6.5518983001313221E-3</v>
      </c>
      <c r="K208" s="209">
        <f>OP_Rates!I112</f>
        <v>6.4834552967827147E-3</v>
      </c>
      <c r="L208" s="209">
        <f>OP_Rates!J112</f>
        <v>6.6923795662660671E-3</v>
      </c>
      <c r="M208" s="209">
        <f>OP_Rates!K112</f>
        <v>6.5757968919376237E-3</v>
      </c>
      <c r="N208" s="295"/>
      <c r="O208" s="23" t="s">
        <v>691</v>
      </c>
      <c r="P208" s="343" t="e">
        <f>SUMIFS(INDEX(Input_Usage[[F-PreviousVDO_Input]:[F-CurrentVDO_Input]],0,MATCH($E208,Inputs!$I$134:$M$134,0)),Input_Usage[Usage type],$C208,Input_Usage[Profile name],$G208&amp;" - medium")*INDEX(Input_TU_Periods[[F-PreviousVDO_Input]:[F-CurrentVDO_Input]],1,MATCH("F-NextVDO_Input",Input_TU_Periods[[#Headers],[F-PreviousVDO_Input]:[F-CurrentVDO_Input]],0))/DiY</f>
        <v>#N/A</v>
      </c>
    </row>
    <row r="210" spans="3:15" ht="15.75" x14ac:dyDescent="0.25">
      <c r="C210" s="29" t="s">
        <v>318</v>
      </c>
      <c r="D210" s="130"/>
      <c r="E210" s="130"/>
      <c r="F210" s="130"/>
      <c r="G210" s="130"/>
      <c r="H210" s="130"/>
      <c r="I210" s="130"/>
      <c r="J210" s="130"/>
      <c r="K210" s="130"/>
      <c r="L210" s="130"/>
    </row>
    <row r="211" spans="3:15" ht="15.75" x14ac:dyDescent="0.25">
      <c r="C211" s="277" t="s">
        <v>331</v>
      </c>
      <c r="D211" s="277" t="s">
        <v>103</v>
      </c>
      <c r="E211" s="277" t="s">
        <v>587</v>
      </c>
      <c r="F211" s="277" t="s">
        <v>520</v>
      </c>
      <c r="G211" s="277" t="s">
        <v>91</v>
      </c>
      <c r="H211" s="277" t="s">
        <v>454</v>
      </c>
      <c r="I211" s="60" t="s">
        <v>268</v>
      </c>
      <c r="J211" s="277" t="s">
        <v>269</v>
      </c>
      <c r="K211" s="277" t="s">
        <v>270</v>
      </c>
      <c r="L211" s="277" t="s">
        <v>271</v>
      </c>
      <c r="M211" s="277" t="s">
        <v>272</v>
      </c>
    </row>
    <row r="212" spans="3:15" x14ac:dyDescent="0.25">
      <c r="C212" s="23" t="s">
        <v>550</v>
      </c>
      <c r="D212" s="23" t="s">
        <v>109</v>
      </c>
      <c r="E212" s="23" t="s">
        <v>410</v>
      </c>
      <c r="F212" s="23" t="s">
        <v>750</v>
      </c>
      <c r="G212" s="23" t="s">
        <v>92</v>
      </c>
      <c r="H212" s="23" t="s">
        <v>556</v>
      </c>
      <c r="I212"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222.81100000000001</v>
      </c>
      <c r="J212"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204.58430000000001</v>
      </c>
      <c r="K212"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196.20400000000001</v>
      </c>
      <c r="L212"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231.69810000000001</v>
      </c>
      <c r="M212"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187.98659999999998</v>
      </c>
      <c r="O212" s="87"/>
    </row>
    <row r="213" spans="3:15" x14ac:dyDescent="0.25">
      <c r="C213" s="23" t="s">
        <v>221</v>
      </c>
      <c r="D213" s="23" t="s">
        <v>109</v>
      </c>
      <c r="E213" s="23" t="s">
        <v>410</v>
      </c>
      <c r="F213" s="23" t="s">
        <v>750</v>
      </c>
      <c r="G213" s="23" t="s">
        <v>92</v>
      </c>
      <c r="H213" s="23" t="s">
        <v>556</v>
      </c>
      <c r="I213"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1076.8</v>
      </c>
      <c r="J213"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13"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13"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13"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14" spans="3:15" x14ac:dyDescent="0.25">
      <c r="C214" s="23" t="s">
        <v>228</v>
      </c>
      <c r="D214" s="23" t="s">
        <v>109</v>
      </c>
      <c r="E214" s="23" t="s">
        <v>410</v>
      </c>
      <c r="F214" s="23" t="s">
        <v>750</v>
      </c>
      <c r="G214" s="23" t="s">
        <v>92</v>
      </c>
      <c r="H214" s="23" t="s">
        <v>556</v>
      </c>
      <c r="I214"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J214"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14"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14"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14"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15" spans="3:15" x14ac:dyDescent="0.25">
      <c r="C215" s="23" t="s">
        <v>549</v>
      </c>
      <c r="D215" s="23" t="s">
        <v>109</v>
      </c>
      <c r="E215" s="23" t="s">
        <v>410</v>
      </c>
      <c r="F215" s="23" t="s">
        <v>750</v>
      </c>
      <c r="G215" s="23" t="s">
        <v>92</v>
      </c>
      <c r="H215" s="23" t="s">
        <v>556</v>
      </c>
      <c r="I215"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J215"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872</v>
      </c>
      <c r="K215"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932</v>
      </c>
      <c r="L215"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910.4</v>
      </c>
      <c r="M215"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900</v>
      </c>
    </row>
    <row r="216" spans="3:15" x14ac:dyDescent="0.25">
      <c r="C216" s="23" t="s">
        <v>551</v>
      </c>
      <c r="D216" s="23" t="s">
        <v>109</v>
      </c>
      <c r="E216" s="23" t="s">
        <v>410</v>
      </c>
      <c r="F216" s="23" t="s">
        <v>750</v>
      </c>
      <c r="G216" s="23" t="s">
        <v>92</v>
      </c>
      <c r="H216" s="23" t="s">
        <v>557</v>
      </c>
      <c r="I216"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222.81100000000001</v>
      </c>
      <c r="J216"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204.58430000000001</v>
      </c>
      <c r="K216"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196.20400000000001</v>
      </c>
      <c r="L216"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231.69810000000001</v>
      </c>
      <c r="M216"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187.98659999999998</v>
      </c>
    </row>
    <row r="217" spans="3:15" x14ac:dyDescent="0.25">
      <c r="C217" s="23" t="s">
        <v>230</v>
      </c>
      <c r="D217" s="23" t="s">
        <v>109</v>
      </c>
      <c r="E217" s="23" t="s">
        <v>410</v>
      </c>
      <c r="F217" s="23" t="s">
        <v>750</v>
      </c>
      <c r="G217" s="23" t="s">
        <v>92</v>
      </c>
      <c r="H217" s="23" t="s">
        <v>557</v>
      </c>
      <c r="I217"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500.14800000000002</v>
      </c>
      <c r="J217"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409.33199999999999</v>
      </c>
      <c r="K217"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381.74400000000003</v>
      </c>
      <c r="L217"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419.23199999999997</v>
      </c>
      <c r="M217"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417.12</v>
      </c>
    </row>
    <row r="218" spans="3:15" x14ac:dyDescent="0.25">
      <c r="C218" s="23" t="s">
        <v>609</v>
      </c>
      <c r="D218" s="23" t="s">
        <v>109</v>
      </c>
      <c r="E218" s="23" t="s">
        <v>410</v>
      </c>
      <c r="F218" s="23" t="s">
        <v>750</v>
      </c>
      <c r="G218" s="23" t="s">
        <v>92</v>
      </c>
      <c r="H218" s="23" t="s">
        <v>557</v>
      </c>
      <c r="I218"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499.28399999999999</v>
      </c>
      <c r="J218"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457.20800000000003</v>
      </c>
      <c r="K218"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474.89600000000002</v>
      </c>
      <c r="L218"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478.916</v>
      </c>
      <c r="M218"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476.77199999999999</v>
      </c>
    </row>
    <row r="219" spans="3:15" x14ac:dyDescent="0.25">
      <c r="C219" s="23" t="s">
        <v>287</v>
      </c>
      <c r="D219" s="23" t="s">
        <v>109</v>
      </c>
      <c r="E219" s="23" t="s">
        <v>410</v>
      </c>
      <c r="F219" s="23" t="s">
        <v>750</v>
      </c>
      <c r="G219" s="23" t="s">
        <v>92</v>
      </c>
      <c r="H219" s="23" t="s">
        <v>697</v>
      </c>
      <c r="I219"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370.59999999999997</v>
      </c>
      <c r="J219"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306</v>
      </c>
      <c r="K219"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347.8</v>
      </c>
      <c r="L219"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320.79999999999995</v>
      </c>
      <c r="M219"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314.2</v>
      </c>
    </row>
    <row r="220" spans="3:15" x14ac:dyDescent="0.25">
      <c r="C220" s="23" t="s">
        <v>550</v>
      </c>
      <c r="D220" s="23" t="s">
        <v>109</v>
      </c>
      <c r="E220" s="23" t="s">
        <v>410</v>
      </c>
      <c r="F220" s="23" t="s">
        <v>750</v>
      </c>
      <c r="G220" s="23" t="s">
        <v>93</v>
      </c>
      <c r="H220" s="23" t="s">
        <v>556</v>
      </c>
      <c r="I220"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222.81100000000001</v>
      </c>
      <c r="J220"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245.09210000000002</v>
      </c>
      <c r="K220"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226.43099999999998</v>
      </c>
      <c r="L220"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254.82989999999998</v>
      </c>
      <c r="M220"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211.11840000000001</v>
      </c>
    </row>
    <row r="221" spans="3:15" x14ac:dyDescent="0.25">
      <c r="C221" s="23" t="s">
        <v>221</v>
      </c>
      <c r="D221" s="23" t="s">
        <v>109</v>
      </c>
      <c r="E221" s="23" t="s">
        <v>410</v>
      </c>
      <c r="F221" s="23" t="s">
        <v>750</v>
      </c>
      <c r="G221" s="23" t="s">
        <v>93</v>
      </c>
      <c r="H221" s="23" t="s">
        <v>556</v>
      </c>
      <c r="I221"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1231.752</v>
      </c>
      <c r="J221"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21"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21"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21"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22" spans="3:15" x14ac:dyDescent="0.25">
      <c r="C222" s="23" t="s">
        <v>228</v>
      </c>
      <c r="D222" s="23" t="s">
        <v>109</v>
      </c>
      <c r="E222" s="23" t="s">
        <v>410</v>
      </c>
      <c r="F222" s="23" t="s">
        <v>750</v>
      </c>
      <c r="G222" s="23" t="s">
        <v>93</v>
      </c>
      <c r="H222" s="23" t="s">
        <v>556</v>
      </c>
      <c r="I222"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5312.5039999999999</v>
      </c>
      <c r="J222"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22"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22"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22"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23" spans="3:15" x14ac:dyDescent="0.25">
      <c r="C223" s="23" t="s">
        <v>549</v>
      </c>
      <c r="D223" s="23" t="s">
        <v>109</v>
      </c>
      <c r="E223" s="23" t="s">
        <v>410</v>
      </c>
      <c r="F223" s="23" t="s">
        <v>750</v>
      </c>
      <c r="G223" s="23" t="s">
        <v>93</v>
      </c>
      <c r="H223" s="23" t="s">
        <v>556</v>
      </c>
      <c r="I223"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J223"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4302</v>
      </c>
      <c r="K223"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4912</v>
      </c>
      <c r="L223"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4532</v>
      </c>
      <c r="M223"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4438</v>
      </c>
    </row>
    <row r="224" spans="3:15" x14ac:dyDescent="0.25">
      <c r="C224" s="23" t="s">
        <v>551</v>
      </c>
      <c r="D224" s="23" t="s">
        <v>109</v>
      </c>
      <c r="E224" s="23" t="s">
        <v>410</v>
      </c>
      <c r="F224" s="23" t="s">
        <v>750</v>
      </c>
      <c r="G224" s="23" t="s">
        <v>93</v>
      </c>
      <c r="H224" s="23" t="s">
        <v>557</v>
      </c>
      <c r="I224"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222.81100000000001</v>
      </c>
      <c r="J224"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245.09210000000002</v>
      </c>
      <c r="K224"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288.7131</v>
      </c>
      <c r="L224"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254.82989999999998</v>
      </c>
      <c r="M224"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211.11840000000001</v>
      </c>
    </row>
    <row r="225" spans="3:13" x14ac:dyDescent="0.25">
      <c r="C225" s="23" t="s">
        <v>230</v>
      </c>
      <c r="D225" s="23" t="s">
        <v>109</v>
      </c>
      <c r="E225" s="23" t="s">
        <v>410</v>
      </c>
      <c r="F225" s="23" t="s">
        <v>750</v>
      </c>
      <c r="G225" s="23" t="s">
        <v>93</v>
      </c>
      <c r="H225" s="23" t="s">
        <v>557</v>
      </c>
      <c r="I225"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3184.0200000000004</v>
      </c>
      <c r="J225"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2657.7599999999998</v>
      </c>
      <c r="K225"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2791.04</v>
      </c>
      <c r="L225"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2844.94</v>
      </c>
      <c r="M225"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2768.4999999999995</v>
      </c>
    </row>
    <row r="226" spans="3:13" x14ac:dyDescent="0.25">
      <c r="C226" s="23" t="s">
        <v>609</v>
      </c>
      <c r="D226" s="23" t="s">
        <v>109</v>
      </c>
      <c r="E226" s="23" t="s">
        <v>410</v>
      </c>
      <c r="F226" s="23" t="s">
        <v>750</v>
      </c>
      <c r="G226" s="23" t="s">
        <v>93</v>
      </c>
      <c r="H226" s="23" t="s">
        <v>557</v>
      </c>
      <c r="I226"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1738.08</v>
      </c>
      <c r="J226"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1560.6</v>
      </c>
      <c r="K226"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1562.64</v>
      </c>
      <c r="L226"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1596.3</v>
      </c>
      <c r="M226"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1587.12</v>
      </c>
    </row>
    <row r="227" spans="3:13" x14ac:dyDescent="0.25">
      <c r="C227" s="23" t="s">
        <v>550</v>
      </c>
      <c r="D227" s="23" t="s">
        <v>109</v>
      </c>
      <c r="E227" s="23" t="s">
        <v>259</v>
      </c>
      <c r="F227" s="23" t="s">
        <v>750</v>
      </c>
      <c r="G227" s="23" t="s">
        <v>92</v>
      </c>
      <c r="H227" s="23" t="s">
        <v>556</v>
      </c>
      <c r="I227"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216.1251499330717</v>
      </c>
      <c r="J227"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201.43254066830454</v>
      </c>
      <c r="K227"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193.89969351838675</v>
      </c>
      <c r="L227"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229.52584380896207</v>
      </c>
      <c r="M227"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186.11523087970181</v>
      </c>
    </row>
    <row r="228" spans="3:13" x14ac:dyDescent="0.25">
      <c r="C228" s="23" t="s">
        <v>221</v>
      </c>
      <c r="D228" s="23" t="s">
        <v>109</v>
      </c>
      <c r="E228" s="23" t="s">
        <v>259</v>
      </c>
      <c r="F228" s="23" t="s">
        <v>750</v>
      </c>
      <c r="G228" s="23" t="s">
        <v>92</v>
      </c>
      <c r="H228" s="23" t="s">
        <v>556</v>
      </c>
      <c r="I228"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1032.9320952372832</v>
      </c>
      <c r="J228"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28"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28"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28"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29" spans="3:13" x14ac:dyDescent="0.25">
      <c r="C229" s="23" t="s">
        <v>228</v>
      </c>
      <c r="D229" s="23" t="s">
        <v>109</v>
      </c>
      <c r="E229" s="23" t="s">
        <v>259</v>
      </c>
      <c r="F229" s="23" t="s">
        <v>750</v>
      </c>
      <c r="G229" s="23" t="s">
        <v>92</v>
      </c>
      <c r="H229" s="23" t="s">
        <v>556</v>
      </c>
      <c r="I229"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J229"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29"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29"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29"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30" spans="3:13" x14ac:dyDescent="0.25">
      <c r="C230" s="23" t="s">
        <v>549</v>
      </c>
      <c r="D230" s="23" t="s">
        <v>109</v>
      </c>
      <c r="E230" s="23" t="s">
        <v>259</v>
      </c>
      <c r="F230" s="23" t="s">
        <v>750</v>
      </c>
      <c r="G230" s="23" t="s">
        <v>92</v>
      </c>
      <c r="H230" s="23" t="s">
        <v>556</v>
      </c>
      <c r="I230"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J230"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841.99805697152783</v>
      </c>
      <c r="K230"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897.03473709252671</v>
      </c>
      <c r="L230"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867.13751263086624</v>
      </c>
      <c r="M230"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870.61290996020944</v>
      </c>
    </row>
    <row r="231" spans="3:13" x14ac:dyDescent="0.25">
      <c r="C231" s="23" t="s">
        <v>551</v>
      </c>
      <c r="D231" s="23" t="s">
        <v>109</v>
      </c>
      <c r="E231" s="23" t="s">
        <v>259</v>
      </c>
      <c r="F231" s="23" t="s">
        <v>750</v>
      </c>
      <c r="G231" s="23" t="s">
        <v>92</v>
      </c>
      <c r="H231" s="23" t="s">
        <v>557</v>
      </c>
      <c r="I231"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216.1251499330717</v>
      </c>
      <c r="J231"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201.43254066830454</v>
      </c>
      <c r="K231"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193.89969351838675</v>
      </c>
      <c r="L231"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229.52584380896207</v>
      </c>
      <c r="M231"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186.11523087970181</v>
      </c>
    </row>
    <row r="232" spans="3:13" x14ac:dyDescent="0.25">
      <c r="C232" s="23" t="s">
        <v>230</v>
      </c>
      <c r="D232" s="23" t="s">
        <v>109</v>
      </c>
      <c r="E232" s="23" t="s">
        <v>259</v>
      </c>
      <c r="F232" s="23" t="s">
        <v>750</v>
      </c>
      <c r="G232" s="23" t="s">
        <v>92</v>
      </c>
      <c r="H232" s="23" t="s">
        <v>557</v>
      </c>
      <c r="I232"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485.64411795150335</v>
      </c>
      <c r="J232"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399.34175192060417</v>
      </c>
      <c r="K232"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370.26583581653381</v>
      </c>
      <c r="L232"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405.0202809281858</v>
      </c>
      <c r="M232"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407.39892268686907</v>
      </c>
    </row>
    <row r="233" spans="3:13" x14ac:dyDescent="0.25">
      <c r="C233" s="23" t="s">
        <v>609</v>
      </c>
      <c r="D233" s="23" t="s">
        <v>109</v>
      </c>
      <c r="E233" s="23" t="s">
        <v>259</v>
      </c>
      <c r="F233" s="23" t="s">
        <v>750</v>
      </c>
      <c r="G233" s="23" t="s">
        <v>92</v>
      </c>
      <c r="H233" s="23" t="s">
        <v>557</v>
      </c>
      <c r="I233"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469.85171163617963</v>
      </c>
      <c r="J233"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436.90808873092368</v>
      </c>
      <c r="K233"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451.58764409199284</v>
      </c>
      <c r="L233"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450.00025298268037</v>
      </c>
      <c r="M233"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457.01785799334039</v>
      </c>
    </row>
    <row r="234" spans="3:13" x14ac:dyDescent="0.25">
      <c r="C234" s="23" t="s">
        <v>287</v>
      </c>
      <c r="D234" s="23" t="s">
        <v>109</v>
      </c>
      <c r="E234" s="23" t="s">
        <v>259</v>
      </c>
      <c r="F234" s="23" t="s">
        <v>750</v>
      </c>
      <c r="G234" s="23" t="s">
        <v>92</v>
      </c>
      <c r="H234" s="23" t="s">
        <v>697</v>
      </c>
      <c r="I234"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348.77863321864146</v>
      </c>
      <c r="J234"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290.8243244857639</v>
      </c>
      <c r="K234"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330.21702374626329</v>
      </c>
      <c r="L234"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299.19486831543315</v>
      </c>
      <c r="M234"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299.53283898010477</v>
      </c>
    </row>
    <row r="235" spans="3:13" x14ac:dyDescent="0.25">
      <c r="C235" s="23" t="s">
        <v>550</v>
      </c>
      <c r="D235" s="23" t="s">
        <v>109</v>
      </c>
      <c r="E235" s="23" t="s">
        <v>259</v>
      </c>
      <c r="F235" s="23" t="s">
        <v>750</v>
      </c>
      <c r="G235" s="23" t="s">
        <v>93</v>
      </c>
      <c r="H235" s="23" t="s">
        <v>556</v>
      </c>
      <c r="I235"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216.1251499330717</v>
      </c>
      <c r="J235"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241.92643842030455</v>
      </c>
      <c r="K235"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224.13404201920864</v>
      </c>
      <c r="L235"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252.66521395296203</v>
      </c>
      <c r="M235"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209.25460102370178</v>
      </c>
    </row>
    <row r="236" spans="3:13" x14ac:dyDescent="0.25">
      <c r="C236" s="23" t="s">
        <v>221</v>
      </c>
      <c r="D236" s="23" t="s">
        <v>109</v>
      </c>
      <c r="E236" s="23" t="s">
        <v>259</v>
      </c>
      <c r="F236" s="23" t="s">
        <v>750</v>
      </c>
      <c r="G236" s="23" t="s">
        <v>93</v>
      </c>
      <c r="H236" s="23" t="s">
        <v>556</v>
      </c>
      <c r="I236"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1203.4623911467886</v>
      </c>
      <c r="J236"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36"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36"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36"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37" spans="3:13" x14ac:dyDescent="0.25">
      <c r="C237" s="23" t="s">
        <v>228</v>
      </c>
      <c r="D237" s="23" t="s">
        <v>109</v>
      </c>
      <c r="E237" s="23" t="s">
        <v>259</v>
      </c>
      <c r="F237" s="23" t="s">
        <v>750</v>
      </c>
      <c r="G237" s="23" t="s">
        <v>93</v>
      </c>
      <c r="H237" s="23" t="s">
        <v>556</v>
      </c>
      <c r="I237"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5202.4637179199954</v>
      </c>
      <c r="J237"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37"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37"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37"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38" spans="3:13" x14ac:dyDescent="0.25">
      <c r="C238" s="23" t="s">
        <v>549</v>
      </c>
      <c r="D238" s="23" t="s">
        <v>109</v>
      </c>
      <c r="E238" s="23" t="s">
        <v>259</v>
      </c>
      <c r="F238" s="23" t="s">
        <v>750</v>
      </c>
      <c r="G238" s="23" t="s">
        <v>93</v>
      </c>
      <c r="H238" s="23" t="s">
        <v>556</v>
      </c>
      <c r="I238"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J238"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4150.2766398980266</v>
      </c>
      <c r="K238"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4784.8733743453959</v>
      </c>
      <c r="L238"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4380.9083706849615</v>
      </c>
      <c r="M238"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4318.6932668085838</v>
      </c>
    </row>
    <row r="239" spans="3:13" x14ac:dyDescent="0.25">
      <c r="C239" s="23" t="s">
        <v>551</v>
      </c>
      <c r="D239" s="23" t="s">
        <v>109</v>
      </c>
      <c r="E239" s="23" t="s">
        <v>259</v>
      </c>
      <c r="F239" s="23" t="s">
        <v>750</v>
      </c>
      <c r="G239" s="23" t="s">
        <v>93</v>
      </c>
      <c r="H239" s="23" t="s">
        <v>557</v>
      </c>
      <c r="I239"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216.1251499330717</v>
      </c>
      <c r="J239"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241.92643842030455</v>
      </c>
      <c r="K239"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286.40627257022231</v>
      </c>
      <c r="L239"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252.66521395296203</v>
      </c>
      <c r="M239"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209.25460102370178</v>
      </c>
    </row>
    <row r="240" spans="3:13" x14ac:dyDescent="0.25">
      <c r="C240" s="23" t="s">
        <v>230</v>
      </c>
      <c r="D240" s="23" t="s">
        <v>109</v>
      </c>
      <c r="E240" s="23" t="s">
        <v>259</v>
      </c>
      <c r="F240" s="23" t="s">
        <v>750</v>
      </c>
      <c r="G240" s="23" t="s">
        <v>93</v>
      </c>
      <c r="H240" s="23" t="s">
        <v>557</v>
      </c>
      <c r="I240"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3115.8738064430136</v>
      </c>
      <c r="J240"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2583.4720407500322</v>
      </c>
      <c r="K240"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2728.444694389244</v>
      </c>
      <c r="L240"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2770.7838168356311</v>
      </c>
      <c r="M240"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2710.5775247362058</v>
      </c>
    </row>
    <row r="241" spans="3:13" x14ac:dyDescent="0.25">
      <c r="C241" s="44" t="s">
        <v>609</v>
      </c>
      <c r="D241" s="23" t="s">
        <v>109</v>
      </c>
      <c r="E241" s="44" t="s">
        <v>259</v>
      </c>
      <c r="F241" s="23" t="s">
        <v>750</v>
      </c>
      <c r="G241" s="44" t="s">
        <v>93</v>
      </c>
      <c r="H241" s="44" t="s">
        <v>557</v>
      </c>
      <c r="I241"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1667.4296096269723</v>
      </c>
      <c r="J241"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1483.6840847479932</v>
      </c>
      <c r="K241"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1497.8695544361519</v>
      </c>
      <c r="L241"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1519.2122202493304</v>
      </c>
      <c r="M241"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1526.7448876723777</v>
      </c>
    </row>
    <row r="242" spans="3:13" x14ac:dyDescent="0.25">
      <c r="C242" s="23" t="s">
        <v>556</v>
      </c>
      <c r="D242" s="23" t="s">
        <v>109</v>
      </c>
      <c r="E242" s="23" t="s">
        <v>259</v>
      </c>
      <c r="F242" s="23" t="s">
        <v>313</v>
      </c>
      <c r="G242" s="23" t="s">
        <v>92</v>
      </c>
      <c r="H242" s="23" t="s">
        <v>556</v>
      </c>
      <c r="I242" s="260" t="e">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J242" s="260" t="e">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K242" s="260" t="e">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L242" s="260" t="e">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M242" s="260" t="e">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row>
    <row r="243" spans="3:13" x14ac:dyDescent="0.25">
      <c r="C243" s="23" t="s">
        <v>221</v>
      </c>
      <c r="D243" s="23" t="s">
        <v>109</v>
      </c>
      <c r="E243" s="23" t="s">
        <v>259</v>
      </c>
      <c r="F243" s="23" t="s">
        <v>313</v>
      </c>
      <c r="G243" s="23" t="s">
        <v>92</v>
      </c>
      <c r="H243" s="23" t="s">
        <v>556</v>
      </c>
      <c r="I243"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26.668556407269438</v>
      </c>
      <c r="J243"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43"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43"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43"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44" spans="3:13" x14ac:dyDescent="0.25">
      <c r="C244" s="23" t="s">
        <v>228</v>
      </c>
      <c r="D244" s="23" t="s">
        <v>109</v>
      </c>
      <c r="E244" s="23" t="s">
        <v>259</v>
      </c>
      <c r="F244" s="23" t="s">
        <v>313</v>
      </c>
      <c r="G244" s="23" t="s">
        <v>92</v>
      </c>
      <c r="H244" s="23" t="s">
        <v>556</v>
      </c>
      <c r="I244"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J244"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44"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44"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44"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45" spans="3:13" x14ac:dyDescent="0.25">
      <c r="C245" s="23" t="s">
        <v>549</v>
      </c>
      <c r="D245" s="23" t="s">
        <v>109</v>
      </c>
      <c r="E245" s="23" t="s">
        <v>259</v>
      </c>
      <c r="F245" s="23" t="s">
        <v>313</v>
      </c>
      <c r="G245" s="23" t="s">
        <v>92</v>
      </c>
      <c r="H245" s="23" t="s">
        <v>556</v>
      </c>
      <c r="I245"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J245"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26.207593200525288</v>
      </c>
      <c r="K245"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25.93382118713086</v>
      </c>
      <c r="L245"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26.769518265064267</v>
      </c>
      <c r="M245"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26.303187567750495</v>
      </c>
    </row>
    <row r="246" spans="3:13" x14ac:dyDescent="0.25">
      <c r="C246" s="23" t="s">
        <v>557</v>
      </c>
      <c r="D246" s="23" t="s">
        <v>109</v>
      </c>
      <c r="E246" s="23" t="s">
        <v>259</v>
      </c>
      <c r="F246" s="23" t="s">
        <v>313</v>
      </c>
      <c r="G246" s="23" t="s">
        <v>92</v>
      </c>
      <c r="H246" s="23" t="s">
        <v>557</v>
      </c>
      <c r="I246" s="260" t="e">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J246" s="260" t="e">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K246" s="260" t="e">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L246" s="260" t="e">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M246" s="260" t="e">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row>
    <row r="247" spans="3:13" x14ac:dyDescent="0.25">
      <c r="C247" s="23" t="s">
        <v>230</v>
      </c>
      <c r="D247" s="23" t="s">
        <v>109</v>
      </c>
      <c r="E247" s="23" t="s">
        <v>259</v>
      </c>
      <c r="F247" s="23" t="s">
        <v>313</v>
      </c>
      <c r="G247" s="23" t="s">
        <v>92</v>
      </c>
      <c r="H247" s="23" t="s">
        <v>557</v>
      </c>
      <c r="I247"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8.8006236143989156</v>
      </c>
      <c r="J247"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8.6485057561733445</v>
      </c>
      <c r="K247"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8.5581609917531836</v>
      </c>
      <c r="L247"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8.8339410274712087</v>
      </c>
      <c r="M247"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8.6800518973576626</v>
      </c>
    </row>
    <row r="248" spans="3:13" x14ac:dyDescent="0.25">
      <c r="C248" s="23" t="s">
        <v>609</v>
      </c>
      <c r="D248" s="23" t="s">
        <v>109</v>
      </c>
      <c r="E248" s="23" t="s">
        <v>259</v>
      </c>
      <c r="F248" s="23" t="s">
        <v>313</v>
      </c>
      <c r="G248" s="23" t="s">
        <v>92</v>
      </c>
      <c r="H248" s="23" t="s">
        <v>557</v>
      </c>
      <c r="I248"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17.867932792870526</v>
      </c>
      <c r="J248"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17.559087444351942</v>
      </c>
      <c r="K248"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17.375660195377677</v>
      </c>
      <c r="L248"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17.935577237593058</v>
      </c>
      <c r="M248"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17.623135670392831</v>
      </c>
    </row>
    <row r="249" spans="3:13" x14ac:dyDescent="0.25">
      <c r="C249" s="23" t="s">
        <v>287</v>
      </c>
      <c r="D249" s="23" t="s">
        <v>109</v>
      </c>
      <c r="E249" s="23" t="s">
        <v>259</v>
      </c>
      <c r="F249" s="23" t="s">
        <v>313</v>
      </c>
      <c r="G249" s="23" t="s">
        <v>92</v>
      </c>
      <c r="H249" s="23" t="s">
        <v>697</v>
      </c>
      <c r="I249"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4.758212447232526</v>
      </c>
      <c r="J249"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4.5079050858847189</v>
      </c>
      <c r="K249"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8.1023662464717408</v>
      </c>
      <c r="L249"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2.9657270301873124</v>
      </c>
      <c r="M249"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5.219679573129671</v>
      </c>
    </row>
    <row r="250" spans="3:13" x14ac:dyDescent="0.25">
      <c r="C250" s="23" t="s">
        <v>556</v>
      </c>
      <c r="D250" s="23" t="s">
        <v>109</v>
      </c>
      <c r="E250" s="23" t="s">
        <v>259</v>
      </c>
      <c r="F250" s="23" t="s">
        <v>313</v>
      </c>
      <c r="G250" s="23" t="s">
        <v>93</v>
      </c>
      <c r="H250" s="23" t="s">
        <v>556</v>
      </c>
      <c r="I250" s="260" t="e">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J250" s="260" t="e">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K250" s="260" t="e">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L250" s="260" t="e">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M250" s="260" t="e">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row>
    <row r="251" spans="3:13" x14ac:dyDescent="0.25">
      <c r="C251" s="23" t="s">
        <v>221</v>
      </c>
      <c r="D251" s="23" t="s">
        <v>109</v>
      </c>
      <c r="E251" s="23" t="s">
        <v>259</v>
      </c>
      <c r="F251" s="23" t="s">
        <v>313</v>
      </c>
      <c r="G251" s="23" t="s">
        <v>93</v>
      </c>
      <c r="H251" s="23" t="s">
        <v>556</v>
      </c>
      <c r="I251"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27.201927535414828</v>
      </c>
      <c r="J251"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51"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51"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51"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52" spans="3:13" x14ac:dyDescent="0.25">
      <c r="C252" s="23" t="s">
        <v>228</v>
      </c>
      <c r="D252" s="23" t="s">
        <v>109</v>
      </c>
      <c r="E252" s="23" t="s">
        <v>259</v>
      </c>
      <c r="F252" s="23" t="s">
        <v>313</v>
      </c>
      <c r="G252" s="23" t="s">
        <v>93</v>
      </c>
      <c r="H252" s="23" t="s">
        <v>556</v>
      </c>
      <c r="I252"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106.14085450093238</v>
      </c>
      <c r="J252"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K252"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L252"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M252"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row>
    <row r="253" spans="3:13" x14ac:dyDescent="0.25">
      <c r="C253" s="23" t="s">
        <v>549</v>
      </c>
      <c r="D253" s="23" t="s">
        <v>109</v>
      </c>
      <c r="E253" s="23" t="s">
        <v>259</v>
      </c>
      <c r="F253" s="23" t="s">
        <v>313</v>
      </c>
      <c r="G253" s="23" t="s">
        <v>93</v>
      </c>
      <c r="H253" s="23" t="s">
        <v>556</v>
      </c>
      <c r="I253"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0</v>
      </c>
      <c r="J253"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131.03796600262643</v>
      </c>
      <c r="K253"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129.6691059356543</v>
      </c>
      <c r="L253"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133.84759132532133</v>
      </c>
      <c r="M253"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131.51593783875248</v>
      </c>
    </row>
    <row r="254" spans="3:13" x14ac:dyDescent="0.25">
      <c r="C254" s="23" t="s">
        <v>557</v>
      </c>
      <c r="D254" s="23" t="s">
        <v>109</v>
      </c>
      <c r="E254" s="23" t="s">
        <v>259</v>
      </c>
      <c r="F254" s="23" t="s">
        <v>313</v>
      </c>
      <c r="G254" s="23" t="s">
        <v>93</v>
      </c>
      <c r="H254" s="23" t="s">
        <v>557</v>
      </c>
      <c r="I254" s="260" t="e">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J254" s="260" t="e">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K254" s="260" t="e">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L254" s="260" t="e">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c r="M254" s="260" t="e">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#N/A</v>
      </c>
    </row>
    <row r="255" spans="3:13" x14ac:dyDescent="0.25">
      <c r="C255" s="23" t="s">
        <v>230</v>
      </c>
      <c r="D255" s="23" t="s">
        <v>109</v>
      </c>
      <c r="E255" s="23" t="s">
        <v>259</v>
      </c>
      <c r="F255" s="23" t="s">
        <v>313</v>
      </c>
      <c r="G255" s="23" t="s">
        <v>93</v>
      </c>
      <c r="H255" s="23" t="s">
        <v>557</v>
      </c>
      <c r="I255"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65.337963197810126</v>
      </c>
      <c r="J255"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64.20860334128696</v>
      </c>
      <c r="K255"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63.537861908470603</v>
      </c>
      <c r="L255"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65.585319749407461</v>
      </c>
      <c r="M255"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64.442809540988705</v>
      </c>
    </row>
    <row r="256" spans="3:13" x14ac:dyDescent="0.25">
      <c r="C256" s="44" t="s">
        <v>609</v>
      </c>
      <c r="D256" s="44" t="s">
        <v>109</v>
      </c>
      <c r="E256" s="44" t="s">
        <v>259</v>
      </c>
      <c r="F256" s="23" t="s">
        <v>313</v>
      </c>
      <c r="G256" s="44" t="s">
        <v>93</v>
      </c>
      <c r="H256" s="44" t="s">
        <v>557</v>
      </c>
      <c r="I256" s="260">
        <f>SUMIFS(INDEX(CH_BITariff4271[[Ausnet]:[United Energy]],0,MATCH(I$211,CH_BITariff4271[[#Headers],[Ausnet]:[United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68.004818838537076</v>
      </c>
      <c r="J256" s="260">
        <f>SUMIFS(INDEX(CH_BITariff4271[[Ausnet]:[United Energy]],0,MATCH(J$211,CH_BITariff4271[[#Headers],[Ausnet]:[United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66.829362661339488</v>
      </c>
      <c r="K256" s="260">
        <f>SUMIFS(INDEX(CH_BITariff4271[[Ausnet]:[United Energy]],0,MATCH(K$211,CH_BITariff4271[[#Headers],[Ausnet]:[United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66.131244027183683</v>
      </c>
      <c r="L256" s="260">
        <f>SUMIFS(INDEX(CH_BITariff4271[[Ausnet]:[United Energy]],0,MATCH(L$211,CH_BITariff4271[[#Headers],[Ausnet]:[United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68.262271575913886</v>
      </c>
      <c r="M256" s="260">
        <f>SUMIFS(INDEX(CH_BITariff4271[[Ausnet]:[United Energy]],0,MATCH(M$211,CH_BITariff4271[[#Headers],[Ausnet]:[United Energy]],0)),
CH_BITariff4271[Rate name],CH_BITariff1314372[[#This Row],[Rate name]],CH_BITariff4271[Decision],CH_BITariff1314372[[#This Row],[Decision]],CH_BITariff4271[Customer type],CH_BITariff1314372[[#This Row],[Customer type]],CH_BITariff4271[Rate type],CH_BITariff1314372[[#This Row],[Rate type]])*
SUMIFS(CH_BITariff4271[Usage value],CH_BITariff4271[Rate name],CH_BITariff1314372[[#This Row],[Rate name]],CH_BITariff4271[Decision],CH_BITariff1314372[[#This Row],[Decision]],CH_BITariff4271[Customer type],CH_BITariff1314372[[#This Row],[Customer type]],CH_BITariff4271[Rate type],CH_BITariff1314372[[#This Row],[Rate type]])</f>
        <v>67.073128297763759</v>
      </c>
    </row>
    <row r="257" spans="3:13" x14ac:dyDescent="0.25">
      <c r="C257" s="44" t="s">
        <v>287</v>
      </c>
      <c r="D257" s="44" t="s">
        <v>109</v>
      </c>
      <c r="E257" s="44" t="s">
        <v>259</v>
      </c>
      <c r="F257" s="23" t="s">
        <v>313</v>
      </c>
      <c r="G257" s="23" t="s">
        <v>92</v>
      </c>
      <c r="H257" s="23" t="s">
        <v>697</v>
      </c>
      <c r="I257" s="296" t="e" cm="1">
        <f t="array" ref="I257">INDEX(I208:M208,0,MATCH(CH_BITariff1314372[[#Headers],[Ausnet]],CH_BITariff4271[[#Headers],[Ausnet]:[United Energy]],0))*$P$208</f>
        <v>#N/A</v>
      </c>
      <c r="J257" s="296" t="e" cm="1">
        <f t="array" ref="J257">INDEX(J208:N208,0,MATCH(CH_BITariff1314372[[#Headers],[Ausnet]],CH_BITariff4271[[#Headers],[Ausnet]:[United Energy]],0))*$P$208</f>
        <v>#N/A</v>
      </c>
      <c r="K257" s="296" t="e" cm="1">
        <f t="array" ref="K257">INDEX(K208:O208,0,MATCH(CH_BITariff1314372[[#Headers],[Ausnet]],CH_BITariff4271[[#Headers],[Ausnet]:[United Energy]],0))*$P$208</f>
        <v>#N/A</v>
      </c>
      <c r="L257" s="296" t="e" cm="1">
        <f t="array" ref="L257">INDEX(L208:P208,0,MATCH(CH_BITariff1314372[[#Headers],[Ausnet]],CH_BITariff4271[[#Headers],[Ausnet]:[United Energy]],0))*$P$208</f>
        <v>#N/A</v>
      </c>
      <c r="M257" s="296" t="e" cm="1">
        <f t="array" ref="M257">INDEX(M208:Q208,0,MATCH(CH_BITariff1314372[[#Headers],[Ausnet]],CH_BITariff4271[[#Headers],[Ausnet]:[United Energy]],0))*$P$208</f>
        <v>#N/A</v>
      </c>
    </row>
  </sheetData>
  <mergeCells count="11">
    <mergeCell ref="X138:Z138"/>
    <mergeCell ref="D152:G152"/>
    <mergeCell ref="H152:K152"/>
    <mergeCell ref="L152:O152"/>
    <mergeCell ref="P152:S152"/>
    <mergeCell ref="T138:V138"/>
    <mergeCell ref="A2:A3"/>
    <mergeCell ref="D138:F138"/>
    <mergeCell ref="H138:J138"/>
    <mergeCell ref="L138:N138"/>
    <mergeCell ref="P138:R138"/>
  </mergeCells>
  <dataValidations disablePrompts="1" count="1">
    <dataValidation type="list" allowBlank="1" showInputMessage="1" showErrorMessage="1" sqref="D44:D60" xr:uid="{6F95955B-E17C-4CA9-9569-03FAEB5D1C46}">
      <formula1>"Yes,No"</formula1>
    </dataValidation>
  </dataValidations>
  <pageMargins left="0.7" right="0.7" top="0.75" bottom="0.75" header="0.3" footer="0.3"/>
  <pageSetup paperSize="9" orientation="portrait" r:id="rId1"/>
  <drawing r:id="rId2"/>
  <tableParts count="2">
    <tablePart r:id="rId3"/>
    <tablePart r:id="rId4"/>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B8EAE-1C4C-4BE9-92F8-DEFBC4D4CAA5}">
  <sheetPr>
    <tabColor rgb="FFFFB13F"/>
  </sheetPr>
  <dimension ref="A1:AZ225"/>
  <sheetViews>
    <sheetView showGridLines="0" topLeftCell="B1" zoomScale="85" zoomScaleNormal="85" workbookViewId="0">
      <pane ySplit="3" topLeftCell="A16" activePane="bottomLeft" state="frozen"/>
      <selection pane="bottomLeft" activeCell="F18" sqref="F18"/>
    </sheetView>
  </sheetViews>
  <sheetFormatPr defaultColWidth="10.5703125" defaultRowHeight="15" outlineLevelCol="1" x14ac:dyDescent="0.25"/>
  <cols>
    <col min="1" max="1" width="100.5703125" hidden="1" customWidth="1" outlineLevel="1"/>
    <col min="2" max="2" width="10.5703125" style="6" customWidth="1" collapsed="1"/>
    <col min="3" max="3" width="42.42578125" bestFit="1" customWidth="1"/>
    <col min="4" max="4" width="16.42578125" customWidth="1"/>
    <col min="5" max="5" width="10.5703125" customWidth="1"/>
    <col min="6" max="6" width="13.5703125" customWidth="1"/>
    <col min="7" max="14" width="10.5703125" customWidth="1"/>
    <col min="15" max="15" width="12.5703125" customWidth="1"/>
    <col min="16" max="16" width="10.5703125" customWidth="1"/>
    <col min="17" max="17" width="18.5703125" bestFit="1" customWidth="1"/>
    <col min="18" max="52" width="10.5703125" customWidth="1"/>
  </cols>
  <sheetData>
    <row r="1" spans="1:52" ht="15" customHeight="1" x14ac:dyDescent="0.25">
      <c r="A1" s="1" t="s">
        <v>20</v>
      </c>
      <c r="B1" s="21"/>
      <c r="C1" s="22"/>
      <c r="D1" s="22"/>
      <c r="E1" s="22"/>
      <c r="F1" s="123" t="s">
        <v>411</v>
      </c>
      <c r="G1" s="96"/>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row>
    <row r="2" spans="1:52" s="4" customFormat="1" ht="50.1" customHeight="1" x14ac:dyDescent="0.25">
      <c r="A2" s="382" t="s">
        <v>21</v>
      </c>
      <c r="B2" s="25"/>
      <c r="C2" s="25" t="str">
        <f>[1]Disclaimer!$B$1</f>
        <v>VDO calculation model</v>
      </c>
      <c r="D2" s="25"/>
      <c r="E2" s="25"/>
      <c r="F2" s="172" t="str">
        <f>[1]Calc_Rates!$D$5</f>
        <v>VDO 2021 - Variation final</v>
      </c>
      <c r="G2" s="172" t="str">
        <f>[1]Calc_Rates!$D$249</f>
        <v>VDO 2022 - Draft</v>
      </c>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row>
    <row r="3" spans="1:52" s="4" customFormat="1" ht="30" customHeight="1" x14ac:dyDescent="0.25">
      <c r="A3" s="383"/>
      <c r="B3" s="27">
        <f ca="1">_xlfn.SHEET()</f>
        <v>29</v>
      </c>
      <c r="C3" s="26" t="s">
        <v>441</v>
      </c>
      <c r="D3" s="26"/>
      <c r="E3" s="26"/>
      <c r="F3" s="95" t="e">
        <f>SUM(#REF!,#REF!)</f>
        <v>#REF!</v>
      </c>
      <c r="G3" s="95" t="e">
        <f>SUM(#REF!,#REF!,#REF!,#REF!,#REF!,#REF!)</f>
        <v>#REF!</v>
      </c>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x14ac:dyDescent="0.25">
      <c r="B4"/>
    </row>
    <row r="5" spans="1:52" ht="16.5" thickBot="1" x14ac:dyDescent="0.3">
      <c r="A5" s="1" t="s">
        <v>23</v>
      </c>
      <c r="B5" s="9">
        <f ca="1">MAX(B$3:B4)+0.1</f>
        <v>29.1</v>
      </c>
      <c r="C5" s="28" t="s">
        <v>441</v>
      </c>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row>
    <row r="7" spans="1:52" ht="15.75" x14ac:dyDescent="0.25">
      <c r="C7" s="29" t="s">
        <v>822</v>
      </c>
    </row>
    <row r="8" spans="1:52" ht="15.75" x14ac:dyDescent="0.25">
      <c r="C8" s="271" t="s">
        <v>698</v>
      </c>
      <c r="D8" s="271" t="s">
        <v>91</v>
      </c>
      <c r="E8" s="271" t="s">
        <v>454</v>
      </c>
      <c r="F8" s="50" t="s">
        <v>268</v>
      </c>
      <c r="G8" s="271" t="s">
        <v>269</v>
      </c>
      <c r="H8" s="271" t="s">
        <v>270</v>
      </c>
      <c r="I8" s="271" t="s">
        <v>271</v>
      </c>
      <c r="J8" s="271" t="s">
        <v>272</v>
      </c>
      <c r="K8" s="271" t="s">
        <v>447</v>
      </c>
      <c r="M8" s="42" t="s">
        <v>455</v>
      </c>
      <c r="N8" s="42" t="s">
        <v>456</v>
      </c>
      <c r="O8" s="42" t="s">
        <v>457</v>
      </c>
    </row>
    <row r="9" spans="1:52" ht="15.75" x14ac:dyDescent="0.25">
      <c r="C9" t="s">
        <v>689</v>
      </c>
      <c r="D9" t="s">
        <v>92</v>
      </c>
      <c r="E9" t="s">
        <v>556</v>
      </c>
      <c r="F9" s="261">
        <f>ROUNDUP(SUMIFS(INDEX(CH_BITariff1314341[[Ausnet]:[United Energy]],0,MATCH(F$8,CH_BITariff1314341[[#Headers],[Ausnet]:[United Energy]],0)),CH_BITariff1314341[Customer type],$D9,CH_BITariff1314341[Tariff type],$E9,CH_BITariff1314341[Decision],$C$7),0)</f>
        <v>1288</v>
      </c>
      <c r="G9" s="261">
        <f>ROUNDUP(SUMIFS(INDEX(CH_BITariff1314341[[Ausnet]:[United Energy]],0,MATCH(G$8,CH_BITariff1314341[[#Headers],[Ausnet]:[United Energy]],0)),CH_BITariff1314341[Customer type],$D9,CH_BITariff1314341[Tariff type],$E9,CH_BITariff1314341[Decision],$C$7),0)</f>
        <v>1087</v>
      </c>
      <c r="H9" s="261">
        <f>ROUNDUP(SUMIFS(INDEX(CH_BITariff1314341[[Ausnet]:[United Energy]],0,MATCH(H$8,CH_BITariff1314341[[#Headers],[Ausnet]:[United Energy]],0)),CH_BITariff1314341[Customer type],$D9,CH_BITariff1314341[Tariff type],$E9,CH_BITariff1314341[Decision],$C$7),0)</f>
        <v>1131</v>
      </c>
      <c r="I9" s="261">
        <f>ROUNDUP(SUMIFS(INDEX(CH_BITariff1314341[[Ausnet]:[United Energy]],0,MATCH(I$8,CH_BITariff1314341[[#Headers],[Ausnet]:[United Energy]],0)),CH_BITariff1314341[Customer type],$D9,CH_BITariff1314341[Tariff type],$E9,CH_BITariff1314341[Decision],$C$7),0)</f>
        <v>1138</v>
      </c>
      <c r="J9" s="261">
        <f>ROUNDUP(SUMIFS(INDEX(CH_BITariff1314341[[Ausnet]:[United Energy]],0,MATCH(J$8,CH_BITariff1314341[[#Headers],[Ausnet]:[United Energy]],0)),CH_BITariff1314341[Customer type],$D9,CH_BITariff1314341[Tariff type],$E9,CH_BITariff1314341[Decision],$C$7),0)</f>
        <v>1090</v>
      </c>
      <c r="K9" s="261">
        <f>AVERAGE(F9:J9)</f>
        <v>1146.8</v>
      </c>
      <c r="M9" s="261">
        <f>MIN($F9:$J9)</f>
        <v>1087</v>
      </c>
      <c r="N9" s="261">
        <f>MAX($F9:$J9)</f>
        <v>1288</v>
      </c>
      <c r="O9" s="261">
        <f>N9-M9</f>
        <v>201</v>
      </c>
      <c r="Q9" s="24">
        <f>IF(F9=CH_CostStack_RES!D65,0,1)</f>
        <v>1</v>
      </c>
    </row>
    <row r="10" spans="1:52" x14ac:dyDescent="0.25">
      <c r="C10" t="s">
        <v>690</v>
      </c>
      <c r="D10" t="s">
        <v>93</v>
      </c>
      <c r="E10" t="s">
        <v>556</v>
      </c>
      <c r="F10" s="261">
        <f>ROUNDUP(SUMIFS(INDEX(CH_BITariff1314341[[Ausnet]:[United Energy]],0,MATCH(F$8,CH_BITariff1314341[[#Headers],[Ausnet]:[United Energy]],0)),CH_BITariff1314341[Customer type],$D10,CH_BITariff1314341[Tariff type],$E10,CH_BITariff1314341[Decision],$C$7),0)</f>
        <v>6782</v>
      </c>
      <c r="G10" s="261">
        <f>ROUNDUP(SUMIFS(INDEX(CH_BITariff1314341[[Ausnet]:[United Energy]],0,MATCH(G$8,CH_BITariff1314341[[#Headers],[Ausnet]:[United Energy]],0)),CH_BITariff1314341[Customer type],$D10,CH_BITariff1314341[Tariff type],$E10,CH_BITariff1314341[Decision],$C$7),0)</f>
        <v>4534</v>
      </c>
      <c r="H10" s="261">
        <f>ROUNDUP(SUMIFS(INDEX(CH_BITariff1314341[[Ausnet]:[United Energy]],0,MATCH(H$8,CH_BITariff1314341[[#Headers],[Ausnet]:[United Energy]],0)),CH_BITariff1314341[Customer type],$D10,CH_BITariff1314341[Tariff type],$E10,CH_BITariff1314341[Decision],$C$7),0)</f>
        <v>5165</v>
      </c>
      <c r="I10" s="261">
        <f>ROUNDUP(SUMIFS(INDEX(CH_BITariff1314341[[Ausnet]:[United Energy]],0,MATCH(I$8,CH_BITariff1314341[[#Headers],[Ausnet]:[United Energy]],0)),CH_BITariff1314341[Customer type],$D10,CH_BITariff1314341[Tariff type],$E10,CH_BITariff1314341[Decision],$C$7),0)</f>
        <v>4779</v>
      </c>
      <c r="J10" s="261">
        <f>ROUNDUP(SUMIFS(INDEX(CH_BITariff1314341[[Ausnet]:[United Energy]],0,MATCH(J$8,CH_BITariff1314341[[#Headers],[Ausnet]:[United Energy]],0)),CH_BITariff1314341[Customer type],$D10,CH_BITariff1314341[Tariff type],$E10,CH_BITariff1314341[Decision],$C$7),0)</f>
        <v>4659</v>
      </c>
      <c r="K10" s="261">
        <f>AVERAGE(F10:J10)</f>
        <v>5183.8</v>
      </c>
      <c r="M10" s="261">
        <f>MIN($F10:$J10)</f>
        <v>4534</v>
      </c>
      <c r="N10" s="261">
        <f>MAX($F10:$J10)</f>
        <v>6782</v>
      </c>
      <c r="O10" s="261">
        <f>N10-M10</f>
        <v>2248</v>
      </c>
    </row>
    <row r="11" spans="1:52" x14ac:dyDescent="0.25">
      <c r="C11" t="s">
        <v>686</v>
      </c>
      <c r="D11" t="s">
        <v>92</v>
      </c>
      <c r="E11" t="s">
        <v>557</v>
      </c>
      <c r="F11" s="261">
        <f>ROUNDUP(SUMIFS(INDEX(CH_BITariff1314341[[Ausnet]:[United Energy]],0,MATCH(F$8,CH_BITariff1314341[[#Headers],[Ausnet]:[United Energy]],0)),CH_BITariff1314341[Customer type],$D11,CH_BITariff1314341[Tariff type],$E11,CH_BITariff1314341[Decision],$C$7),0)</f>
        <v>1192</v>
      </c>
      <c r="G11" s="261">
        <f>ROUNDUP(SUMIFS(INDEX(CH_BITariff1314341[[Ausnet]:[United Energy]],0,MATCH(G$8,CH_BITariff1314341[[#Headers],[Ausnet]:[United Energy]],0)),CH_BITariff1314341[Customer type],$D11,CH_BITariff1314341[Tariff type],$E11,CH_BITariff1314341[Decision],$C$7),0)</f>
        <v>1079</v>
      </c>
      <c r="H11" s="261">
        <f>ROUNDUP(SUMIFS(INDEX(CH_BITariff1314341[[Ausnet]:[United Energy]],0,MATCH(H$8,CH_BITariff1314341[[#Headers],[Ausnet]:[United Energy]],0)),CH_BITariff1314341[Customer type],$D11,CH_BITariff1314341[Tariff type],$E11,CH_BITariff1314341[Decision],$C$7),0)</f>
        <v>1039</v>
      </c>
      <c r="I11" s="261">
        <f>ROUNDUP(SUMIFS(INDEX(CH_BITariff1314341[[Ausnet]:[United Energy]],0,MATCH(I$8,CH_BITariff1314341[[#Headers],[Ausnet]:[United Energy]],0)),CH_BITariff1314341[Customer type],$D11,CH_BITariff1314341[Tariff type],$E11,CH_BITariff1314341[Decision],$C$7),0)</f>
        <v>1123</v>
      </c>
      <c r="J11" s="261">
        <f>ROUNDUP(SUMIFS(INDEX(CH_BITariff1314341[[Ausnet]:[United Energy]],0,MATCH(J$8,CH_BITariff1314341[[#Headers],[Ausnet]:[United Energy]],0)),CH_BITariff1314341[Customer type],$D11,CH_BITariff1314341[Tariff type],$E11,CH_BITariff1314341[Decision],$C$7),0)</f>
        <v>1082</v>
      </c>
      <c r="K11" s="261">
        <f>AVERAGE(F11:J11)</f>
        <v>1103</v>
      </c>
      <c r="M11" s="261">
        <f>MIN($F11:$J11)</f>
        <v>1039</v>
      </c>
      <c r="N11" s="261">
        <f>MAX($F11:$J11)</f>
        <v>1192</v>
      </c>
      <c r="O11" s="261">
        <f>N11-M11</f>
        <v>153</v>
      </c>
    </row>
    <row r="12" spans="1:52" x14ac:dyDescent="0.25">
      <c r="C12" t="s">
        <v>687</v>
      </c>
      <c r="D12" t="s">
        <v>93</v>
      </c>
      <c r="E12" t="s">
        <v>557</v>
      </c>
      <c r="F12" s="261">
        <f>ROUNDUP(SUMIFS(INDEX(CH_BITariff1314341[[Ausnet]:[United Energy]],0,MATCH(F$8,CH_BITariff1314341[[#Headers],[Ausnet]:[United Energy]],0)),CH_BITariff1314341[Customer type],$D12,CH_BITariff1314341[Tariff type],$E12,CH_BITariff1314341[Decision],$C$7),0)</f>
        <v>5073</v>
      </c>
      <c r="G12" s="261">
        <f>ROUNDUP(SUMIFS(INDEX(CH_BITariff1314341[[Ausnet]:[United Energy]],0,MATCH(G$8,CH_BITariff1314341[[#Headers],[Ausnet]:[United Energy]],0)),CH_BITariff1314341[Customer type],$D12,CH_BITariff1314341[Tariff type],$E12,CH_BITariff1314341[Decision],$C$7),0)</f>
        <v>4444</v>
      </c>
      <c r="H12" s="261">
        <f>ROUNDUP(SUMIFS(INDEX(CH_BITariff1314341[[Ausnet]:[United Energy]],0,MATCH(H$8,CH_BITariff1314341[[#Headers],[Ausnet]:[United Energy]],0)),CH_BITariff1314341[Customer type],$D12,CH_BITariff1314341[Tariff type],$E12,CH_BITariff1314341[Decision],$C$7),0)</f>
        <v>4653</v>
      </c>
      <c r="I12" s="261">
        <f>ROUNDUP(SUMIFS(INDEX(CH_BITariff1314341[[Ausnet]:[United Energy]],0,MATCH(I$8,CH_BITariff1314341[[#Headers],[Ausnet]:[United Energy]],0)),CH_BITariff1314341[Customer type],$D12,CH_BITariff1314341[Tariff type],$E12,CH_BITariff1314341[Decision],$C$7),0)</f>
        <v>4682</v>
      </c>
      <c r="J12" s="261">
        <f>ROUNDUP(SUMIFS(INDEX(CH_BITariff1314341[[Ausnet]:[United Energy]],0,MATCH(J$8,CH_BITariff1314341[[#Headers],[Ausnet]:[United Energy]],0)),CH_BITariff1314341[Customer type],$D12,CH_BITariff1314341[Tariff type],$E12,CH_BITariff1314341[Decision],$C$7),0)</f>
        <v>4573</v>
      </c>
      <c r="K12" s="261">
        <f>AVERAGE(F12:J12)</f>
        <v>4685</v>
      </c>
      <c r="M12" s="261">
        <f>MIN($F12:$J12)</f>
        <v>4444</v>
      </c>
      <c r="N12" s="261">
        <f>MAX($F12:$J12)</f>
        <v>5073</v>
      </c>
      <c r="O12" s="261">
        <f>N12-M12</f>
        <v>629</v>
      </c>
    </row>
    <row r="13" spans="1:52" x14ac:dyDescent="0.25">
      <c r="C13" t="s">
        <v>696</v>
      </c>
      <c r="D13" t="s">
        <v>92</v>
      </c>
      <c r="E13" t="s">
        <v>697</v>
      </c>
      <c r="F13" s="261">
        <f>F9+ROUNDUP(SUMIFS(INDEX(CH_BITariff1314341[[Ausnet]:[United Energy]],0,MATCH(F$8,CH_BITariff1314341[[#Headers],[Ausnet]:[United Energy]],0)),CH_BITariff1314341[Customer type],$D13,CH_BITariff1314341[Tariff type],$E13,CH_BITariff1314341[Decision],$C$7),0)</f>
        <v>1655</v>
      </c>
      <c r="G13" s="261">
        <f>G9+ROUNDUP(SUMIFS(INDEX(CH_BITariff1314341[[Ausnet]:[United Energy]],0,MATCH(G$8,CH_BITariff1314341[[#Headers],[Ausnet]:[United Energy]],0)),CH_BITariff1314341[Customer type],$D13,CH_BITariff1314341[Tariff type],$E13,CH_BITariff1314341[Decision],$C$7),0)</f>
        <v>1396</v>
      </c>
      <c r="H13" s="261">
        <f>H9+ROUNDUP(SUMIFS(INDEX(CH_BITariff1314341[[Ausnet]:[United Energy]],0,MATCH(H$8,CH_BITariff1314341[[#Headers],[Ausnet]:[United Energy]],0)),CH_BITariff1314341[Customer type],$D13,CH_BITariff1314341[Tariff type],$E13,CH_BITariff1314341[Decision],$C$7),0)</f>
        <v>1483</v>
      </c>
      <c r="I13" s="261">
        <f>I9+ROUNDUP(SUMIFS(INDEX(CH_BITariff1314341[[Ausnet]:[United Energy]],0,MATCH(I$8,CH_BITariff1314341[[#Headers],[Ausnet]:[United Energy]],0)),CH_BITariff1314341[Customer type],$D13,CH_BITariff1314341[Tariff type],$E13,CH_BITariff1314341[Decision],$C$7),0)</f>
        <v>1454</v>
      </c>
      <c r="J13" s="261">
        <f>J9+ROUNDUP(SUMIFS(INDEX(CH_BITariff1314341[[Ausnet]:[United Energy]],0,MATCH(J$8,CH_BITariff1314341[[#Headers],[Ausnet]:[United Energy]],0)),CH_BITariff1314341[Customer type],$D13,CH_BITariff1314341[Tariff type],$E13,CH_BITariff1314341[Decision],$C$7),0)</f>
        <v>1408</v>
      </c>
      <c r="K13" s="261">
        <f>AVERAGE(F13:J13)</f>
        <v>1479.2</v>
      </c>
      <c r="M13" s="261">
        <f>MIN($F13:$J13)</f>
        <v>1396</v>
      </c>
      <c r="N13" s="261">
        <f>MAX($F13:$J13)</f>
        <v>1655</v>
      </c>
      <c r="O13" s="261">
        <f>N13-M13</f>
        <v>259</v>
      </c>
    </row>
    <row r="15" spans="1:52" ht="15.75" x14ac:dyDescent="0.25">
      <c r="C15" s="29" t="s">
        <v>259</v>
      </c>
    </row>
    <row r="16" spans="1:52" ht="15.75" x14ac:dyDescent="0.25">
      <c r="C16" s="271" t="s">
        <v>698</v>
      </c>
      <c r="D16" s="271" t="s">
        <v>91</v>
      </c>
      <c r="E16" s="271" t="s">
        <v>454</v>
      </c>
      <c r="F16" s="50" t="s">
        <v>268</v>
      </c>
      <c r="G16" s="271" t="s">
        <v>269</v>
      </c>
      <c r="H16" s="271" t="s">
        <v>270</v>
      </c>
      <c r="I16" s="271" t="s">
        <v>271</v>
      </c>
      <c r="J16" s="271" t="s">
        <v>272</v>
      </c>
      <c r="K16" s="271" t="s">
        <v>447</v>
      </c>
      <c r="M16" s="42" t="s">
        <v>455</v>
      </c>
      <c r="N16" s="42" t="s">
        <v>456</v>
      </c>
      <c r="O16" s="42" t="s">
        <v>457</v>
      </c>
    </row>
    <row r="17" spans="3:23" x14ac:dyDescent="0.25">
      <c r="C17" t="s">
        <v>689</v>
      </c>
      <c r="D17" t="s">
        <v>92</v>
      </c>
      <c r="E17" t="s">
        <v>556</v>
      </c>
      <c r="F17" s="261">
        <f>ROUNDUP(SUMIFS(INDEX(CH_BITariff1314341[[Ausnet]:[United Energy]],0,MATCH(F$16,CH_BITariff1314341[[#Headers],[Ausnet]:[United Energy]],0)),CH_BITariff1314341[Customer type],$D17,CH_BITariff1314341[Tariff type],$E17,CH_BITariff1314341[Decision],$C$15),0)</f>
        <v>1288</v>
      </c>
      <c r="G17" s="261">
        <f>ROUNDUP(SUMIFS(INDEX(CH_BITariff1314341[[Ausnet]:[United Energy]],0,MATCH(G$8,CH_BITariff1314341[[#Headers],[Ausnet]:[United Energy]],0)),CH_BITariff1314341[Customer type],$D17,CH_BITariff1314341[Tariff type],$E17,CH_BITariff1314341[Decision],$C$15),0)</f>
        <v>1087</v>
      </c>
      <c r="H17" s="261">
        <f>ROUNDUP(SUMIFS(INDEX(CH_BITariff1314341[[Ausnet]:[United Energy]],0,MATCH(H$8,CH_BITariff1314341[[#Headers],[Ausnet]:[United Energy]],0)),CH_BITariff1314341[Customer type],$D17,CH_BITariff1314341[Tariff type],$E17,CH_BITariff1314341[Decision],$C$15),0)</f>
        <v>1131</v>
      </c>
      <c r="I17" s="261">
        <f>ROUNDUP(SUMIFS(INDEX(CH_BITariff1314341[[Ausnet]:[United Energy]],0,MATCH(I$8,CH_BITariff1314341[[#Headers],[Ausnet]:[United Energy]],0)),CH_BITariff1314341[Customer type],$D17,CH_BITariff1314341[Tariff type],$E17,CH_BITariff1314341[Decision],$C$15),0)</f>
        <v>1138</v>
      </c>
      <c r="J17" s="261">
        <f>ROUNDUP(SUMIFS(INDEX(CH_BITariff1314341[[Ausnet]:[United Energy]],0,MATCH(J$8,CH_BITariff1314341[[#Headers],[Ausnet]:[United Energy]],0)),CH_BITariff1314341[Customer type],$D17,CH_BITariff1314341[Tariff type],$E17,CH_BITariff1314341[Decision],$C$15),0)</f>
        <v>1090</v>
      </c>
      <c r="K17" s="261">
        <f>AVERAGE(F17:J17)</f>
        <v>1146.8</v>
      </c>
      <c r="M17" s="261">
        <f>MIN($F17:$J17)</f>
        <v>1087</v>
      </c>
      <c r="N17" s="261">
        <f>MAX($F17:$J17)</f>
        <v>1288</v>
      </c>
      <c r="O17" s="261">
        <f>N17-M17</f>
        <v>201</v>
      </c>
    </row>
    <row r="18" spans="3:23" x14ac:dyDescent="0.25">
      <c r="C18" t="s">
        <v>690</v>
      </c>
      <c r="D18" t="s">
        <v>93</v>
      </c>
      <c r="E18" t="s">
        <v>556</v>
      </c>
      <c r="F18" s="261">
        <f>ROUNDUP(SUMIFS(INDEX(CH_BITariff1314341[[Ausnet]:[United Energy]],0,MATCH(F$8,CH_BITariff1314341[[#Headers],[Ausnet]:[United Energy]],0)),CH_BITariff1314341[Customer type],$D18,CH_BITariff1314341[Tariff type],$E18,CH_BITariff1314341[Decision],$C$15),0)</f>
        <v>6782</v>
      </c>
      <c r="G18" s="261">
        <f>ROUNDUP(SUMIFS(INDEX(CH_BITariff1314341[[Ausnet]:[United Energy]],0,MATCH(G$8,CH_BITariff1314341[[#Headers],[Ausnet]:[United Energy]],0)),CH_BITariff1314341[Customer type],$D18,CH_BITariff1314341[Tariff type],$E18,CH_BITariff1314341[Decision],$C$15),0)</f>
        <v>4534</v>
      </c>
      <c r="H18" s="261">
        <f>ROUNDUP(SUMIFS(INDEX(CH_BITariff1314341[[Ausnet]:[United Energy]],0,MATCH(H$8,CH_BITariff1314341[[#Headers],[Ausnet]:[United Energy]],0)),CH_BITariff1314341[Customer type],$D18,CH_BITariff1314341[Tariff type],$E18,CH_BITariff1314341[Decision],$C$15),0)</f>
        <v>5165</v>
      </c>
      <c r="I18" s="261">
        <f>ROUNDUP(SUMIFS(INDEX(CH_BITariff1314341[[Ausnet]:[United Energy]],0,MATCH(I$8,CH_BITariff1314341[[#Headers],[Ausnet]:[United Energy]],0)),CH_BITariff1314341[Customer type],$D18,CH_BITariff1314341[Tariff type],$E18,CH_BITariff1314341[Decision],$C$15),0)</f>
        <v>4779</v>
      </c>
      <c r="J18" s="261">
        <f>ROUNDUP(SUMIFS(INDEX(CH_BITariff1314341[[Ausnet]:[United Energy]],0,MATCH(J$8,CH_BITariff1314341[[#Headers],[Ausnet]:[United Energy]],0)),CH_BITariff1314341[Customer type],$D18,CH_BITariff1314341[Tariff type],$E18,CH_BITariff1314341[Decision],$C$15),0)</f>
        <v>4659</v>
      </c>
      <c r="K18" s="261">
        <f>AVERAGE(F18:J18)</f>
        <v>5183.8</v>
      </c>
      <c r="M18" s="261">
        <f>MIN($F18:$J18)</f>
        <v>4534</v>
      </c>
      <c r="N18" s="261">
        <f>MAX($F18:$J18)</f>
        <v>6782</v>
      </c>
      <c r="O18" s="261">
        <f>N18-M18</f>
        <v>2248</v>
      </c>
    </row>
    <row r="19" spans="3:23" x14ac:dyDescent="0.25">
      <c r="C19" t="s">
        <v>686</v>
      </c>
      <c r="D19" t="s">
        <v>92</v>
      </c>
      <c r="E19" t="s">
        <v>557</v>
      </c>
      <c r="F19" s="261">
        <f>ROUNDUP(SUMIFS(INDEX(CH_BITariff1314341[[Ausnet]:[United Energy]],0,MATCH(F$8,CH_BITariff1314341[[#Headers],[Ausnet]:[United Energy]],0)),CH_BITariff1314341[Customer type],$D19,CH_BITariff1314341[Tariff type],$E19,CH_BITariff1314341[Decision],$C$15),0)</f>
        <v>1192</v>
      </c>
      <c r="G19" s="261">
        <f>ROUNDUP(SUMIFS(INDEX(CH_BITariff1314341[[Ausnet]:[United Energy]],0,MATCH(G$8,CH_BITariff1314341[[#Headers],[Ausnet]:[United Energy]],0)),CH_BITariff1314341[Customer type],$D19,CH_BITariff1314341[Tariff type],$E19,CH_BITariff1314341[Decision],$C$15),0)</f>
        <v>1079</v>
      </c>
      <c r="H19" s="261">
        <f>ROUNDUP(SUMIFS(INDEX(CH_BITariff1314341[[Ausnet]:[United Energy]],0,MATCH(H$8,CH_BITariff1314341[[#Headers],[Ausnet]:[United Energy]],0)),CH_BITariff1314341[Customer type],$D19,CH_BITariff1314341[Tariff type],$E19,CH_BITariff1314341[Decision],$C$15),0)</f>
        <v>1039</v>
      </c>
      <c r="I19" s="261">
        <f>ROUNDUP(SUMIFS(INDEX(CH_BITariff1314341[[Ausnet]:[United Energy]],0,MATCH(I$8,CH_BITariff1314341[[#Headers],[Ausnet]:[United Energy]],0)),CH_BITariff1314341[Customer type],$D19,CH_BITariff1314341[Tariff type],$E19,CH_BITariff1314341[Decision],$C$15),0)</f>
        <v>1123</v>
      </c>
      <c r="J19" s="261">
        <f>ROUNDUP(SUMIFS(INDEX(CH_BITariff1314341[[Ausnet]:[United Energy]],0,MATCH(J$8,CH_BITariff1314341[[#Headers],[Ausnet]:[United Energy]],0)),CH_BITariff1314341[Customer type],$D19,CH_BITariff1314341[Tariff type],$E19,CH_BITariff1314341[Decision],$C$15),0)</f>
        <v>1082</v>
      </c>
      <c r="K19" s="261">
        <f>AVERAGE(F19:J19)</f>
        <v>1103</v>
      </c>
      <c r="M19" s="261">
        <f>MIN($F19:$J19)</f>
        <v>1039</v>
      </c>
      <c r="N19" s="261">
        <f>MAX($F19:$J19)</f>
        <v>1192</v>
      </c>
      <c r="O19" s="261">
        <f>N19-M19</f>
        <v>153</v>
      </c>
    </row>
    <row r="20" spans="3:23" x14ac:dyDescent="0.25">
      <c r="C20" t="s">
        <v>687</v>
      </c>
      <c r="D20" t="s">
        <v>93</v>
      </c>
      <c r="E20" t="s">
        <v>557</v>
      </c>
      <c r="F20" s="261">
        <f>ROUNDUP(SUMIFS(INDEX(CH_BITariff1314341[[Ausnet]:[United Energy]],0,MATCH(F$8,CH_BITariff1314341[[#Headers],[Ausnet]:[United Energy]],0)),CH_BITariff1314341[Customer type],$D20,CH_BITariff1314341[Tariff type],$E20,CH_BITariff1314341[Decision],$C$15),0)</f>
        <v>5073</v>
      </c>
      <c r="G20" s="261">
        <f>ROUNDUP(SUMIFS(INDEX(CH_BITariff1314341[[Ausnet]:[United Energy]],0,MATCH(G$8,CH_BITariff1314341[[#Headers],[Ausnet]:[United Energy]],0)),CH_BITariff1314341[Customer type],$D20,CH_BITariff1314341[Tariff type],$E20,CH_BITariff1314341[Decision],$C$15),0)</f>
        <v>4444</v>
      </c>
      <c r="H20" s="261">
        <f>ROUNDUP(SUMIFS(INDEX(CH_BITariff1314341[[Ausnet]:[United Energy]],0,MATCH(H$8,CH_BITariff1314341[[#Headers],[Ausnet]:[United Energy]],0)),CH_BITariff1314341[Customer type],$D20,CH_BITariff1314341[Tariff type],$E20,CH_BITariff1314341[Decision],$C$15),0)</f>
        <v>4653</v>
      </c>
      <c r="I20" s="261">
        <f>ROUNDUP(SUMIFS(INDEX(CH_BITariff1314341[[Ausnet]:[United Energy]],0,MATCH(I$8,CH_BITariff1314341[[#Headers],[Ausnet]:[United Energy]],0)),CH_BITariff1314341[Customer type],$D20,CH_BITariff1314341[Tariff type],$E20,CH_BITariff1314341[Decision],$C$15),0)</f>
        <v>4682</v>
      </c>
      <c r="J20" s="261">
        <f>ROUNDUP(SUMIFS(INDEX(CH_BITariff1314341[[Ausnet]:[United Energy]],0,MATCH(J$8,CH_BITariff1314341[[#Headers],[Ausnet]:[United Energy]],0)),CH_BITariff1314341[Customer type],$D20,CH_BITariff1314341[Tariff type],$E20,CH_BITariff1314341[Decision],$C$15),0)</f>
        <v>4573</v>
      </c>
      <c r="K20" s="261">
        <f>AVERAGE(F20:J20)</f>
        <v>4685</v>
      </c>
      <c r="M20" s="261">
        <f>MIN($F20:$J20)</f>
        <v>4444</v>
      </c>
      <c r="N20" s="261">
        <f>MAX($F20:$J20)</f>
        <v>5073</v>
      </c>
      <c r="O20" s="261">
        <f>N20-M20</f>
        <v>629</v>
      </c>
    </row>
    <row r="21" spans="3:23" x14ac:dyDescent="0.25">
      <c r="C21" t="s">
        <v>696</v>
      </c>
      <c r="D21" t="s">
        <v>92</v>
      </c>
      <c r="E21" t="s">
        <v>697</v>
      </c>
      <c r="F21" s="261">
        <f>F17+ROUNDUP(SUMIFS(INDEX(CH_BITariff1314341[[Ausnet]:[United Energy]],0,MATCH(F$8,CH_BITariff1314341[[#Headers],[Ausnet]:[United Energy]],0)),CH_BITariff1314341[Customer type],$D21,CH_BITariff1314341[Tariff type],$E21,CH_BITariff1314341[Decision],$C$15),0)</f>
        <v>1655</v>
      </c>
      <c r="G21" s="261">
        <f>G17+ROUNDUP(SUMIFS(INDEX(CH_BITariff1314341[[Ausnet]:[United Energy]],0,MATCH(G$8,CH_BITariff1314341[[#Headers],[Ausnet]:[United Energy]],0)),CH_BITariff1314341[Customer type],$D21,CH_BITariff1314341[Tariff type],$E21,CH_BITariff1314341[Decision],$C$15),0)</f>
        <v>1396</v>
      </c>
      <c r="H21" s="261">
        <f>H17+ROUNDUP(SUMIFS(INDEX(CH_BITariff1314341[[Ausnet]:[United Energy]],0,MATCH(H$8,CH_BITariff1314341[[#Headers],[Ausnet]:[United Energy]],0)),CH_BITariff1314341[Customer type],$D21,CH_BITariff1314341[Tariff type],$E21,CH_BITariff1314341[Decision],$C$15),0)</f>
        <v>1483</v>
      </c>
      <c r="I21" s="261">
        <f>I17+ROUNDUP(SUMIFS(INDEX(CH_BITariff1314341[[Ausnet]:[United Energy]],0,MATCH(I$8,CH_BITariff1314341[[#Headers],[Ausnet]:[United Energy]],0)),CH_BITariff1314341[Customer type],$D21,CH_BITariff1314341[Tariff type],$E21,CH_BITariff1314341[Decision],$C$15),0)</f>
        <v>1454</v>
      </c>
      <c r="J21" s="261">
        <f>J17+ROUNDUP(SUMIFS(INDEX(CH_BITariff1314341[[Ausnet]:[United Energy]],0,MATCH(J$8,CH_BITariff1314341[[#Headers],[Ausnet]:[United Energy]],0)),CH_BITariff1314341[Customer type],$D21,CH_BITariff1314341[Tariff type],$E21,CH_BITariff1314341[Decision],$C$15),0)</f>
        <v>1408</v>
      </c>
      <c r="K21" s="261">
        <f>AVERAGE(F21:J21)</f>
        <v>1479.2</v>
      </c>
      <c r="M21" s="261">
        <f>MIN($F21:$J21)</f>
        <v>1396</v>
      </c>
      <c r="N21" s="261">
        <f>MAX($F21:$J21)</f>
        <v>1655</v>
      </c>
      <c r="O21" s="261">
        <f>N21-M21</f>
        <v>259</v>
      </c>
    </row>
    <row r="22" spans="3:23" x14ac:dyDescent="0.25">
      <c r="C22" s="130"/>
      <c r="D22" s="130"/>
      <c r="E22" s="130"/>
      <c r="F22" s="130"/>
      <c r="G22" s="130"/>
      <c r="H22" s="130"/>
      <c r="I22" s="130"/>
      <c r="J22" s="130"/>
      <c r="K22" s="130"/>
      <c r="L22" s="130"/>
      <c r="M22" s="130"/>
      <c r="N22" s="130"/>
      <c r="O22" s="130"/>
      <c r="P22" s="130"/>
      <c r="Q22" s="130"/>
      <c r="R22" s="130"/>
      <c r="S22" s="130"/>
      <c r="T22" s="130"/>
      <c r="U22" s="130"/>
      <c r="V22" s="130"/>
      <c r="W22" s="130"/>
    </row>
    <row r="23" spans="3:23" ht="15.75" x14ac:dyDescent="0.25">
      <c r="C23" s="29" t="s">
        <v>688</v>
      </c>
      <c r="L23" s="130"/>
      <c r="M23" s="130" t="s">
        <v>458</v>
      </c>
      <c r="N23" s="130"/>
      <c r="O23" s="130"/>
      <c r="P23" s="130" t="s">
        <v>700</v>
      </c>
      <c r="Q23" s="130"/>
      <c r="R23" s="130"/>
      <c r="S23" s="130" t="s">
        <v>701</v>
      </c>
      <c r="T23" s="130"/>
      <c r="U23" s="130"/>
      <c r="V23" s="130"/>
      <c r="W23" s="130"/>
    </row>
    <row r="24" spans="3:23" ht="15.75" x14ac:dyDescent="0.25">
      <c r="C24" s="271" t="s">
        <v>698</v>
      </c>
      <c r="D24" s="271" t="s">
        <v>91</v>
      </c>
      <c r="E24" s="271" t="s">
        <v>454</v>
      </c>
      <c r="F24" s="50" t="s">
        <v>268</v>
      </c>
      <c r="G24" s="271" t="s">
        <v>269</v>
      </c>
      <c r="H24" s="271" t="s">
        <v>270</v>
      </c>
      <c r="I24" s="271" t="s">
        <v>271</v>
      </c>
      <c r="J24" s="271" t="s">
        <v>272</v>
      </c>
      <c r="K24" s="271" t="s">
        <v>447</v>
      </c>
      <c r="L24" s="130"/>
      <c r="M24" s="42" t="s">
        <v>455</v>
      </c>
      <c r="N24" s="42" t="s">
        <v>456</v>
      </c>
      <c r="P24" s="42" t="s">
        <v>455</v>
      </c>
      <c r="Q24" s="42" t="s">
        <v>456</v>
      </c>
      <c r="R24" s="130"/>
      <c r="S24" s="42" t="s">
        <v>455</v>
      </c>
      <c r="T24" s="42" t="s">
        <v>456</v>
      </c>
      <c r="U24" s="130"/>
      <c r="V24" s="130"/>
      <c r="W24" s="130"/>
    </row>
    <row r="25" spans="3:23" x14ac:dyDescent="0.25">
      <c r="C25" t="s">
        <v>689</v>
      </c>
      <c r="D25" t="s">
        <v>92</v>
      </c>
      <c r="E25" t="s">
        <v>556</v>
      </c>
      <c r="F25" s="121">
        <f>F17-F9</f>
        <v>0</v>
      </c>
      <c r="G25" s="121">
        <f t="shared" ref="G25:K25" si="0">G17-G9</f>
        <v>0</v>
      </c>
      <c r="H25" s="121">
        <f t="shared" si="0"/>
        <v>0</v>
      </c>
      <c r="I25" s="121">
        <f t="shared" si="0"/>
        <v>0</v>
      </c>
      <c r="J25" s="121">
        <f t="shared" si="0"/>
        <v>0</v>
      </c>
      <c r="K25" s="121">
        <f t="shared" si="0"/>
        <v>0</v>
      </c>
      <c r="L25" s="130"/>
      <c r="M25" s="261">
        <f>MIN($F25:$K25)</f>
        <v>0</v>
      </c>
      <c r="N25" s="261">
        <f>MAX($F25:$K25)</f>
        <v>0</v>
      </c>
      <c r="P25" s="261">
        <f>_xlfn.MINIFS($F25:$K25,$F25:$K25,"&lt;0")</f>
        <v>0</v>
      </c>
      <c r="Q25" s="261">
        <f>_xlfn.MAXIFS($F25:$K25,$F25:$K25,"&lt;0")</f>
        <v>0</v>
      </c>
      <c r="R25" s="261"/>
      <c r="S25" s="261">
        <f>_xlfn.MINIFS($F25:$K25,$F25:$K25,"&gt;0")</f>
        <v>0</v>
      </c>
      <c r="T25" s="261">
        <f>_xlfn.MAXIFS($F25:$K25,$F25:$K25,"&gt;0")</f>
        <v>0</v>
      </c>
      <c r="U25" s="130"/>
      <c r="V25" s="130"/>
      <c r="W25" s="130"/>
    </row>
    <row r="26" spans="3:23" x14ac:dyDescent="0.25">
      <c r="C26" t="s">
        <v>690</v>
      </c>
      <c r="D26" t="s">
        <v>93</v>
      </c>
      <c r="E26" t="s">
        <v>556</v>
      </c>
      <c r="F26" s="121">
        <f t="shared" ref="F26:K29" si="1">F18-F10</f>
        <v>0</v>
      </c>
      <c r="G26" s="121">
        <f t="shared" si="1"/>
        <v>0</v>
      </c>
      <c r="H26" s="121">
        <f t="shared" si="1"/>
        <v>0</v>
      </c>
      <c r="I26" s="121">
        <f t="shared" si="1"/>
        <v>0</v>
      </c>
      <c r="J26" s="121">
        <f t="shared" si="1"/>
        <v>0</v>
      </c>
      <c r="K26" s="121">
        <f t="shared" si="1"/>
        <v>0</v>
      </c>
      <c r="L26" s="130"/>
      <c r="M26" s="261">
        <f>MIN($F26:$K26)</f>
        <v>0</v>
      </c>
      <c r="N26" s="261">
        <f>MAX($F26:$K26)</f>
        <v>0</v>
      </c>
      <c r="P26" s="261">
        <f>_xlfn.MINIFS($F26:$K26,$F26:$K26,"&lt;0")</f>
        <v>0</v>
      </c>
      <c r="Q26" s="261">
        <f>_xlfn.MAXIFS($F26:$K26,$F26:$K26,"&lt;0")</f>
        <v>0</v>
      </c>
      <c r="R26" s="261"/>
      <c r="S26" s="261">
        <f>_xlfn.MINIFS($F26:$K26,$F26:$K26,"&gt;0")</f>
        <v>0</v>
      </c>
      <c r="T26" s="261">
        <f>_xlfn.MAXIFS($F26:$K26,$F26:$K26,"&gt;0")</f>
        <v>0</v>
      </c>
      <c r="U26" s="130"/>
      <c r="V26" s="130"/>
      <c r="W26" s="130"/>
    </row>
    <row r="27" spans="3:23" x14ac:dyDescent="0.25">
      <c r="C27" t="s">
        <v>686</v>
      </c>
      <c r="D27" t="s">
        <v>92</v>
      </c>
      <c r="E27" t="s">
        <v>556</v>
      </c>
      <c r="F27" s="121">
        <f t="shared" si="1"/>
        <v>0</v>
      </c>
      <c r="G27" s="121">
        <f t="shared" si="1"/>
        <v>0</v>
      </c>
      <c r="H27" s="121">
        <f t="shared" si="1"/>
        <v>0</v>
      </c>
      <c r="I27" s="121">
        <f t="shared" si="1"/>
        <v>0</v>
      </c>
      <c r="J27" s="121">
        <f t="shared" si="1"/>
        <v>0</v>
      </c>
      <c r="K27" s="121">
        <f t="shared" si="1"/>
        <v>0</v>
      </c>
      <c r="L27" s="130"/>
      <c r="M27" s="261">
        <f>MIN($F27:$K27)</f>
        <v>0</v>
      </c>
      <c r="N27" s="261">
        <f>MAX($F27:$K27)</f>
        <v>0</v>
      </c>
      <c r="P27" s="261">
        <f>_xlfn.MINIFS($F27:$K27,$F27:$K27,"&lt;0")</f>
        <v>0</v>
      </c>
      <c r="Q27" s="261">
        <f>_xlfn.MAXIFS($F27:$K27,$F27:$K27,"&lt;0")</f>
        <v>0</v>
      </c>
      <c r="R27" s="261"/>
      <c r="S27" s="261">
        <f>_xlfn.MINIFS($F27:$K27,$F27:$K27,"&gt;0")</f>
        <v>0</v>
      </c>
      <c r="T27" s="261">
        <f>_xlfn.MAXIFS($F27:$K27,$F27:$K27,"&gt;0")</f>
        <v>0</v>
      </c>
      <c r="U27" s="130"/>
      <c r="V27" s="130"/>
      <c r="W27" s="130"/>
    </row>
    <row r="28" spans="3:23" x14ac:dyDescent="0.25">
      <c r="C28" t="s">
        <v>687</v>
      </c>
      <c r="D28" t="s">
        <v>93</v>
      </c>
      <c r="E28" t="s">
        <v>556</v>
      </c>
      <c r="F28" s="121">
        <f t="shared" si="1"/>
        <v>0</v>
      </c>
      <c r="G28" s="121">
        <f t="shared" si="1"/>
        <v>0</v>
      </c>
      <c r="H28" s="121">
        <f t="shared" si="1"/>
        <v>0</v>
      </c>
      <c r="I28" s="121">
        <f t="shared" si="1"/>
        <v>0</v>
      </c>
      <c r="J28" s="121">
        <f t="shared" si="1"/>
        <v>0</v>
      </c>
      <c r="K28" s="121">
        <f t="shared" si="1"/>
        <v>0</v>
      </c>
      <c r="L28" s="130"/>
      <c r="M28" s="261">
        <f>MIN($F28:$K28)</f>
        <v>0</v>
      </c>
      <c r="N28" s="261">
        <f>MAX($F28:$K28)</f>
        <v>0</v>
      </c>
      <c r="P28" s="261">
        <f>_xlfn.MINIFS($F28:$K28,$F28:$K28,"&lt;0")</f>
        <v>0</v>
      </c>
      <c r="Q28" s="261">
        <f>_xlfn.MAXIFS($F28:$K28,$F28:$K28,"&lt;0")</f>
        <v>0</v>
      </c>
      <c r="R28" s="261"/>
      <c r="S28" s="261">
        <f>_xlfn.MINIFS($F28:$K28,$F28:$K28,"&gt;0")</f>
        <v>0</v>
      </c>
      <c r="T28" s="261">
        <f>_xlfn.MAXIFS($F28:$K28,$F28:$K28,"&gt;0")</f>
        <v>0</v>
      </c>
      <c r="U28" s="130"/>
      <c r="V28" s="130"/>
      <c r="W28" s="130"/>
    </row>
    <row r="29" spans="3:23" x14ac:dyDescent="0.25">
      <c r="C29" t="s">
        <v>696</v>
      </c>
      <c r="D29" t="s">
        <v>92</v>
      </c>
      <c r="E29" t="s">
        <v>697</v>
      </c>
      <c r="F29" s="121">
        <f t="shared" si="1"/>
        <v>0</v>
      </c>
      <c r="G29" s="121">
        <f t="shared" si="1"/>
        <v>0</v>
      </c>
      <c r="H29" s="121">
        <f t="shared" si="1"/>
        <v>0</v>
      </c>
      <c r="I29" s="121">
        <f t="shared" si="1"/>
        <v>0</v>
      </c>
      <c r="J29" s="121">
        <f t="shared" si="1"/>
        <v>0</v>
      </c>
      <c r="K29" s="121">
        <f t="shared" si="1"/>
        <v>0</v>
      </c>
      <c r="L29" s="130"/>
      <c r="M29" s="261">
        <f>MIN($F29:$K29)</f>
        <v>0</v>
      </c>
      <c r="N29" s="261">
        <f>MAX($F29:$K29)</f>
        <v>0</v>
      </c>
      <c r="P29" s="261">
        <f>_xlfn.MINIFS($F29:$K29,$F29:$K29,"&lt;0")</f>
        <v>0</v>
      </c>
      <c r="Q29" s="261">
        <f>_xlfn.MAXIFS($F29:$K29,$F29:$K29,"&lt;0")</f>
        <v>0</v>
      </c>
      <c r="R29" s="261"/>
      <c r="S29" s="261">
        <f>_xlfn.MINIFS($F29:$K29,$F29:$K29,"&gt;0")</f>
        <v>0</v>
      </c>
      <c r="T29" s="261">
        <f>_xlfn.MAXIFS($F29:$K29,$F29:$K29,"&gt;0")</f>
        <v>0</v>
      </c>
      <c r="U29" s="130"/>
      <c r="V29" s="130"/>
      <c r="W29" s="130"/>
    </row>
    <row r="30" spans="3:23" x14ac:dyDescent="0.25">
      <c r="C30" s="130"/>
      <c r="D30" s="130"/>
      <c r="E30" s="130"/>
      <c r="F30" s="130"/>
      <c r="G30" s="130"/>
      <c r="H30" s="130"/>
      <c r="I30" s="130"/>
      <c r="J30" s="130"/>
      <c r="K30" s="130"/>
      <c r="L30" s="130"/>
      <c r="M30" s="130"/>
      <c r="N30" s="130"/>
      <c r="O30" s="130"/>
      <c r="P30" s="130"/>
      <c r="Q30" s="130"/>
      <c r="R30" s="130"/>
      <c r="S30" s="130"/>
      <c r="T30" s="130"/>
      <c r="U30" s="130"/>
      <c r="V30" s="130"/>
      <c r="W30" s="130"/>
    </row>
    <row r="31" spans="3:23" ht="15.75" x14ac:dyDescent="0.25">
      <c r="C31" s="29" t="s">
        <v>699</v>
      </c>
      <c r="L31" s="130"/>
      <c r="M31" s="130" t="s">
        <v>458</v>
      </c>
      <c r="N31" s="130"/>
      <c r="O31" s="130"/>
      <c r="P31" s="130" t="s">
        <v>700</v>
      </c>
      <c r="Q31" s="130"/>
      <c r="R31" s="130"/>
      <c r="S31" s="130" t="s">
        <v>701</v>
      </c>
      <c r="T31" s="130"/>
      <c r="U31" s="130"/>
      <c r="V31" s="130"/>
      <c r="W31" s="130"/>
    </row>
    <row r="32" spans="3:23" ht="15.75" x14ac:dyDescent="0.25">
      <c r="C32" s="271" t="s">
        <v>698</v>
      </c>
      <c r="D32" s="271" t="s">
        <v>91</v>
      </c>
      <c r="E32" s="271" t="s">
        <v>454</v>
      </c>
      <c r="F32" s="50" t="s">
        <v>268</v>
      </c>
      <c r="G32" s="271" t="s">
        <v>269</v>
      </c>
      <c r="H32" s="271" t="s">
        <v>270</v>
      </c>
      <c r="I32" s="271" t="s">
        <v>271</v>
      </c>
      <c r="J32" s="271" t="s">
        <v>272</v>
      </c>
      <c r="K32" s="271" t="s">
        <v>447</v>
      </c>
      <c r="L32" s="130"/>
      <c r="M32" s="42" t="s">
        <v>455</v>
      </c>
      <c r="N32" s="42" t="s">
        <v>456</v>
      </c>
      <c r="P32" s="42" t="s">
        <v>455</v>
      </c>
      <c r="Q32" s="42" t="s">
        <v>456</v>
      </c>
      <c r="R32" s="130"/>
      <c r="S32" s="42" t="s">
        <v>455</v>
      </c>
      <c r="T32" s="42" t="s">
        <v>456</v>
      </c>
      <c r="U32" s="130"/>
      <c r="V32" s="130"/>
      <c r="W32" s="130"/>
    </row>
    <row r="33" spans="1:52" x14ac:dyDescent="0.25">
      <c r="C33" t="s">
        <v>689</v>
      </c>
      <c r="D33" t="s">
        <v>92</v>
      </c>
      <c r="E33" t="s">
        <v>556</v>
      </c>
      <c r="F33" s="263">
        <f>F25/F9</f>
        <v>0</v>
      </c>
      <c r="G33" s="263">
        <f t="shared" ref="G33:K33" si="2">G25/G9</f>
        <v>0</v>
      </c>
      <c r="H33" s="263">
        <f t="shared" si="2"/>
        <v>0</v>
      </c>
      <c r="I33" s="263">
        <f t="shared" si="2"/>
        <v>0</v>
      </c>
      <c r="J33" s="263">
        <f t="shared" si="2"/>
        <v>0</v>
      </c>
      <c r="K33" s="263">
        <f t="shared" si="2"/>
        <v>0</v>
      </c>
      <c r="L33" s="264"/>
      <c r="M33" s="262">
        <f>MIN($F33:$K33)</f>
        <v>0</v>
      </c>
      <c r="N33" s="262">
        <f>MAX($F33:$K33)</f>
        <v>0</v>
      </c>
      <c r="O33" s="262"/>
      <c r="P33" s="262">
        <f>_xlfn.MINIFS($F33:$K33,$F33:$K33,"&lt;0")</f>
        <v>0</v>
      </c>
      <c r="Q33" s="262">
        <f>_xlfn.MAXIFS($F33:$K33,$F33:$K33,"&lt;0")</f>
        <v>0</v>
      </c>
      <c r="R33" s="262"/>
      <c r="S33" s="262">
        <f>_xlfn.MINIFS($F33:$K33,$F33:$K33,"&gt;0")</f>
        <v>0</v>
      </c>
      <c r="T33" s="262">
        <f>_xlfn.MAXIFS($F33:$K33,$F33:$K33,"&gt;0")</f>
        <v>0</v>
      </c>
      <c r="U33" s="264"/>
      <c r="V33" s="264"/>
      <c r="W33" s="130"/>
    </row>
    <row r="34" spans="1:52" x14ac:dyDescent="0.25">
      <c r="C34" t="s">
        <v>690</v>
      </c>
      <c r="D34" t="s">
        <v>93</v>
      </c>
      <c r="E34" t="s">
        <v>556</v>
      </c>
      <c r="F34" s="263">
        <f t="shared" ref="F34:K37" si="3">F26/F10</f>
        <v>0</v>
      </c>
      <c r="G34" s="263">
        <f t="shared" si="3"/>
        <v>0</v>
      </c>
      <c r="H34" s="263">
        <f t="shared" si="3"/>
        <v>0</v>
      </c>
      <c r="I34" s="263">
        <f t="shared" si="3"/>
        <v>0</v>
      </c>
      <c r="J34" s="263">
        <f t="shared" si="3"/>
        <v>0</v>
      </c>
      <c r="K34" s="263">
        <f t="shared" si="3"/>
        <v>0</v>
      </c>
      <c r="L34" s="264"/>
      <c r="M34" s="262">
        <f>MIN($F34:$K34)</f>
        <v>0</v>
      </c>
      <c r="N34" s="262">
        <f>MAX($F34:$K34)</f>
        <v>0</v>
      </c>
      <c r="O34" s="262"/>
      <c r="P34" s="262">
        <f>_xlfn.MINIFS($F34:$K34,$F34:$K34,"&lt;0")</f>
        <v>0</v>
      </c>
      <c r="Q34" s="262">
        <f>_xlfn.MAXIFS($F34:$K34,$F34:$K34,"&lt;0")</f>
        <v>0</v>
      </c>
      <c r="R34" s="262"/>
      <c r="S34" s="262">
        <f>_xlfn.MINIFS($F34:$K34,$F34:$K34,"&gt;0")</f>
        <v>0</v>
      </c>
      <c r="T34" s="262">
        <f>_xlfn.MAXIFS($F34:$K34,$F34:$K34,"&gt;0")</f>
        <v>0</v>
      </c>
      <c r="U34" s="264"/>
      <c r="V34" s="264"/>
      <c r="W34" s="130"/>
    </row>
    <row r="35" spans="1:52" x14ac:dyDescent="0.25">
      <c r="C35" t="s">
        <v>686</v>
      </c>
      <c r="D35" t="s">
        <v>92</v>
      </c>
      <c r="E35" t="s">
        <v>556</v>
      </c>
      <c r="F35" s="263">
        <f t="shared" si="3"/>
        <v>0</v>
      </c>
      <c r="G35" s="263">
        <f t="shared" si="3"/>
        <v>0</v>
      </c>
      <c r="H35" s="263">
        <f t="shared" si="3"/>
        <v>0</v>
      </c>
      <c r="I35" s="263">
        <f t="shared" si="3"/>
        <v>0</v>
      </c>
      <c r="J35" s="263">
        <f t="shared" si="3"/>
        <v>0</v>
      </c>
      <c r="K35" s="263">
        <f t="shared" si="3"/>
        <v>0</v>
      </c>
      <c r="L35" s="264"/>
      <c r="M35" s="262">
        <f>MIN($F35:$K35)</f>
        <v>0</v>
      </c>
      <c r="N35" s="262">
        <f>MAX($F35:$K35)</f>
        <v>0</v>
      </c>
      <c r="O35" s="262"/>
      <c r="P35" s="262">
        <f>_xlfn.MINIFS($F35:$K35,$F35:$K35,"&lt;0")</f>
        <v>0</v>
      </c>
      <c r="Q35" s="262">
        <f>_xlfn.MAXIFS($F35:$K35,$F35:$K35,"&lt;0")</f>
        <v>0</v>
      </c>
      <c r="R35" s="262"/>
      <c r="S35" s="262">
        <f>_xlfn.MINIFS($F35:$K35,$F35:$K35,"&gt;0")</f>
        <v>0</v>
      </c>
      <c r="T35" s="262">
        <f>_xlfn.MAXIFS($F35:$K35,$F35:$K35,"&gt;0")</f>
        <v>0</v>
      </c>
      <c r="U35" s="264"/>
      <c r="V35" s="264"/>
      <c r="W35" s="130"/>
    </row>
    <row r="36" spans="1:52" x14ac:dyDescent="0.25">
      <c r="C36" t="s">
        <v>687</v>
      </c>
      <c r="D36" t="s">
        <v>93</v>
      </c>
      <c r="E36" t="s">
        <v>556</v>
      </c>
      <c r="F36" s="263">
        <f t="shared" si="3"/>
        <v>0</v>
      </c>
      <c r="G36" s="263">
        <f t="shared" si="3"/>
        <v>0</v>
      </c>
      <c r="H36" s="263">
        <f t="shared" si="3"/>
        <v>0</v>
      </c>
      <c r="I36" s="263">
        <f t="shared" si="3"/>
        <v>0</v>
      </c>
      <c r="J36" s="263">
        <f t="shared" si="3"/>
        <v>0</v>
      </c>
      <c r="K36" s="263">
        <f t="shared" si="3"/>
        <v>0</v>
      </c>
      <c r="L36" s="264"/>
      <c r="M36" s="262">
        <f>MIN($F36:$K36)</f>
        <v>0</v>
      </c>
      <c r="N36" s="262">
        <f>MAX($F36:$K36)</f>
        <v>0</v>
      </c>
      <c r="O36" s="262"/>
      <c r="P36" s="262">
        <f>_xlfn.MINIFS($F36:$K36,$F36:$K36,"&lt;0")</f>
        <v>0</v>
      </c>
      <c r="Q36" s="262">
        <f>_xlfn.MAXIFS($F36:$K36,$F36:$K36,"&lt;0")</f>
        <v>0</v>
      </c>
      <c r="R36" s="262"/>
      <c r="S36" s="262">
        <f>_xlfn.MINIFS($F36:$K36,$F36:$K36,"&gt;0")</f>
        <v>0</v>
      </c>
      <c r="T36" s="262">
        <f>_xlfn.MAXIFS($F36:$K36,$F36:$K36,"&gt;0")</f>
        <v>0</v>
      </c>
      <c r="U36" s="264"/>
      <c r="V36" s="264"/>
      <c r="W36" s="130"/>
    </row>
    <row r="37" spans="1:52" x14ac:dyDescent="0.25">
      <c r="C37" t="s">
        <v>696</v>
      </c>
      <c r="D37" t="s">
        <v>92</v>
      </c>
      <c r="E37" t="s">
        <v>697</v>
      </c>
      <c r="F37" s="263">
        <f t="shared" si="3"/>
        <v>0</v>
      </c>
      <c r="G37" s="263">
        <f t="shared" si="3"/>
        <v>0</v>
      </c>
      <c r="H37" s="263">
        <f t="shared" si="3"/>
        <v>0</v>
      </c>
      <c r="I37" s="263">
        <f t="shared" si="3"/>
        <v>0</v>
      </c>
      <c r="J37" s="263">
        <f t="shared" si="3"/>
        <v>0</v>
      </c>
      <c r="K37" s="263">
        <f t="shared" si="3"/>
        <v>0</v>
      </c>
      <c r="L37" s="264"/>
      <c r="M37" s="262">
        <f>MIN($F37:$K37)</f>
        <v>0</v>
      </c>
      <c r="N37" s="262">
        <f>MAX($F37:$K37)</f>
        <v>0</v>
      </c>
      <c r="O37" s="262"/>
      <c r="P37" s="262">
        <f>_xlfn.MINIFS($F37:$K37,$F37:$K37,"&lt;0")</f>
        <v>0</v>
      </c>
      <c r="Q37" s="262">
        <f>_xlfn.MAXIFS($F37:$K37,$F37:$K37,"&lt;0")</f>
        <v>0</v>
      </c>
      <c r="R37" s="262"/>
      <c r="S37" s="262">
        <f>_xlfn.MINIFS($F37:$K37,$F37:$K37,"&gt;0")</f>
        <v>0</v>
      </c>
      <c r="T37" s="262">
        <f>_xlfn.MAXIFS($F37:$K37,$F37:$K37,"&gt;0")</f>
        <v>0</v>
      </c>
      <c r="U37" s="264"/>
      <c r="V37" s="264"/>
      <c r="W37" s="130"/>
    </row>
    <row r="38" spans="1:52" x14ac:dyDescent="0.25">
      <c r="C38" s="130"/>
      <c r="D38" s="130"/>
      <c r="E38" s="130"/>
      <c r="F38" s="130"/>
      <c r="G38" s="130"/>
      <c r="H38" s="130"/>
      <c r="I38" s="130"/>
      <c r="J38" s="130"/>
      <c r="K38" s="130"/>
      <c r="L38" s="130"/>
      <c r="M38" s="130"/>
      <c r="N38" s="130"/>
      <c r="O38" s="130"/>
      <c r="P38" s="130"/>
      <c r="Q38" s="130"/>
      <c r="R38" s="130"/>
      <c r="S38" s="130"/>
      <c r="T38" s="130"/>
      <c r="U38" s="130"/>
      <c r="V38" s="130"/>
      <c r="W38" s="130"/>
    </row>
    <row r="39" spans="1:52" x14ac:dyDescent="0.25">
      <c r="C39" s="130"/>
      <c r="D39" s="130"/>
      <c r="E39" s="130"/>
      <c r="F39" s="130"/>
      <c r="G39" s="130"/>
      <c r="H39" s="130"/>
      <c r="I39" s="130"/>
      <c r="J39" s="130"/>
      <c r="K39" s="130"/>
      <c r="L39" s="130"/>
      <c r="M39" s="130"/>
      <c r="N39" s="130"/>
      <c r="O39" s="130"/>
      <c r="P39" s="130"/>
      <c r="Q39" s="130"/>
      <c r="R39" s="130"/>
      <c r="S39" s="130"/>
      <c r="T39" s="130"/>
      <c r="U39" s="130"/>
      <c r="V39" s="130"/>
      <c r="W39" s="130"/>
    </row>
    <row r="40" spans="1:52" x14ac:dyDescent="0.25">
      <c r="C40" s="130"/>
      <c r="D40" s="130"/>
      <c r="E40" s="130"/>
      <c r="F40" s="130"/>
      <c r="G40" s="130"/>
      <c r="H40" s="130"/>
      <c r="I40" s="130"/>
      <c r="J40" s="130"/>
      <c r="K40" s="130"/>
      <c r="L40" s="130"/>
      <c r="M40" s="130"/>
      <c r="N40" s="130"/>
      <c r="O40" s="130"/>
      <c r="P40" s="130"/>
      <c r="Q40" s="130"/>
      <c r="R40" s="130"/>
      <c r="S40" s="130"/>
      <c r="T40" s="130"/>
      <c r="U40" s="130"/>
      <c r="V40" s="130"/>
      <c r="W40" s="130"/>
    </row>
    <row r="41" spans="1:52" x14ac:dyDescent="0.25">
      <c r="C41" s="130"/>
      <c r="D41" s="130"/>
      <c r="E41" s="130"/>
      <c r="F41" s="130"/>
      <c r="G41" s="130"/>
      <c r="H41" s="130"/>
      <c r="I41" s="130"/>
      <c r="J41" s="130"/>
      <c r="K41" s="130"/>
      <c r="L41" s="130"/>
      <c r="M41" s="130"/>
      <c r="N41" s="130"/>
      <c r="O41" s="130"/>
      <c r="P41" s="130"/>
      <c r="Q41" s="130"/>
      <c r="R41" s="130"/>
      <c r="S41" s="130"/>
      <c r="T41" s="130"/>
      <c r="U41" s="130"/>
      <c r="V41" s="130"/>
      <c r="W41" s="130"/>
    </row>
    <row r="42" spans="1:52" ht="16.5" thickBot="1" x14ac:dyDescent="0.3">
      <c r="A42" s="1" t="s">
        <v>23</v>
      </c>
      <c r="B42" s="9">
        <f ca="1">MAX(B$3:B6)+0.1</f>
        <v>29.200000000000003</v>
      </c>
      <c r="C42" s="28" t="s">
        <v>437</v>
      </c>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row>
    <row r="43" spans="1:52" x14ac:dyDescent="0.25">
      <c r="C43" s="130"/>
      <c r="D43" s="130"/>
      <c r="E43" s="130"/>
      <c r="F43" s="130"/>
      <c r="G43" s="130"/>
      <c r="H43" s="130"/>
      <c r="I43" s="130"/>
      <c r="J43" s="130"/>
      <c r="K43" s="130"/>
      <c r="L43" s="130"/>
      <c r="M43" s="130"/>
      <c r="N43" s="130"/>
      <c r="O43" s="130"/>
      <c r="P43" s="130"/>
      <c r="Q43" s="130"/>
      <c r="R43" s="130"/>
      <c r="S43" s="130"/>
      <c r="T43" s="130"/>
      <c r="U43" s="130"/>
      <c r="V43" s="130"/>
      <c r="W43" s="130"/>
    </row>
    <row r="44" spans="1:52" x14ac:dyDescent="0.25">
      <c r="C44" s="130" t="s">
        <v>716</v>
      </c>
      <c r="D44" s="130" t="s">
        <v>317</v>
      </c>
      <c r="E44" s="130"/>
      <c r="F44" s="130"/>
      <c r="G44" s="130"/>
      <c r="H44" s="130"/>
      <c r="I44" s="130"/>
      <c r="J44" s="130"/>
      <c r="K44" s="130"/>
      <c r="L44" s="130"/>
      <c r="M44" s="130"/>
      <c r="N44" s="130"/>
      <c r="O44" s="130"/>
      <c r="P44" s="130"/>
      <c r="Q44" s="130"/>
      <c r="R44" s="130"/>
      <c r="S44" s="130"/>
      <c r="T44" s="130"/>
      <c r="U44" s="130"/>
      <c r="V44" s="130"/>
      <c r="W44" s="130"/>
    </row>
    <row r="45" spans="1:52" x14ac:dyDescent="0.25">
      <c r="C45" s="130"/>
      <c r="D45" s="130"/>
      <c r="E45" s="130"/>
      <c r="F45" s="130"/>
      <c r="G45" s="130"/>
      <c r="H45" s="130"/>
      <c r="I45" s="130"/>
      <c r="J45" s="130"/>
      <c r="K45" s="130"/>
      <c r="L45" s="130"/>
      <c r="M45" s="130"/>
      <c r="N45" s="130"/>
      <c r="O45" s="130"/>
      <c r="P45" s="130"/>
      <c r="Q45" s="130"/>
      <c r="R45" s="130"/>
      <c r="S45" s="130"/>
      <c r="T45" s="130"/>
      <c r="U45" s="130"/>
      <c r="V45" s="130"/>
      <c r="W45" s="130"/>
    </row>
    <row r="46" spans="1:52" x14ac:dyDescent="0.25">
      <c r="C46" s="130"/>
      <c r="D46" s="130"/>
      <c r="E46" s="130"/>
      <c r="F46" s="130"/>
      <c r="G46" s="130"/>
      <c r="H46" s="130"/>
      <c r="I46" s="130"/>
      <c r="J46" s="130"/>
      <c r="K46" s="130"/>
      <c r="L46" s="130"/>
      <c r="M46" s="130"/>
      <c r="N46" s="130"/>
      <c r="O46" s="130"/>
      <c r="P46" s="130"/>
      <c r="Q46" s="130"/>
      <c r="R46" s="130"/>
      <c r="S46" s="130"/>
      <c r="T46" s="130"/>
      <c r="U46" s="130"/>
      <c r="V46" s="130"/>
      <c r="W46" s="130"/>
    </row>
    <row r="47" spans="1:52" x14ac:dyDescent="0.25">
      <c r="C47" s="130"/>
      <c r="D47" s="130"/>
      <c r="E47" s="130"/>
      <c r="F47" s="130"/>
      <c r="G47" s="130"/>
      <c r="H47" s="130"/>
      <c r="I47" s="130"/>
      <c r="J47" s="130"/>
      <c r="K47" s="130"/>
      <c r="L47" s="130"/>
      <c r="M47" s="130"/>
      <c r="N47" s="130"/>
      <c r="O47" s="130"/>
      <c r="P47" s="130"/>
      <c r="Q47" s="130"/>
      <c r="R47" s="130"/>
      <c r="S47" s="130"/>
      <c r="T47" s="130"/>
      <c r="U47" s="130"/>
      <c r="V47" s="130"/>
      <c r="W47" s="130"/>
    </row>
    <row r="48" spans="1:52" x14ac:dyDescent="0.25">
      <c r="C48" s="130"/>
      <c r="D48" s="130"/>
      <c r="E48" s="130"/>
      <c r="F48" s="130"/>
      <c r="G48" s="130"/>
      <c r="H48" s="130"/>
      <c r="I48" s="130"/>
      <c r="J48" s="130"/>
      <c r="K48" s="130"/>
      <c r="L48" s="130"/>
      <c r="M48" s="130"/>
      <c r="N48" s="130"/>
      <c r="O48" s="130"/>
      <c r="P48" s="130"/>
      <c r="Q48" s="130"/>
      <c r="R48" s="130"/>
      <c r="S48" s="130"/>
      <c r="T48" s="130"/>
      <c r="U48" s="130"/>
      <c r="V48" s="130"/>
      <c r="W48" s="130"/>
    </row>
    <row r="49" spans="3:23" x14ac:dyDescent="0.25">
      <c r="C49" s="130"/>
      <c r="D49" s="130"/>
      <c r="E49" s="130"/>
      <c r="F49" s="130"/>
      <c r="G49" s="130"/>
      <c r="H49" s="130"/>
      <c r="I49" s="130"/>
      <c r="J49" s="130"/>
      <c r="K49" s="130"/>
      <c r="L49" s="130"/>
      <c r="M49" s="130"/>
      <c r="N49" s="130"/>
      <c r="O49" s="130"/>
      <c r="P49" s="130"/>
      <c r="Q49" s="130"/>
      <c r="R49" s="130"/>
      <c r="S49" s="130"/>
      <c r="T49" s="130"/>
      <c r="U49" s="130"/>
      <c r="V49" s="130"/>
      <c r="W49" s="130"/>
    </row>
    <row r="50" spans="3:23" x14ac:dyDescent="0.25">
      <c r="C50" s="130"/>
      <c r="D50" s="130"/>
      <c r="E50" s="130"/>
      <c r="F50" s="130"/>
      <c r="G50" s="130"/>
      <c r="H50" s="130"/>
      <c r="I50" s="130"/>
      <c r="J50" s="130"/>
      <c r="K50" s="130"/>
      <c r="L50" s="130"/>
      <c r="M50" s="130"/>
      <c r="N50" s="130"/>
      <c r="O50" s="130"/>
      <c r="P50" s="130"/>
      <c r="Q50" s="130"/>
      <c r="R50" s="130"/>
      <c r="S50" s="130"/>
      <c r="T50" s="130"/>
      <c r="U50" s="130"/>
      <c r="V50" s="130"/>
      <c r="W50" s="130"/>
    </row>
    <row r="51" spans="3:23" x14ac:dyDescent="0.25">
      <c r="C51" s="130"/>
      <c r="D51" s="130"/>
      <c r="E51" s="130"/>
      <c r="F51" s="130"/>
      <c r="G51" s="130"/>
      <c r="H51" s="130"/>
      <c r="I51" s="130"/>
      <c r="J51" s="130"/>
      <c r="K51" s="130"/>
      <c r="L51" s="130"/>
      <c r="M51" s="130"/>
      <c r="N51" s="130"/>
      <c r="O51" s="130"/>
      <c r="P51" s="130"/>
      <c r="Q51" s="130"/>
      <c r="R51" s="130"/>
      <c r="S51" s="130"/>
      <c r="T51" s="130"/>
      <c r="U51" s="130"/>
      <c r="V51" s="130"/>
      <c r="W51" s="130"/>
    </row>
    <row r="52" spans="3:23" x14ac:dyDescent="0.25">
      <c r="C52" s="130"/>
      <c r="D52" s="130"/>
      <c r="E52" s="130"/>
      <c r="F52" s="130"/>
      <c r="G52" s="130"/>
      <c r="H52" s="130"/>
      <c r="I52" s="130"/>
      <c r="J52" s="130"/>
      <c r="K52" s="130"/>
      <c r="L52" s="130"/>
      <c r="M52" s="130"/>
      <c r="N52" s="130"/>
      <c r="O52" s="130"/>
      <c r="P52" s="130"/>
      <c r="Q52" s="130"/>
      <c r="R52" s="130"/>
      <c r="S52" s="130"/>
      <c r="T52" s="130"/>
      <c r="U52" s="130"/>
      <c r="V52" s="130"/>
      <c r="W52" s="130"/>
    </row>
    <row r="53" spans="3:23" x14ac:dyDescent="0.25">
      <c r="C53" s="130"/>
      <c r="D53" s="130"/>
      <c r="E53" s="130"/>
      <c r="F53" s="130"/>
      <c r="G53" s="130"/>
      <c r="H53" s="130"/>
      <c r="I53" s="130"/>
      <c r="J53" s="130"/>
      <c r="K53" s="130"/>
      <c r="L53" s="130"/>
      <c r="M53" s="130"/>
      <c r="N53" s="130"/>
      <c r="O53" s="130"/>
      <c r="P53" s="130"/>
      <c r="Q53" s="130"/>
      <c r="R53" s="130"/>
      <c r="S53" s="130"/>
      <c r="T53" s="130"/>
      <c r="U53" s="130"/>
      <c r="V53" s="130"/>
      <c r="W53" s="130"/>
    </row>
    <row r="54" spans="3:23" x14ac:dyDescent="0.25">
      <c r="C54" s="130"/>
      <c r="D54" s="130"/>
      <c r="E54" s="130"/>
      <c r="F54" s="130"/>
      <c r="G54" s="130"/>
      <c r="H54" s="130"/>
      <c r="I54" s="130"/>
      <c r="J54" s="130"/>
      <c r="K54" s="130"/>
      <c r="L54" s="130"/>
      <c r="M54" s="130"/>
      <c r="N54" s="130"/>
      <c r="O54" s="130"/>
      <c r="P54" s="130"/>
      <c r="Q54" s="130"/>
      <c r="R54" s="130"/>
      <c r="S54" s="130"/>
      <c r="T54" s="130"/>
      <c r="U54" s="130"/>
      <c r="V54" s="130"/>
      <c r="W54" s="130"/>
    </row>
    <row r="55" spans="3:23" x14ac:dyDescent="0.25">
      <c r="C55" s="130"/>
      <c r="D55" s="130"/>
      <c r="E55" s="130"/>
      <c r="F55" s="130"/>
      <c r="G55" s="130"/>
      <c r="H55" s="130"/>
      <c r="I55" s="130"/>
      <c r="J55" s="130"/>
      <c r="K55" s="130"/>
      <c r="L55" s="130"/>
      <c r="M55" s="130"/>
      <c r="N55" s="130"/>
      <c r="O55" s="130"/>
      <c r="P55" s="130"/>
      <c r="Q55" s="130"/>
      <c r="R55" s="130"/>
      <c r="S55" s="130"/>
      <c r="T55" s="130"/>
      <c r="U55" s="130"/>
      <c r="V55" s="130"/>
      <c r="W55" s="130"/>
    </row>
    <row r="56" spans="3:23" x14ac:dyDescent="0.25">
      <c r="C56" s="130"/>
      <c r="D56" s="130"/>
      <c r="E56" s="130"/>
      <c r="F56" s="130"/>
      <c r="G56" s="130"/>
      <c r="H56" s="130"/>
      <c r="I56" s="130"/>
      <c r="J56" s="130"/>
      <c r="K56" s="130"/>
      <c r="L56" s="130"/>
      <c r="M56" s="130"/>
      <c r="N56" s="130"/>
      <c r="O56" s="130"/>
      <c r="P56" s="130"/>
      <c r="Q56" s="130"/>
      <c r="R56" s="130"/>
      <c r="S56" s="130"/>
      <c r="T56" s="130"/>
      <c r="U56" s="130"/>
      <c r="V56" s="130"/>
      <c r="W56" s="130"/>
    </row>
    <row r="57" spans="3:23" x14ac:dyDescent="0.25">
      <c r="C57" s="130"/>
      <c r="D57" s="130"/>
      <c r="E57" s="130"/>
      <c r="F57" s="130"/>
      <c r="G57" s="130"/>
      <c r="H57" s="130"/>
      <c r="I57" s="130"/>
      <c r="J57" s="130"/>
      <c r="K57" s="130"/>
      <c r="L57" s="130"/>
      <c r="M57" s="130"/>
      <c r="N57" s="130"/>
      <c r="O57" s="130"/>
      <c r="P57" s="130"/>
      <c r="Q57" s="130"/>
      <c r="R57" s="130"/>
      <c r="S57" s="130"/>
      <c r="T57" s="130"/>
      <c r="U57" s="130"/>
      <c r="V57" s="130"/>
      <c r="W57" s="130"/>
    </row>
    <row r="58" spans="3:23" x14ac:dyDescent="0.25">
      <c r="C58" s="130"/>
      <c r="D58" s="130"/>
      <c r="E58" s="130"/>
      <c r="F58" s="130"/>
      <c r="G58" s="130"/>
      <c r="H58" s="130"/>
      <c r="I58" s="130"/>
      <c r="J58" s="130"/>
      <c r="K58" s="130"/>
      <c r="L58" s="130"/>
      <c r="M58" s="130"/>
      <c r="N58" s="130"/>
      <c r="O58" s="130"/>
      <c r="P58" s="130"/>
      <c r="Q58" s="130"/>
      <c r="R58" s="130"/>
      <c r="S58" s="130"/>
      <c r="T58" s="130"/>
      <c r="U58" s="130"/>
      <c r="V58" s="130"/>
      <c r="W58" s="130"/>
    </row>
    <row r="59" spans="3:23" x14ac:dyDescent="0.25">
      <c r="C59" s="130"/>
      <c r="D59" s="130"/>
      <c r="E59" s="130"/>
      <c r="F59" s="130"/>
      <c r="G59" s="130"/>
      <c r="H59" s="130"/>
      <c r="I59" s="130"/>
      <c r="J59" s="130"/>
      <c r="K59" s="130"/>
      <c r="L59" s="130"/>
      <c r="M59" s="130"/>
      <c r="N59" s="130"/>
      <c r="O59" s="130"/>
      <c r="P59" s="130"/>
      <c r="Q59" s="130"/>
      <c r="R59" s="130"/>
      <c r="S59" s="130"/>
      <c r="T59" s="130"/>
      <c r="U59" s="130"/>
      <c r="V59" s="130"/>
      <c r="W59" s="130"/>
    </row>
    <row r="60" spans="3:23" x14ac:dyDescent="0.25">
      <c r="C60" s="130"/>
      <c r="D60" s="130"/>
      <c r="E60" s="130"/>
      <c r="F60" s="130"/>
      <c r="G60" s="130"/>
      <c r="H60" s="130"/>
      <c r="I60" s="130"/>
      <c r="J60" s="130"/>
      <c r="K60" s="130"/>
      <c r="L60" s="130"/>
      <c r="M60" s="130"/>
      <c r="N60" s="130"/>
      <c r="O60" s="130"/>
      <c r="P60" s="130"/>
      <c r="Q60" s="130"/>
      <c r="R60" s="130"/>
      <c r="S60" s="130"/>
      <c r="T60" s="130"/>
      <c r="U60" s="130"/>
      <c r="V60" s="130"/>
      <c r="W60" s="130"/>
    </row>
    <row r="61" spans="3:23" x14ac:dyDescent="0.25">
      <c r="C61" s="130"/>
      <c r="D61" s="130"/>
      <c r="E61" s="130"/>
      <c r="F61" s="130"/>
      <c r="G61" s="130"/>
      <c r="H61" s="130"/>
      <c r="I61" s="130"/>
      <c r="J61" s="130"/>
      <c r="K61" s="130"/>
      <c r="L61" s="130"/>
      <c r="M61" s="130"/>
      <c r="N61" s="130"/>
      <c r="O61" s="130"/>
      <c r="P61" s="130"/>
      <c r="Q61" s="130"/>
      <c r="R61" s="130"/>
      <c r="S61" s="130"/>
      <c r="T61" s="130"/>
      <c r="U61" s="130"/>
      <c r="V61" s="130"/>
      <c r="W61" s="130"/>
    </row>
    <row r="62" spans="3:23" x14ac:dyDescent="0.25">
      <c r="C62" s="130"/>
      <c r="D62" s="130"/>
      <c r="E62" s="130"/>
      <c r="F62" s="130"/>
      <c r="G62" s="130"/>
      <c r="H62" s="130"/>
      <c r="I62" s="130"/>
      <c r="J62" s="130"/>
      <c r="K62" s="130"/>
      <c r="L62" s="130"/>
      <c r="M62" s="130"/>
      <c r="N62" s="130"/>
      <c r="O62" s="130"/>
      <c r="P62" s="130"/>
      <c r="Q62" s="130"/>
      <c r="R62" s="130"/>
      <c r="S62" s="130"/>
      <c r="T62" s="130"/>
      <c r="U62" s="130"/>
      <c r="V62" s="130"/>
      <c r="W62" s="130"/>
    </row>
    <row r="63" spans="3:23" x14ac:dyDescent="0.25">
      <c r="C63" s="130"/>
      <c r="D63" s="130"/>
      <c r="E63" s="130"/>
      <c r="F63" s="130"/>
      <c r="G63" s="130"/>
      <c r="H63" s="130"/>
      <c r="I63" s="130"/>
      <c r="J63" s="130"/>
      <c r="K63" s="130"/>
      <c r="L63" s="130"/>
      <c r="M63" s="130"/>
      <c r="N63" s="130"/>
      <c r="O63" s="130"/>
      <c r="P63" s="130"/>
      <c r="Q63" s="130"/>
      <c r="R63" s="130"/>
      <c r="S63" s="130"/>
      <c r="T63" s="130"/>
      <c r="U63" s="130"/>
      <c r="V63" s="130"/>
      <c r="W63" s="130"/>
    </row>
    <row r="64" spans="3:23" x14ac:dyDescent="0.25">
      <c r="C64" s="130"/>
      <c r="D64" s="130"/>
      <c r="E64" s="130"/>
      <c r="F64" s="130"/>
      <c r="G64" s="130"/>
      <c r="H64" s="130"/>
      <c r="I64" s="130"/>
      <c r="J64" s="130"/>
      <c r="K64" s="130"/>
      <c r="L64" s="130"/>
      <c r="M64" s="130"/>
      <c r="N64" s="130"/>
      <c r="O64" s="130"/>
      <c r="P64" s="130"/>
      <c r="Q64" s="130"/>
      <c r="R64" s="130"/>
      <c r="S64" s="130"/>
      <c r="T64" s="130"/>
      <c r="U64" s="130"/>
      <c r="V64" s="130"/>
      <c r="W64" s="130"/>
    </row>
    <row r="65" spans="3:23" x14ac:dyDescent="0.25">
      <c r="C65" s="130"/>
      <c r="D65" s="130"/>
      <c r="E65" s="130"/>
      <c r="F65" s="130"/>
      <c r="G65" s="130"/>
      <c r="H65" s="130"/>
      <c r="I65" s="130"/>
      <c r="J65" s="130"/>
      <c r="K65" s="130"/>
      <c r="L65" s="130"/>
      <c r="M65" s="130"/>
      <c r="N65" s="130"/>
      <c r="O65" s="130"/>
      <c r="P65" s="130"/>
      <c r="Q65" s="130"/>
      <c r="R65" s="130"/>
      <c r="S65" s="130"/>
      <c r="T65" s="130"/>
      <c r="U65" s="130"/>
      <c r="V65" s="130"/>
      <c r="W65" s="130"/>
    </row>
    <row r="66" spans="3:23" x14ac:dyDescent="0.25">
      <c r="C66" s="130"/>
      <c r="D66" s="130"/>
      <c r="E66" s="130"/>
      <c r="F66" s="130"/>
      <c r="G66" s="130"/>
      <c r="H66" s="130"/>
      <c r="I66" s="130"/>
      <c r="J66" s="130"/>
      <c r="K66" s="130"/>
      <c r="L66" s="130"/>
      <c r="M66" s="130"/>
      <c r="N66" s="130"/>
      <c r="O66" s="130"/>
      <c r="P66" s="130"/>
      <c r="Q66" s="130"/>
      <c r="R66" s="130"/>
      <c r="S66" s="130"/>
      <c r="T66" s="130"/>
      <c r="U66" s="130"/>
      <c r="V66" s="130"/>
      <c r="W66" s="130"/>
    </row>
    <row r="67" spans="3:23" x14ac:dyDescent="0.25">
      <c r="C67" s="130"/>
      <c r="D67" s="130"/>
      <c r="E67" s="130"/>
      <c r="F67" s="130"/>
      <c r="G67" s="130"/>
      <c r="H67" s="130"/>
      <c r="I67" s="130"/>
      <c r="J67" s="130"/>
      <c r="K67" s="130"/>
      <c r="L67" s="130"/>
      <c r="M67" s="130"/>
      <c r="N67" s="130"/>
      <c r="O67" s="130"/>
      <c r="P67" s="130"/>
      <c r="Q67" s="130"/>
      <c r="R67" s="130"/>
      <c r="S67" s="130"/>
      <c r="T67" s="130"/>
      <c r="U67" s="130"/>
      <c r="V67" s="130"/>
      <c r="W67" s="130"/>
    </row>
    <row r="68" spans="3:23" x14ac:dyDescent="0.25">
      <c r="C68" s="130"/>
      <c r="D68" s="130"/>
      <c r="E68" s="130"/>
      <c r="F68" s="130"/>
      <c r="G68" s="130"/>
      <c r="H68" s="130"/>
      <c r="I68" s="130"/>
      <c r="J68" s="130"/>
      <c r="K68" s="130"/>
      <c r="L68" s="130"/>
      <c r="M68" s="130"/>
      <c r="N68" s="130"/>
      <c r="O68" s="130"/>
      <c r="P68" s="130"/>
      <c r="Q68" s="130"/>
      <c r="R68" s="130"/>
      <c r="S68" s="130"/>
      <c r="T68" s="130"/>
      <c r="U68" s="130"/>
      <c r="V68" s="130"/>
      <c r="W68" s="130"/>
    </row>
    <row r="69" spans="3:23" x14ac:dyDescent="0.25">
      <c r="C69" s="130"/>
      <c r="D69" s="130"/>
      <c r="E69" s="130"/>
      <c r="F69" s="130"/>
      <c r="G69" s="130"/>
      <c r="H69" s="130"/>
      <c r="I69" s="130"/>
      <c r="J69" s="130"/>
      <c r="K69" s="130"/>
      <c r="L69" s="130"/>
      <c r="M69" s="130"/>
      <c r="N69" s="130"/>
      <c r="O69" s="130"/>
      <c r="P69" s="130"/>
      <c r="Q69" s="130"/>
      <c r="R69" s="130"/>
      <c r="S69" s="130"/>
      <c r="T69" s="130"/>
      <c r="U69" s="130"/>
      <c r="V69" s="130"/>
      <c r="W69" s="130"/>
    </row>
    <row r="70" spans="3:23" x14ac:dyDescent="0.25">
      <c r="C70" s="130"/>
      <c r="D70" s="130"/>
      <c r="E70" s="130"/>
      <c r="F70" s="130"/>
      <c r="G70" s="130"/>
      <c r="H70" s="130"/>
      <c r="I70" s="130"/>
      <c r="J70" s="130"/>
      <c r="K70" s="130"/>
      <c r="L70" s="130"/>
      <c r="M70" s="130"/>
      <c r="N70" s="130"/>
      <c r="O70" s="130"/>
      <c r="P70" s="130"/>
      <c r="Q70" s="130"/>
      <c r="R70" s="130"/>
      <c r="S70" s="130"/>
      <c r="T70" s="130"/>
      <c r="U70" s="130"/>
      <c r="V70" s="130"/>
      <c r="W70" s="130"/>
    </row>
    <row r="71" spans="3:23" x14ac:dyDescent="0.25">
      <c r="C71" s="130"/>
      <c r="D71" s="130"/>
      <c r="E71" s="130"/>
      <c r="F71" s="130"/>
      <c r="G71" s="130"/>
      <c r="H71" s="130"/>
      <c r="I71" s="130"/>
      <c r="J71" s="130"/>
      <c r="K71" s="130"/>
      <c r="L71" s="130"/>
      <c r="M71" s="130"/>
      <c r="N71" s="130"/>
      <c r="O71" s="130"/>
      <c r="P71" s="130"/>
      <c r="Q71" s="130"/>
      <c r="R71" s="130"/>
      <c r="S71" s="130"/>
      <c r="T71" s="130"/>
      <c r="U71" s="130"/>
      <c r="V71" s="130"/>
      <c r="W71" s="130"/>
    </row>
    <row r="72" spans="3:23" x14ac:dyDescent="0.25">
      <c r="C72" s="130"/>
      <c r="D72" s="130"/>
      <c r="E72" s="130"/>
      <c r="F72" s="130"/>
      <c r="G72" s="130"/>
      <c r="H72" s="130"/>
      <c r="I72" s="130"/>
      <c r="J72" s="130"/>
      <c r="K72" s="130"/>
      <c r="L72" s="130"/>
      <c r="M72" s="130"/>
      <c r="N72" s="130"/>
      <c r="O72" s="130"/>
      <c r="P72" s="130"/>
      <c r="Q72" s="130"/>
      <c r="R72" s="130"/>
      <c r="S72" s="130"/>
      <c r="T72" s="130"/>
      <c r="U72" s="130"/>
      <c r="V72" s="130"/>
      <c r="W72" s="130"/>
    </row>
    <row r="73" spans="3:23" x14ac:dyDescent="0.25">
      <c r="C73" s="130"/>
      <c r="D73" s="130"/>
      <c r="E73" s="130"/>
      <c r="F73" s="130"/>
      <c r="G73" s="130"/>
      <c r="H73" s="130"/>
      <c r="I73" s="130"/>
      <c r="J73" s="130"/>
      <c r="K73" s="130"/>
      <c r="L73" s="130"/>
      <c r="M73" s="130"/>
      <c r="N73" s="130"/>
      <c r="O73" s="130"/>
      <c r="P73" s="130"/>
      <c r="Q73" s="130"/>
      <c r="R73" s="130"/>
      <c r="S73" s="130"/>
      <c r="T73" s="130"/>
      <c r="U73" s="130"/>
      <c r="V73" s="130"/>
      <c r="W73" s="130"/>
    </row>
    <row r="74" spans="3:23" x14ac:dyDescent="0.25">
      <c r="C74" s="130"/>
      <c r="D74" s="130"/>
      <c r="E74" s="130"/>
      <c r="F74" s="130"/>
      <c r="G74" s="130"/>
      <c r="H74" s="130"/>
      <c r="I74" s="130"/>
      <c r="J74" s="130"/>
      <c r="K74" s="130"/>
      <c r="L74" s="130"/>
      <c r="M74" s="130"/>
      <c r="N74" s="130"/>
      <c r="O74" s="130"/>
      <c r="P74" s="130"/>
      <c r="Q74" s="130"/>
      <c r="R74" s="130"/>
      <c r="S74" s="130"/>
      <c r="T74" s="130"/>
      <c r="U74" s="130"/>
      <c r="V74" s="130"/>
      <c r="W74" s="130"/>
    </row>
    <row r="75" spans="3:23" x14ac:dyDescent="0.25">
      <c r="C75" s="130"/>
      <c r="D75" s="130"/>
      <c r="E75" s="130"/>
      <c r="F75" s="130"/>
      <c r="G75" s="130"/>
      <c r="H75" s="130"/>
      <c r="I75" s="130"/>
      <c r="J75" s="130"/>
      <c r="K75" s="130"/>
      <c r="L75" s="130"/>
      <c r="M75" s="130"/>
      <c r="N75" s="130"/>
      <c r="O75" s="130"/>
      <c r="P75" s="130"/>
      <c r="Q75" s="130"/>
      <c r="R75" s="130"/>
      <c r="S75" s="130"/>
      <c r="T75" s="130"/>
      <c r="U75" s="130"/>
      <c r="V75" s="130"/>
      <c r="W75" s="130"/>
    </row>
    <row r="76" spans="3:23" x14ac:dyDescent="0.25">
      <c r="C76" s="130"/>
      <c r="D76" s="130"/>
      <c r="E76" s="130"/>
      <c r="F76" s="130"/>
      <c r="G76" s="130"/>
      <c r="H76" s="130"/>
      <c r="I76" s="130"/>
      <c r="J76" s="130"/>
      <c r="K76" s="130"/>
      <c r="L76" s="130"/>
      <c r="M76" s="130"/>
      <c r="N76" s="130"/>
      <c r="O76" s="130"/>
      <c r="P76" s="130"/>
      <c r="Q76" s="130"/>
      <c r="R76" s="130"/>
      <c r="S76" s="130"/>
      <c r="T76" s="130"/>
      <c r="U76" s="130"/>
      <c r="V76" s="130"/>
      <c r="W76" s="130"/>
    </row>
    <row r="77" spans="3:23" x14ac:dyDescent="0.25">
      <c r="C77" s="130"/>
      <c r="D77" s="130"/>
      <c r="E77" s="130"/>
      <c r="F77" s="130"/>
      <c r="G77" s="130"/>
      <c r="H77" s="130"/>
      <c r="I77" s="130"/>
      <c r="J77" s="130"/>
      <c r="K77" s="130"/>
      <c r="L77" s="130"/>
      <c r="M77" s="130"/>
      <c r="N77" s="130"/>
      <c r="O77" s="130"/>
      <c r="P77" s="130"/>
      <c r="Q77" s="130"/>
      <c r="R77" s="130"/>
      <c r="S77" s="130"/>
      <c r="T77" s="130"/>
      <c r="U77" s="130"/>
      <c r="V77" s="130"/>
      <c r="W77" s="130"/>
    </row>
    <row r="78" spans="3:23" x14ac:dyDescent="0.25">
      <c r="C78" s="130"/>
      <c r="D78" s="130"/>
      <c r="E78" s="130"/>
      <c r="F78" s="130"/>
      <c r="G78" s="130"/>
      <c r="H78" s="130"/>
      <c r="I78" s="130"/>
      <c r="J78" s="130"/>
      <c r="K78" s="130"/>
      <c r="L78" s="130"/>
      <c r="M78" s="130"/>
      <c r="N78" s="130"/>
      <c r="O78" s="130"/>
      <c r="P78" s="130"/>
      <c r="Q78" s="130"/>
      <c r="R78" s="130"/>
      <c r="S78" s="130"/>
      <c r="T78" s="130"/>
      <c r="U78" s="130"/>
      <c r="V78" s="130"/>
      <c r="W78" s="130"/>
    </row>
    <row r="79" spans="3:23" x14ac:dyDescent="0.25">
      <c r="C79" s="130"/>
      <c r="D79" s="130"/>
      <c r="E79" s="130"/>
      <c r="F79" s="130"/>
      <c r="G79" s="130"/>
      <c r="H79" s="130"/>
      <c r="I79" s="130"/>
      <c r="J79" s="130"/>
      <c r="K79" s="130"/>
      <c r="L79" s="130"/>
      <c r="M79" s="130"/>
      <c r="N79" s="130"/>
      <c r="O79" s="130"/>
      <c r="P79" s="130"/>
      <c r="Q79" s="130"/>
      <c r="R79" s="130"/>
      <c r="S79" s="130"/>
      <c r="T79" s="130"/>
      <c r="U79" s="130"/>
      <c r="V79" s="130"/>
      <c r="W79" s="130"/>
    </row>
    <row r="80" spans="3:23" x14ac:dyDescent="0.25">
      <c r="C80" s="130"/>
      <c r="D80" s="130"/>
      <c r="E80" s="130"/>
      <c r="F80" s="130"/>
      <c r="G80" s="130"/>
      <c r="H80" s="130"/>
      <c r="I80" s="130"/>
      <c r="J80" s="130"/>
      <c r="K80" s="130"/>
      <c r="L80" s="130"/>
      <c r="M80" s="130"/>
      <c r="N80" s="130"/>
      <c r="O80" s="130"/>
      <c r="P80" s="130"/>
      <c r="Q80" s="130"/>
      <c r="R80" s="130"/>
      <c r="S80" s="130"/>
      <c r="T80" s="130"/>
      <c r="U80" s="130"/>
      <c r="V80" s="130"/>
      <c r="W80" s="130"/>
    </row>
    <row r="81" spans="3:23" x14ac:dyDescent="0.25">
      <c r="C81" s="130"/>
      <c r="D81" s="130"/>
      <c r="E81" s="130"/>
      <c r="F81" s="130"/>
      <c r="G81" s="130"/>
      <c r="H81" s="130"/>
      <c r="I81" s="130"/>
      <c r="J81" s="130"/>
      <c r="K81" s="130"/>
      <c r="L81" s="130"/>
      <c r="M81" s="130"/>
      <c r="N81" s="130"/>
      <c r="O81" s="130"/>
      <c r="P81" s="130"/>
      <c r="Q81" s="130"/>
      <c r="R81" s="130"/>
      <c r="S81" s="130"/>
      <c r="T81" s="130"/>
      <c r="U81" s="130"/>
      <c r="V81" s="130"/>
      <c r="W81" s="130"/>
    </row>
    <row r="82" spans="3:23" x14ac:dyDescent="0.25">
      <c r="C82" s="130"/>
      <c r="D82" s="130"/>
      <c r="E82" s="130"/>
      <c r="F82" s="130"/>
      <c r="G82" s="130"/>
      <c r="H82" s="130"/>
      <c r="I82" s="130"/>
      <c r="J82" s="130"/>
      <c r="K82" s="130"/>
      <c r="L82" s="130"/>
      <c r="M82" s="130"/>
      <c r="N82" s="130"/>
      <c r="O82" s="130"/>
      <c r="P82" s="130"/>
      <c r="Q82" s="130"/>
      <c r="R82" s="130"/>
      <c r="S82" s="130"/>
      <c r="T82" s="130"/>
      <c r="U82" s="130"/>
      <c r="V82" s="130"/>
      <c r="W82" s="130"/>
    </row>
    <row r="83" spans="3:23" x14ac:dyDescent="0.25">
      <c r="C83" s="130"/>
      <c r="D83" s="130"/>
      <c r="E83" s="130"/>
      <c r="F83" s="130"/>
      <c r="G83" s="130"/>
      <c r="H83" s="130"/>
      <c r="I83" s="130"/>
      <c r="J83" s="130"/>
      <c r="K83" s="130"/>
      <c r="L83" s="130"/>
      <c r="M83" s="130"/>
      <c r="N83" s="130"/>
      <c r="O83" s="130"/>
      <c r="P83" s="130"/>
      <c r="Q83" s="130"/>
      <c r="R83" s="130"/>
      <c r="S83" s="130"/>
      <c r="T83" s="130"/>
      <c r="U83" s="130"/>
      <c r="V83" s="130"/>
      <c r="W83" s="130"/>
    </row>
    <row r="84" spans="3:23" x14ac:dyDescent="0.25">
      <c r="C84" s="130"/>
      <c r="D84" s="130"/>
      <c r="E84" s="130"/>
      <c r="F84" s="130"/>
      <c r="G84" s="130"/>
      <c r="H84" s="130"/>
      <c r="I84" s="130"/>
      <c r="J84" s="130"/>
      <c r="K84" s="130"/>
      <c r="L84" s="130"/>
      <c r="M84" s="130"/>
      <c r="N84" s="130"/>
      <c r="O84" s="130"/>
      <c r="P84" s="130"/>
      <c r="Q84" s="130"/>
      <c r="R84" s="130"/>
      <c r="S84" s="130"/>
      <c r="T84" s="130"/>
      <c r="U84" s="130"/>
      <c r="V84" s="130"/>
      <c r="W84" s="130"/>
    </row>
    <row r="85" spans="3:23" x14ac:dyDescent="0.25">
      <c r="C85" s="130"/>
      <c r="D85" s="130"/>
      <c r="E85" s="130"/>
      <c r="F85" s="130"/>
      <c r="G85" s="130"/>
      <c r="H85" s="130"/>
      <c r="I85" s="130"/>
      <c r="J85" s="130"/>
      <c r="K85" s="130"/>
      <c r="L85" s="130"/>
      <c r="M85" s="130"/>
      <c r="N85" s="130"/>
      <c r="O85" s="130"/>
      <c r="P85" s="130"/>
      <c r="Q85" s="130"/>
      <c r="R85" s="130"/>
      <c r="S85" s="130"/>
      <c r="T85" s="130"/>
      <c r="U85" s="130"/>
      <c r="V85" s="130"/>
      <c r="W85" s="130"/>
    </row>
    <row r="86" spans="3:23" x14ac:dyDescent="0.25">
      <c r="C86" s="130"/>
      <c r="D86" s="130"/>
      <c r="E86" s="130"/>
      <c r="F86" s="130"/>
      <c r="G86" s="130"/>
      <c r="H86" s="130"/>
      <c r="I86" s="130"/>
      <c r="J86" s="130"/>
      <c r="K86" s="130"/>
      <c r="L86" s="130"/>
      <c r="M86" s="130"/>
      <c r="N86" s="130"/>
      <c r="O86" s="130"/>
      <c r="P86" s="130"/>
      <c r="Q86" s="130"/>
      <c r="R86" s="130"/>
      <c r="S86" s="130"/>
      <c r="T86" s="130"/>
      <c r="U86" s="130"/>
      <c r="V86" s="130"/>
      <c r="W86" s="130"/>
    </row>
    <row r="87" spans="3:23" x14ac:dyDescent="0.25">
      <c r="C87" s="130"/>
      <c r="D87" s="130"/>
      <c r="E87" s="130"/>
      <c r="F87" s="130"/>
      <c r="G87" s="130"/>
      <c r="H87" s="130"/>
      <c r="I87" s="130"/>
      <c r="J87" s="130"/>
      <c r="K87" s="130"/>
      <c r="L87" s="130"/>
      <c r="M87" s="130"/>
      <c r="N87" s="130"/>
      <c r="O87" s="130"/>
      <c r="P87" s="130"/>
      <c r="Q87" s="130"/>
      <c r="R87" s="130"/>
      <c r="S87" s="130"/>
      <c r="T87" s="130"/>
      <c r="U87" s="130"/>
      <c r="V87" s="130"/>
      <c r="W87" s="130"/>
    </row>
    <row r="88" spans="3:23" x14ac:dyDescent="0.25">
      <c r="C88" s="130"/>
      <c r="D88" s="130"/>
      <c r="E88" s="130"/>
      <c r="F88" s="130"/>
      <c r="G88" s="130"/>
      <c r="H88" s="130"/>
      <c r="I88" s="130"/>
      <c r="J88" s="130"/>
      <c r="K88" s="130"/>
      <c r="L88" s="130"/>
      <c r="M88" s="130"/>
      <c r="N88" s="130"/>
      <c r="O88" s="130"/>
      <c r="P88" s="130"/>
      <c r="Q88" s="130"/>
      <c r="R88" s="130"/>
      <c r="S88" s="130"/>
      <c r="T88" s="130"/>
      <c r="U88" s="130"/>
      <c r="V88" s="130"/>
      <c r="W88" s="130"/>
    </row>
    <row r="89" spans="3:23" x14ac:dyDescent="0.25">
      <c r="C89" s="130"/>
      <c r="D89" s="130"/>
      <c r="E89" s="130"/>
      <c r="F89" s="130"/>
      <c r="G89" s="130"/>
      <c r="H89" s="130"/>
      <c r="I89" s="130"/>
      <c r="J89" s="130"/>
      <c r="K89" s="130"/>
      <c r="L89" s="130"/>
      <c r="M89" s="130"/>
      <c r="N89" s="130"/>
      <c r="O89" s="130"/>
      <c r="P89" s="130"/>
      <c r="Q89" s="130"/>
      <c r="R89" s="130"/>
      <c r="S89" s="130"/>
      <c r="T89" s="130"/>
      <c r="U89" s="130"/>
      <c r="V89" s="130"/>
      <c r="W89" s="130"/>
    </row>
    <row r="90" spans="3:23" x14ac:dyDescent="0.25">
      <c r="C90" s="130"/>
      <c r="D90" s="130"/>
      <c r="E90" s="130"/>
      <c r="F90" s="130"/>
      <c r="G90" s="130"/>
      <c r="H90" s="130"/>
      <c r="I90" s="130"/>
      <c r="J90" s="130"/>
      <c r="K90" s="130"/>
      <c r="L90" s="130"/>
      <c r="M90" s="130"/>
      <c r="N90" s="130"/>
      <c r="O90" s="130"/>
      <c r="P90" s="130"/>
      <c r="Q90" s="130"/>
      <c r="R90" s="130"/>
      <c r="S90" s="130"/>
      <c r="T90" s="130"/>
      <c r="U90" s="130"/>
      <c r="V90" s="130"/>
      <c r="W90" s="130"/>
    </row>
    <row r="91" spans="3:23" x14ac:dyDescent="0.25">
      <c r="C91" s="130"/>
      <c r="D91" s="130"/>
      <c r="E91" s="130"/>
      <c r="F91" s="130"/>
      <c r="G91" s="130"/>
      <c r="H91" s="130"/>
      <c r="I91" s="130"/>
      <c r="J91" s="130"/>
      <c r="K91" s="130"/>
      <c r="L91" s="130"/>
      <c r="M91" s="130"/>
      <c r="N91" s="130"/>
      <c r="O91" s="130"/>
      <c r="P91" s="130"/>
      <c r="Q91" s="130"/>
      <c r="R91" s="130"/>
      <c r="S91" s="130"/>
      <c r="T91" s="130"/>
      <c r="U91" s="130"/>
      <c r="V91" s="130"/>
      <c r="W91" s="130"/>
    </row>
    <row r="92" spans="3:23" x14ac:dyDescent="0.25">
      <c r="C92" s="130"/>
      <c r="D92" s="130"/>
      <c r="E92" s="130"/>
      <c r="F92" s="130"/>
      <c r="G92" s="130"/>
      <c r="H92" s="130"/>
      <c r="I92" s="130"/>
      <c r="J92" s="130"/>
      <c r="K92" s="130"/>
      <c r="L92" s="130"/>
      <c r="M92" s="130"/>
      <c r="N92" s="130"/>
      <c r="O92" s="130"/>
      <c r="P92" s="130"/>
      <c r="Q92" s="130"/>
      <c r="R92" s="130"/>
      <c r="S92" s="130"/>
      <c r="T92" s="130"/>
      <c r="U92" s="130"/>
      <c r="V92" s="130"/>
      <c r="W92" s="130"/>
    </row>
    <row r="93" spans="3:23" x14ac:dyDescent="0.25">
      <c r="C93" s="130"/>
      <c r="D93" s="130"/>
      <c r="E93" s="130"/>
      <c r="F93" s="130"/>
      <c r="G93" s="130"/>
      <c r="H93" s="130"/>
      <c r="I93" s="130"/>
      <c r="J93" s="130"/>
      <c r="K93" s="130"/>
      <c r="L93" s="130"/>
      <c r="M93" s="130"/>
      <c r="N93" s="130"/>
      <c r="O93" s="130"/>
      <c r="P93" s="130"/>
      <c r="Q93" s="130"/>
      <c r="R93" s="130"/>
      <c r="S93" s="130"/>
      <c r="T93" s="130"/>
      <c r="U93" s="130"/>
      <c r="V93" s="130"/>
      <c r="W93" s="130"/>
    </row>
    <row r="94" spans="3:23" x14ac:dyDescent="0.25">
      <c r="C94" s="130"/>
      <c r="D94" s="130"/>
      <c r="E94" s="130"/>
      <c r="F94" s="130"/>
      <c r="G94" s="130"/>
      <c r="H94" s="130"/>
      <c r="I94" s="130"/>
      <c r="J94" s="130"/>
      <c r="K94" s="130"/>
      <c r="L94" s="130"/>
      <c r="M94" s="130"/>
      <c r="N94" s="130"/>
      <c r="O94" s="130"/>
      <c r="P94" s="130"/>
      <c r="Q94" s="130"/>
      <c r="R94" s="130"/>
      <c r="S94" s="130"/>
      <c r="T94" s="130"/>
      <c r="U94" s="130"/>
      <c r="V94" s="130"/>
      <c r="W94" s="130"/>
    </row>
    <row r="95" spans="3:23" x14ac:dyDescent="0.25">
      <c r="C95" s="130"/>
      <c r="D95" s="130"/>
      <c r="E95" s="130"/>
      <c r="F95" s="130"/>
      <c r="G95" s="130"/>
      <c r="H95" s="130"/>
      <c r="I95" s="130"/>
      <c r="J95" s="130"/>
      <c r="K95" s="130"/>
      <c r="L95" s="130"/>
      <c r="M95" s="130"/>
      <c r="N95" s="130"/>
      <c r="O95" s="130"/>
      <c r="P95" s="130"/>
      <c r="Q95" s="130"/>
      <c r="R95" s="130"/>
      <c r="S95" s="130"/>
      <c r="T95" s="130"/>
      <c r="U95" s="130"/>
      <c r="V95" s="130"/>
      <c r="W95" s="130"/>
    </row>
    <row r="96" spans="3:23" x14ac:dyDescent="0.25">
      <c r="C96" s="130"/>
      <c r="D96" s="130"/>
      <c r="E96" s="130"/>
      <c r="F96" s="130"/>
      <c r="G96" s="130"/>
      <c r="H96" s="130"/>
      <c r="I96" s="130"/>
      <c r="J96" s="130"/>
      <c r="K96" s="130"/>
      <c r="L96" s="130"/>
      <c r="M96" s="130"/>
      <c r="N96" s="130"/>
      <c r="O96" s="130"/>
      <c r="P96" s="130"/>
      <c r="Q96" s="130"/>
      <c r="R96" s="130"/>
      <c r="S96" s="130"/>
      <c r="T96" s="130"/>
      <c r="U96" s="130"/>
      <c r="V96" s="130"/>
      <c r="W96" s="130"/>
    </row>
    <row r="97" spans="3:23" x14ac:dyDescent="0.25">
      <c r="C97" s="130"/>
      <c r="D97" s="130"/>
      <c r="E97" s="130"/>
      <c r="F97" s="130"/>
      <c r="G97" s="130"/>
      <c r="H97" s="130"/>
      <c r="I97" s="130"/>
      <c r="J97" s="130"/>
      <c r="K97" s="130"/>
      <c r="L97" s="130"/>
      <c r="M97" s="130"/>
      <c r="N97" s="130"/>
      <c r="O97" s="130"/>
      <c r="P97" s="130"/>
      <c r="Q97" s="130"/>
      <c r="R97" s="130"/>
      <c r="S97" s="130"/>
      <c r="T97" s="130"/>
      <c r="U97" s="130"/>
      <c r="V97" s="130"/>
      <c r="W97" s="130"/>
    </row>
    <row r="98" spans="3:23" x14ac:dyDescent="0.25">
      <c r="C98" s="130"/>
      <c r="D98" s="130"/>
      <c r="E98" s="130"/>
      <c r="F98" s="130"/>
      <c r="G98" s="130"/>
      <c r="H98" s="130"/>
      <c r="I98" s="130"/>
      <c r="J98" s="130"/>
      <c r="K98" s="130"/>
      <c r="L98" s="130"/>
      <c r="M98" s="130"/>
      <c r="N98" s="130"/>
      <c r="O98" s="130"/>
      <c r="P98" s="130"/>
      <c r="Q98" s="130"/>
      <c r="R98" s="130"/>
      <c r="S98" s="130"/>
      <c r="T98" s="130"/>
      <c r="U98" s="130"/>
      <c r="V98" s="130"/>
      <c r="W98" s="130"/>
    </row>
    <row r="99" spans="3:23" x14ac:dyDescent="0.25">
      <c r="C99" s="130"/>
      <c r="D99" s="130"/>
      <c r="E99" s="130"/>
      <c r="F99" s="130"/>
      <c r="G99" s="130"/>
      <c r="H99" s="130"/>
      <c r="I99" s="130"/>
      <c r="J99" s="130"/>
      <c r="K99" s="130"/>
      <c r="L99" s="130"/>
      <c r="M99" s="130"/>
      <c r="N99" s="130"/>
      <c r="O99" s="130"/>
      <c r="P99" s="130"/>
      <c r="Q99" s="130"/>
      <c r="R99" s="130"/>
      <c r="S99" s="130"/>
      <c r="T99" s="130"/>
      <c r="U99" s="130"/>
      <c r="V99" s="130"/>
      <c r="W99" s="130"/>
    </row>
    <row r="100" spans="3:23" x14ac:dyDescent="0.25">
      <c r="C100" s="130"/>
      <c r="D100" s="130"/>
      <c r="H100" s="130"/>
      <c r="L100" s="130"/>
      <c r="P100" s="130"/>
      <c r="R100" s="130"/>
      <c r="S100" s="130"/>
      <c r="T100" s="130"/>
      <c r="V100" s="130"/>
      <c r="W100" s="130"/>
    </row>
    <row r="101" spans="3:23" x14ac:dyDescent="0.25">
      <c r="C101" s="130"/>
      <c r="D101" s="130"/>
      <c r="H101" s="130"/>
      <c r="L101" s="130"/>
      <c r="P101" s="130"/>
      <c r="R101" s="130"/>
      <c r="S101" s="130"/>
      <c r="T101" s="130"/>
      <c r="V101" s="130"/>
      <c r="W101" s="130"/>
    </row>
    <row r="102" spans="3:23" x14ac:dyDescent="0.25">
      <c r="C102" s="130"/>
      <c r="D102" s="130"/>
      <c r="H102" s="130"/>
      <c r="L102" s="130"/>
      <c r="P102" s="130"/>
      <c r="R102" s="130"/>
      <c r="S102" s="130"/>
      <c r="T102" s="130"/>
      <c r="V102" s="130"/>
      <c r="W102" s="130"/>
    </row>
    <row r="103" spans="3:23" x14ac:dyDescent="0.25">
      <c r="C103" s="130"/>
      <c r="D103" s="130"/>
      <c r="H103" s="130"/>
      <c r="L103" s="130"/>
      <c r="P103" s="130"/>
      <c r="R103" s="130"/>
      <c r="S103" s="130"/>
      <c r="T103" s="130"/>
      <c r="V103" s="130"/>
      <c r="W103" s="130"/>
    </row>
    <row r="104" spans="3:23" x14ac:dyDescent="0.25">
      <c r="C104" s="130"/>
      <c r="D104" s="130"/>
      <c r="H104" s="130"/>
      <c r="L104" s="130"/>
      <c r="P104" s="130"/>
      <c r="R104" s="130"/>
      <c r="S104" s="130"/>
      <c r="T104" s="130"/>
      <c r="V104" s="130"/>
      <c r="W104" s="130"/>
    </row>
    <row r="105" spans="3:23" x14ac:dyDescent="0.25">
      <c r="C105" s="130"/>
      <c r="D105" s="130"/>
      <c r="H105" s="130"/>
      <c r="L105" s="130"/>
      <c r="P105" s="130"/>
      <c r="R105" s="130"/>
      <c r="S105" s="130"/>
      <c r="T105" s="130"/>
      <c r="V105" s="130"/>
      <c r="W105" s="130"/>
    </row>
    <row r="106" spans="3:23" x14ac:dyDescent="0.25">
      <c r="C106" s="130"/>
      <c r="D106" s="130"/>
      <c r="H106" s="130"/>
      <c r="L106" s="130"/>
      <c r="P106" s="130"/>
      <c r="R106" s="130"/>
      <c r="S106" s="130"/>
      <c r="T106" s="130"/>
      <c r="V106" s="130"/>
      <c r="W106" s="130"/>
    </row>
    <row r="107" spans="3:23" x14ac:dyDescent="0.25">
      <c r="C107" s="130"/>
      <c r="D107" s="130"/>
      <c r="H107" s="130"/>
      <c r="L107" s="130"/>
      <c r="P107" s="130"/>
      <c r="R107" s="130"/>
      <c r="S107" s="130"/>
      <c r="T107" s="130"/>
      <c r="V107" s="130"/>
      <c r="W107" s="130"/>
    </row>
    <row r="108" spans="3:23" x14ac:dyDescent="0.25">
      <c r="C108" s="130"/>
      <c r="D108" s="130"/>
      <c r="H108" s="130"/>
      <c r="L108" s="130"/>
      <c r="P108" s="130"/>
      <c r="R108" s="130"/>
      <c r="S108" s="130"/>
      <c r="T108" s="130"/>
      <c r="V108" s="130"/>
      <c r="W108" s="130"/>
    </row>
    <row r="109" spans="3:23" x14ac:dyDescent="0.25">
      <c r="C109" s="130"/>
      <c r="D109" s="130"/>
      <c r="H109" s="130"/>
      <c r="L109" s="130"/>
      <c r="P109" s="130"/>
      <c r="R109" s="130"/>
      <c r="S109" s="130"/>
      <c r="T109" s="130"/>
      <c r="V109" s="130"/>
      <c r="W109" s="130"/>
    </row>
    <row r="110" spans="3:23" x14ac:dyDescent="0.25">
      <c r="C110" s="130"/>
      <c r="D110" s="130"/>
      <c r="H110" s="130"/>
      <c r="L110" s="130"/>
      <c r="P110" s="130"/>
      <c r="R110" s="130"/>
      <c r="S110" s="130"/>
      <c r="T110" s="130"/>
      <c r="V110" s="130"/>
      <c r="W110" s="130"/>
    </row>
    <row r="111" spans="3:23" x14ac:dyDescent="0.25">
      <c r="C111" s="130"/>
      <c r="D111" s="130"/>
      <c r="H111" s="130"/>
      <c r="L111" s="130"/>
      <c r="P111" s="130"/>
      <c r="R111" s="130"/>
      <c r="S111" s="130"/>
      <c r="T111" s="130"/>
      <c r="V111" s="130"/>
      <c r="W111" s="130"/>
    </row>
    <row r="112" spans="3:23" x14ac:dyDescent="0.25">
      <c r="C112" s="130"/>
      <c r="D112" s="130"/>
      <c r="H112" s="130"/>
      <c r="L112" s="130"/>
      <c r="P112" s="130"/>
      <c r="R112" s="130"/>
      <c r="S112" s="130"/>
      <c r="T112" s="130"/>
      <c r="V112" s="130"/>
      <c r="W112" s="130"/>
    </row>
    <row r="113" spans="3:23" x14ac:dyDescent="0.25">
      <c r="C113" s="130"/>
      <c r="D113" s="130"/>
      <c r="H113" s="130"/>
      <c r="L113" s="130"/>
      <c r="P113" s="130"/>
      <c r="R113" s="130"/>
      <c r="S113" s="130"/>
      <c r="T113" s="130"/>
      <c r="V113" s="130"/>
      <c r="W113" s="130"/>
    </row>
    <row r="114" spans="3:23" x14ac:dyDescent="0.25">
      <c r="C114" s="130"/>
      <c r="D114" s="130"/>
      <c r="H114" s="130"/>
      <c r="L114" s="130"/>
      <c r="P114" s="130"/>
      <c r="R114" s="130"/>
      <c r="S114" s="130"/>
      <c r="T114" s="130"/>
      <c r="V114" s="130"/>
      <c r="W114" s="130"/>
    </row>
    <row r="115" spans="3:23" x14ac:dyDescent="0.25">
      <c r="C115" s="130"/>
      <c r="D115" s="130"/>
      <c r="H115" s="130"/>
      <c r="L115" s="130"/>
      <c r="P115" s="130"/>
      <c r="R115" s="130"/>
      <c r="S115" s="130"/>
      <c r="T115" s="130"/>
      <c r="V115" s="130"/>
      <c r="W115" s="130"/>
    </row>
    <row r="116" spans="3:23" x14ac:dyDescent="0.25">
      <c r="C116" s="130"/>
      <c r="D116" s="130"/>
      <c r="H116" s="130"/>
      <c r="L116" s="130"/>
      <c r="P116" s="130"/>
      <c r="R116" s="130"/>
      <c r="S116" s="130"/>
      <c r="T116" s="130"/>
      <c r="V116" s="130"/>
      <c r="W116" s="130"/>
    </row>
    <row r="117" spans="3:23" x14ac:dyDescent="0.25">
      <c r="C117" s="130"/>
      <c r="D117" s="130"/>
      <c r="H117" s="130"/>
      <c r="L117" s="130"/>
      <c r="P117" s="130"/>
      <c r="R117" s="130"/>
      <c r="S117" s="130"/>
      <c r="T117" s="130"/>
      <c r="V117" s="130"/>
      <c r="W117" s="130"/>
    </row>
    <row r="118" spans="3:23" x14ac:dyDescent="0.25">
      <c r="C118" s="130"/>
      <c r="D118" s="130"/>
      <c r="H118" s="130"/>
      <c r="L118" s="130"/>
      <c r="P118" s="130"/>
      <c r="R118" s="130"/>
      <c r="S118" s="130"/>
      <c r="T118" s="130"/>
      <c r="V118" s="130"/>
      <c r="W118" s="130"/>
    </row>
    <row r="119" spans="3:23" x14ac:dyDescent="0.25">
      <c r="C119" s="130"/>
      <c r="D119" s="130"/>
      <c r="H119" s="130"/>
      <c r="L119" s="130"/>
      <c r="P119" s="130"/>
      <c r="R119" s="130"/>
      <c r="S119" s="130"/>
      <c r="T119" s="130"/>
      <c r="V119" s="130"/>
      <c r="W119" s="130"/>
    </row>
    <row r="120" spans="3:23" x14ac:dyDescent="0.25">
      <c r="C120" s="130"/>
      <c r="D120" s="130"/>
      <c r="H120" s="130"/>
      <c r="L120" s="130"/>
      <c r="P120" s="130"/>
      <c r="R120" s="130"/>
      <c r="S120" s="130"/>
      <c r="T120" s="130"/>
      <c r="V120" s="130"/>
      <c r="W120" s="130"/>
    </row>
    <row r="121" spans="3:23" x14ac:dyDescent="0.25">
      <c r="C121" s="130"/>
      <c r="D121" s="130"/>
      <c r="H121" s="130"/>
      <c r="L121" s="130"/>
      <c r="P121" s="130"/>
      <c r="R121" s="130"/>
      <c r="S121" s="130"/>
      <c r="T121" s="130"/>
      <c r="V121" s="130"/>
      <c r="W121" s="130"/>
    </row>
    <row r="122" spans="3:23" x14ac:dyDescent="0.25">
      <c r="C122" s="130"/>
      <c r="D122" s="130"/>
      <c r="H122" s="130"/>
      <c r="L122" s="130"/>
      <c r="P122" s="130"/>
      <c r="R122" s="130"/>
      <c r="S122" s="130"/>
      <c r="T122" s="130"/>
      <c r="V122" s="130"/>
      <c r="W122" s="130"/>
    </row>
    <row r="123" spans="3:23" x14ac:dyDescent="0.25">
      <c r="C123" s="130"/>
      <c r="D123" s="130"/>
      <c r="H123" s="130"/>
      <c r="L123" s="130"/>
      <c r="P123" s="130"/>
      <c r="R123" s="130"/>
      <c r="S123" s="130"/>
      <c r="T123" s="130"/>
      <c r="V123" s="130"/>
      <c r="W123" s="130"/>
    </row>
    <row r="124" spans="3:23" x14ac:dyDescent="0.25">
      <c r="C124" s="130"/>
      <c r="D124" s="130"/>
      <c r="H124" s="130"/>
      <c r="L124" s="130"/>
      <c r="P124" s="130"/>
      <c r="R124" s="130"/>
      <c r="S124" s="130"/>
      <c r="T124" s="130"/>
      <c r="V124" s="130"/>
      <c r="W124" s="130"/>
    </row>
    <row r="125" spans="3:23" x14ac:dyDescent="0.25">
      <c r="C125" s="130"/>
      <c r="D125" s="130"/>
      <c r="H125" s="130"/>
      <c r="L125" s="130"/>
      <c r="P125" s="130"/>
      <c r="R125" s="130"/>
      <c r="S125" s="130"/>
      <c r="T125" s="130"/>
      <c r="V125" s="130"/>
      <c r="W125" s="130"/>
    </row>
    <row r="126" spans="3:23" x14ac:dyDescent="0.25">
      <c r="C126" s="130"/>
      <c r="D126" s="130"/>
      <c r="H126" s="130"/>
      <c r="L126" s="130"/>
      <c r="P126" s="130"/>
      <c r="R126" s="130"/>
      <c r="S126" s="130"/>
      <c r="T126" s="130"/>
      <c r="V126" s="130"/>
      <c r="W126" s="130"/>
    </row>
    <row r="127" spans="3:23" x14ac:dyDescent="0.25">
      <c r="C127" s="130"/>
      <c r="D127" s="130"/>
      <c r="H127" s="130"/>
      <c r="L127" s="130"/>
      <c r="P127" s="130"/>
      <c r="R127" s="130"/>
      <c r="S127" s="130"/>
      <c r="T127" s="130"/>
      <c r="V127" s="130"/>
      <c r="W127" s="130"/>
    </row>
    <row r="128" spans="3:23" x14ac:dyDescent="0.25">
      <c r="C128" s="130"/>
      <c r="D128" s="130"/>
      <c r="H128" s="130"/>
      <c r="L128" s="130"/>
      <c r="P128" s="130"/>
      <c r="R128" s="130"/>
      <c r="S128" s="130"/>
      <c r="T128" s="130"/>
      <c r="V128" s="130"/>
      <c r="W128" s="130"/>
    </row>
    <row r="129" spans="2:52" x14ac:dyDescent="0.25">
      <c r="C129" s="130"/>
      <c r="D129" s="130"/>
      <c r="H129" s="130"/>
      <c r="L129" s="130"/>
      <c r="P129" s="130"/>
      <c r="R129" s="130"/>
      <c r="S129" s="130"/>
      <c r="T129" s="130"/>
      <c r="V129" s="130"/>
      <c r="W129" s="130"/>
    </row>
    <row r="130" spans="2:52" x14ac:dyDescent="0.25">
      <c r="C130" s="130"/>
      <c r="D130" s="130"/>
      <c r="H130" s="130"/>
      <c r="L130" s="130"/>
      <c r="P130" s="130"/>
      <c r="R130" s="130"/>
      <c r="S130" s="130"/>
      <c r="T130" s="130"/>
      <c r="V130" s="130"/>
      <c r="W130" s="130"/>
    </row>
    <row r="131" spans="2:52" x14ac:dyDescent="0.25">
      <c r="C131" s="130"/>
      <c r="D131" s="130"/>
      <c r="H131" s="130"/>
      <c r="L131" s="130"/>
      <c r="P131" s="130"/>
      <c r="R131" s="130"/>
      <c r="S131" s="130"/>
      <c r="T131" s="130"/>
      <c r="V131" s="130"/>
      <c r="W131" s="130"/>
    </row>
    <row r="132" spans="2:52" x14ac:dyDescent="0.25">
      <c r="C132" s="130"/>
      <c r="D132" s="130"/>
      <c r="H132" s="130"/>
      <c r="L132" s="130"/>
      <c r="P132" s="130"/>
      <c r="R132" s="130"/>
      <c r="S132" s="130"/>
      <c r="T132" s="130"/>
      <c r="V132" s="130"/>
      <c r="W132" s="130"/>
    </row>
    <row r="133" spans="2:52" x14ac:dyDescent="0.25">
      <c r="C133" s="130"/>
      <c r="D133" s="130"/>
      <c r="H133" s="130"/>
      <c r="L133" s="130"/>
      <c r="P133" s="130"/>
      <c r="R133" s="130"/>
      <c r="S133" s="130"/>
      <c r="T133" s="130"/>
      <c r="V133" s="130"/>
      <c r="W133" s="130"/>
    </row>
    <row r="134" spans="2:52" x14ac:dyDescent="0.25">
      <c r="C134" s="130"/>
      <c r="D134" s="130"/>
      <c r="H134" s="130"/>
      <c r="L134" s="130"/>
      <c r="P134" s="130"/>
      <c r="R134" s="130"/>
      <c r="S134" s="130"/>
      <c r="T134" s="130"/>
      <c r="V134" s="130"/>
      <c r="W134" s="130"/>
    </row>
    <row r="135" spans="2:52" x14ac:dyDescent="0.25">
      <c r="C135" s="130"/>
      <c r="D135" s="130"/>
      <c r="H135" s="130"/>
      <c r="L135" s="130"/>
      <c r="P135" s="130"/>
      <c r="R135" s="130"/>
      <c r="S135" s="130"/>
      <c r="T135" s="130"/>
      <c r="V135" s="130"/>
      <c r="W135" s="130"/>
    </row>
    <row r="136" spans="2:52" x14ac:dyDescent="0.25">
      <c r="C136" s="130"/>
      <c r="D136" s="130"/>
      <c r="H136" s="130"/>
      <c r="L136" s="130"/>
      <c r="P136" s="130"/>
      <c r="R136" s="130"/>
      <c r="S136" s="130"/>
      <c r="T136" s="130"/>
      <c r="V136" s="130"/>
      <c r="W136" s="130"/>
    </row>
    <row r="137" spans="2:52" ht="15.75" x14ac:dyDescent="0.25">
      <c r="C137" s="149" t="s">
        <v>423</v>
      </c>
      <c r="D137" s="130"/>
      <c r="E137" s="130"/>
      <c r="F137" s="130"/>
      <c r="G137" s="130"/>
      <c r="H137" s="130"/>
      <c r="I137" s="130"/>
      <c r="J137" s="130"/>
      <c r="K137" s="130"/>
      <c r="L137" s="130"/>
      <c r="M137" s="130"/>
      <c r="N137" s="130"/>
      <c r="O137" s="130"/>
      <c r="P137" s="130"/>
      <c r="Q137" s="130"/>
      <c r="R137" s="130"/>
      <c r="T137" s="130"/>
      <c r="U137" s="130"/>
      <c r="V137" s="130"/>
      <c r="W137" s="130"/>
    </row>
    <row r="138" spans="2:52" s="252" customFormat="1" x14ac:dyDescent="0.25">
      <c r="B138" s="272"/>
      <c r="C138" s="273"/>
      <c r="D138" s="385" t="s">
        <v>448</v>
      </c>
      <c r="E138" s="385"/>
      <c r="F138" s="385"/>
      <c r="G138" s="294"/>
      <c r="H138" s="385" t="s">
        <v>269</v>
      </c>
      <c r="I138" s="385"/>
      <c r="J138" s="385"/>
      <c r="K138" s="294"/>
      <c r="L138" s="385" t="s">
        <v>270</v>
      </c>
      <c r="M138" s="385"/>
      <c r="N138" s="385"/>
      <c r="O138" s="294"/>
      <c r="P138" s="385" t="s">
        <v>271</v>
      </c>
      <c r="Q138" s="385"/>
      <c r="R138" s="385"/>
      <c r="T138" s="385" t="s">
        <v>272</v>
      </c>
      <c r="U138" s="385"/>
      <c r="V138" s="385"/>
      <c r="X138" s="385" t="s">
        <v>447</v>
      </c>
      <c r="Y138" s="385"/>
      <c r="Z138" s="385"/>
    </row>
    <row r="139" spans="2:52" s="276" customFormat="1" x14ac:dyDescent="0.25">
      <c r="B139" s="274"/>
      <c r="C139" s="275"/>
      <c r="D139" s="275" t="str">
        <f>IF($D$44="Yes","2021 VDO","")</f>
        <v/>
      </c>
      <c r="E139" s="275" t="s">
        <v>506</v>
      </c>
      <c r="F139" s="275" t="s">
        <v>744</v>
      </c>
      <c r="G139" s="275"/>
      <c r="H139" s="275" t="str">
        <f>IF($D$44="Yes","2021 VDO","")</f>
        <v/>
      </c>
      <c r="I139" s="275" t="s">
        <v>506</v>
      </c>
      <c r="J139" s="275" t="s">
        <v>744</v>
      </c>
      <c r="K139" s="275"/>
      <c r="L139" s="275" t="str">
        <f>IF($D$44="Yes","2021 VDO","")</f>
        <v/>
      </c>
      <c r="M139" s="275" t="s">
        <v>506</v>
      </c>
      <c r="N139" s="275" t="s">
        <v>744</v>
      </c>
      <c r="O139" s="275"/>
      <c r="P139" s="275" t="str">
        <f>IF($D$44="Yes","2021 VDO","")</f>
        <v/>
      </c>
      <c r="Q139" s="275" t="s">
        <v>506</v>
      </c>
      <c r="R139" s="275" t="s">
        <v>744</v>
      </c>
      <c r="T139" s="275" t="str">
        <f>IF($D$44="Yes","2021 VDO","")</f>
        <v/>
      </c>
      <c r="U139" s="275" t="s">
        <v>506</v>
      </c>
      <c r="V139" s="275" t="s">
        <v>744</v>
      </c>
      <c r="X139" s="275" t="str">
        <f>IF($D$44="Yes","2021 VDO","")</f>
        <v/>
      </c>
      <c r="Y139" s="275" t="s">
        <v>506</v>
      </c>
      <c r="Z139" s="275" t="s">
        <v>744</v>
      </c>
      <c r="AA139" s="275"/>
      <c r="AB139" s="275"/>
      <c r="AC139" s="275"/>
      <c r="AD139" s="275"/>
      <c r="AE139" s="275"/>
      <c r="AF139" s="275"/>
      <c r="AG139" s="275"/>
      <c r="AH139" s="275"/>
      <c r="AI139" s="275"/>
      <c r="AJ139" s="275"/>
      <c r="AK139" s="275"/>
      <c r="AL139" s="275"/>
      <c r="AM139" s="275"/>
      <c r="AN139" s="275"/>
      <c r="AO139" s="275"/>
      <c r="AP139" s="275"/>
      <c r="AQ139" s="275"/>
      <c r="AR139" s="275"/>
      <c r="AS139" s="275"/>
      <c r="AT139" s="275"/>
      <c r="AU139" s="275"/>
      <c r="AV139" s="275"/>
      <c r="AW139" s="275"/>
      <c r="AX139" s="275"/>
      <c r="AY139" s="275"/>
      <c r="AZ139" s="275"/>
    </row>
    <row r="140" spans="2:52" x14ac:dyDescent="0.25">
      <c r="C140" s="130" t="s">
        <v>712</v>
      </c>
      <c r="D140" s="279" t="str">
        <f>IF($D$44="Yes",1507,"")</f>
        <v/>
      </c>
      <c r="E140" s="279">
        <f>F9</f>
        <v>1288</v>
      </c>
      <c r="F140" s="279">
        <f>F17</f>
        <v>1288</v>
      </c>
      <c r="G140" s="279"/>
      <c r="H140" s="279" t="str">
        <f>IF($D$44="Yes",1270,"")</f>
        <v/>
      </c>
      <c r="I140" s="279">
        <f>G9</f>
        <v>1087</v>
      </c>
      <c r="J140" s="279">
        <f>G17</f>
        <v>1087</v>
      </c>
      <c r="K140" s="279"/>
      <c r="L140" s="279" t="str">
        <f>IF($D$44="Yes",1328,"")</f>
        <v/>
      </c>
      <c r="M140" s="279">
        <f>H9</f>
        <v>1131</v>
      </c>
      <c r="N140" s="279">
        <f>H17</f>
        <v>1131</v>
      </c>
      <c r="O140" s="279"/>
      <c r="P140" s="279" t="str">
        <f>IF($D$44="Yes",1368,"")</f>
        <v/>
      </c>
      <c r="Q140" s="279">
        <f>I9</f>
        <v>1138</v>
      </c>
      <c r="R140" s="279">
        <f>I17</f>
        <v>1138</v>
      </c>
      <c r="S140" s="261"/>
      <c r="T140" s="279" t="str">
        <f>IF($D$44="Yes",1319,"")</f>
        <v/>
      </c>
      <c r="U140" s="279">
        <f>J9</f>
        <v>1090</v>
      </c>
      <c r="V140" s="279">
        <f>J17</f>
        <v>1090</v>
      </c>
      <c r="W140" s="261"/>
      <c r="X140" s="279" t="str">
        <f>IF($D$44="Yes",1358,"")</f>
        <v/>
      </c>
      <c r="Y140" s="279">
        <f>K9</f>
        <v>1146.8</v>
      </c>
      <c r="Z140" s="279">
        <f>K17</f>
        <v>1146.8</v>
      </c>
      <c r="AA140" s="131"/>
      <c r="AB140" s="131"/>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row>
    <row r="141" spans="2:52" x14ac:dyDescent="0.25">
      <c r="C141" s="130"/>
      <c r="D141" s="279"/>
      <c r="E141" s="279" t="str">
        <f>IF($D$44="Yes",ABS(E140-D140),"")</f>
        <v/>
      </c>
      <c r="F141" s="279">
        <f>ABS(F140-E140)</f>
        <v>0</v>
      </c>
      <c r="G141" s="279"/>
      <c r="H141" s="279"/>
      <c r="I141" s="279" t="str">
        <f>IF($D$44="Yes",ABS(I140-H140),"")</f>
        <v/>
      </c>
      <c r="J141" s="279">
        <f>ABS(J140-I140)</f>
        <v>0</v>
      </c>
      <c r="K141" s="279"/>
      <c r="L141" s="279"/>
      <c r="M141" s="279" t="str">
        <f>IF($D$44="Yes",ABS(M140-L140),"")</f>
        <v/>
      </c>
      <c r="N141" s="279">
        <f>ABS(N140-M140)</f>
        <v>0</v>
      </c>
      <c r="O141" s="279"/>
      <c r="P141" s="279"/>
      <c r="Q141" s="279" t="str">
        <f>IF($D$44="Yes",ABS(Q140-P140),"")</f>
        <v/>
      </c>
      <c r="R141" s="279">
        <f>ABS(R140-Q140)</f>
        <v>0</v>
      </c>
      <c r="S141" s="261"/>
      <c r="T141" s="279"/>
      <c r="U141" s="279" t="str">
        <f>IF($D$44="Yes",ABS(U140-T140),"")</f>
        <v/>
      </c>
      <c r="V141" s="279">
        <f>ABS(V140-U140)</f>
        <v>0</v>
      </c>
      <c r="W141" s="261"/>
      <c r="X141" s="279"/>
      <c r="Y141" s="279" t="str">
        <f>IF($D$44="Yes",ABS(Y140-X140),"")</f>
        <v/>
      </c>
      <c r="Z141" s="279">
        <f>ABS(Z140-Y140)</f>
        <v>0</v>
      </c>
      <c r="AA141" s="132"/>
      <c r="AB141" s="132"/>
      <c r="AC141" s="132"/>
      <c r="AD141" s="132"/>
      <c r="AE141" s="132"/>
      <c r="AF141" s="132"/>
      <c r="AG141" s="132"/>
      <c r="AH141" s="132"/>
      <c r="AI141" s="132"/>
      <c r="AJ141" s="132"/>
      <c r="AK141" s="132"/>
      <c r="AL141" s="132"/>
      <c r="AM141" s="132"/>
      <c r="AN141" s="132"/>
      <c r="AO141" s="132"/>
      <c r="AP141" s="132"/>
      <c r="AQ141" s="132"/>
      <c r="AR141" s="132"/>
      <c r="AS141" s="132"/>
      <c r="AT141" s="132"/>
      <c r="AU141" s="132"/>
      <c r="AV141" s="132"/>
      <c r="AW141" s="132"/>
      <c r="AX141" s="132"/>
      <c r="AY141" s="132"/>
      <c r="AZ141" s="132"/>
    </row>
    <row r="142" spans="2:52" x14ac:dyDescent="0.25">
      <c r="C142" s="130"/>
      <c r="D142" s="279"/>
      <c r="E142" s="279" t="str">
        <f>IF($D$44="Yes",E140-D140,"")</f>
        <v/>
      </c>
      <c r="F142" s="279">
        <f>F140-E140</f>
        <v>0</v>
      </c>
      <c r="G142" s="279"/>
      <c r="H142" s="279"/>
      <c r="I142" s="279" t="str">
        <f>IF($D$44="Yes",I140-H140,"")</f>
        <v/>
      </c>
      <c r="J142" s="279">
        <f>J140-I140</f>
        <v>0</v>
      </c>
      <c r="K142" s="279"/>
      <c r="L142" s="279"/>
      <c r="M142" s="279" t="str">
        <f>IF($D$44="Yes",M140-L140,"")</f>
        <v/>
      </c>
      <c r="N142" s="279">
        <f>N140-M140</f>
        <v>0</v>
      </c>
      <c r="O142" s="279"/>
      <c r="P142" s="279"/>
      <c r="Q142" s="279" t="str">
        <f>IF($D$44="Yes",Q140-P140,"")</f>
        <v/>
      </c>
      <c r="R142" s="279">
        <f>R140-Q140</f>
        <v>0</v>
      </c>
      <c r="S142" s="261"/>
      <c r="T142" s="279"/>
      <c r="U142" s="279" t="str">
        <f>IF($D$44="Yes",U140-T140,"")</f>
        <v/>
      </c>
      <c r="V142" s="279">
        <f>V140-U140</f>
        <v>0</v>
      </c>
      <c r="W142" s="261"/>
      <c r="X142" s="279"/>
      <c r="Y142" s="279" t="str">
        <f>IF($D$44="Yes",Y140-X140,"")</f>
        <v/>
      </c>
      <c r="Z142" s="279">
        <f>Z140-Y140</f>
        <v>0</v>
      </c>
      <c r="AA142" s="133"/>
      <c r="AB142" s="133"/>
      <c r="AC142" s="133"/>
      <c r="AD142" s="133"/>
      <c r="AE142" s="133"/>
      <c r="AF142" s="133"/>
      <c r="AG142" s="133"/>
      <c r="AH142" s="133"/>
      <c r="AI142" s="133"/>
      <c r="AJ142" s="133"/>
      <c r="AK142" s="133"/>
      <c r="AL142" s="133"/>
      <c r="AM142" s="133"/>
      <c r="AN142" s="133"/>
      <c r="AO142" s="133"/>
      <c r="AP142" s="133"/>
      <c r="AQ142" s="133"/>
      <c r="AR142" s="133"/>
      <c r="AS142" s="133"/>
      <c r="AT142" s="133"/>
      <c r="AU142" s="133"/>
      <c r="AV142" s="133"/>
      <c r="AW142" s="133"/>
      <c r="AX142" s="133"/>
      <c r="AY142" s="133"/>
      <c r="AZ142" s="133"/>
    </row>
    <row r="143" spans="2:52" x14ac:dyDescent="0.25">
      <c r="C143" s="130" t="s">
        <v>713</v>
      </c>
      <c r="D143" s="279" t="str">
        <f>IF($D$44="Yes",6887,"")</f>
        <v/>
      </c>
      <c r="E143" s="279">
        <f>F10</f>
        <v>6782</v>
      </c>
      <c r="F143" s="279">
        <f>F18</f>
        <v>6782</v>
      </c>
      <c r="G143" s="279"/>
      <c r="H143" s="279" t="str">
        <f>IF($D$44="Yes",4931,"")</f>
        <v/>
      </c>
      <c r="I143" s="279">
        <f>G10</f>
        <v>4534</v>
      </c>
      <c r="J143" s="279">
        <f>G18</f>
        <v>4534</v>
      </c>
      <c r="K143" s="279"/>
      <c r="L143" s="279" t="str">
        <f>IF($D$44="Yes",5258,"")</f>
        <v/>
      </c>
      <c r="M143" s="279">
        <f>H10</f>
        <v>5165</v>
      </c>
      <c r="N143" s="279">
        <f>H18</f>
        <v>5165</v>
      </c>
      <c r="O143" s="279"/>
      <c r="P143" s="279" t="str">
        <f>IF($D$44="Yes",5095,"")</f>
        <v/>
      </c>
      <c r="Q143" s="279">
        <f>I10</f>
        <v>4779</v>
      </c>
      <c r="R143" s="279">
        <f>I18</f>
        <v>4779</v>
      </c>
      <c r="S143" s="261"/>
      <c r="T143" s="279" t="str">
        <f>IF($D$44="Yes",5270,"")</f>
        <v/>
      </c>
      <c r="U143" s="279">
        <f>J10</f>
        <v>4659</v>
      </c>
      <c r="V143" s="279">
        <f>J18</f>
        <v>4659</v>
      </c>
      <c r="W143" s="261"/>
      <c r="X143" s="279" t="str">
        <f>IF($D$44="Yes",5488,"")</f>
        <v/>
      </c>
      <c r="Y143" s="279">
        <f>K10</f>
        <v>5183.8</v>
      </c>
      <c r="Z143" s="279">
        <f>K18</f>
        <v>5183.8</v>
      </c>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row>
    <row r="144" spans="2:52" x14ac:dyDescent="0.25">
      <c r="C144" s="130"/>
      <c r="D144" s="279"/>
      <c r="E144" s="279" t="str">
        <f>IF($D$44="Yes",ABS(E143-D143),"")</f>
        <v/>
      </c>
      <c r="F144" s="279">
        <f>ABS(F143-E143)</f>
        <v>0</v>
      </c>
      <c r="G144" s="279"/>
      <c r="H144" s="279"/>
      <c r="I144" s="279" t="str">
        <f>IF($D$44="Yes",ABS(I143-H143),"")</f>
        <v/>
      </c>
      <c r="J144" s="279">
        <f>ABS(J143-I143)</f>
        <v>0</v>
      </c>
      <c r="K144" s="279"/>
      <c r="L144" s="279"/>
      <c r="M144" s="279" t="str">
        <f>IF($D$44="Yes",ABS(M143-L143),"")</f>
        <v/>
      </c>
      <c r="N144" s="279">
        <f>ABS(N143-M143)</f>
        <v>0</v>
      </c>
      <c r="O144" s="279"/>
      <c r="P144" s="279"/>
      <c r="Q144" s="279" t="str">
        <f>IF($D$44="Yes",ABS(Q143-P143),"")</f>
        <v/>
      </c>
      <c r="R144" s="279">
        <f>ABS(R143-Q143)</f>
        <v>0</v>
      </c>
      <c r="S144" s="261"/>
      <c r="T144" s="279"/>
      <c r="U144" s="279" t="str">
        <f>IF($D$44="Yes",ABS(U143-T143),"")</f>
        <v/>
      </c>
      <c r="V144" s="279">
        <f>ABS(V143-U143)</f>
        <v>0</v>
      </c>
      <c r="W144" s="261"/>
      <c r="X144" s="279"/>
      <c r="Y144" s="279" t="str">
        <f>IF($D$44="Yes",ABS(Y143-X143),"")</f>
        <v/>
      </c>
      <c r="Z144" s="279">
        <f>ABS(Z143-Y143)</f>
        <v>0</v>
      </c>
      <c r="AA144" s="132"/>
      <c r="AB144" s="132"/>
      <c r="AC144" s="132"/>
      <c r="AD144" s="132"/>
      <c r="AE144" s="132"/>
      <c r="AF144" s="132"/>
      <c r="AG144" s="132"/>
      <c r="AH144" s="132"/>
      <c r="AI144" s="132"/>
      <c r="AJ144" s="132"/>
      <c r="AK144" s="132"/>
      <c r="AL144" s="132"/>
      <c r="AM144" s="132"/>
      <c r="AN144" s="132"/>
      <c r="AO144" s="132"/>
      <c r="AP144" s="132"/>
      <c r="AQ144" s="132"/>
      <c r="AR144" s="132"/>
      <c r="AS144" s="132"/>
      <c r="AT144" s="132"/>
      <c r="AU144" s="132"/>
      <c r="AV144" s="132"/>
      <c r="AW144" s="132"/>
      <c r="AX144" s="132"/>
      <c r="AY144" s="132"/>
      <c r="AZ144" s="132"/>
    </row>
    <row r="145" spans="1:52" x14ac:dyDescent="0.25">
      <c r="C145" s="130"/>
      <c r="D145" s="279"/>
      <c r="E145" s="279" t="str">
        <f>IF($D$44="Yes",E143-D143,"")</f>
        <v/>
      </c>
      <c r="F145" s="279">
        <f>F143-E143</f>
        <v>0</v>
      </c>
      <c r="G145" s="279"/>
      <c r="H145" s="279"/>
      <c r="I145" s="279" t="str">
        <f>IF($D$44="Yes",I143-H143,"")</f>
        <v/>
      </c>
      <c r="J145" s="279">
        <f>J143-I143</f>
        <v>0</v>
      </c>
      <c r="K145" s="279"/>
      <c r="L145" s="279"/>
      <c r="M145" s="279" t="str">
        <f>IF($D$44="Yes",M143-L143,"")</f>
        <v/>
      </c>
      <c r="N145" s="279">
        <f>N143-M143</f>
        <v>0</v>
      </c>
      <c r="O145" s="279"/>
      <c r="P145" s="279"/>
      <c r="Q145" s="279" t="str">
        <f>IF($D$44="Yes",Q143-P143,"")</f>
        <v/>
      </c>
      <c r="R145" s="279">
        <f>R143-Q143</f>
        <v>0</v>
      </c>
      <c r="S145" s="261"/>
      <c r="T145" s="279"/>
      <c r="U145" s="279" t="str">
        <f>IF($D$44="Yes",U143-T143,"")</f>
        <v/>
      </c>
      <c r="V145" s="279">
        <f>V143-U143</f>
        <v>0</v>
      </c>
      <c r="W145" s="261"/>
      <c r="X145" s="279"/>
      <c r="Y145" s="279" t="str">
        <f>IF($D$44="Yes",Y143-X143,"")</f>
        <v/>
      </c>
      <c r="Z145" s="279">
        <f>Z143-Y143</f>
        <v>0</v>
      </c>
      <c r="AA145" s="133"/>
      <c r="AB145" s="133"/>
      <c r="AC145" s="133"/>
      <c r="AD145" s="133"/>
      <c r="AE145" s="133"/>
      <c r="AF145" s="133"/>
      <c r="AG145" s="133"/>
      <c r="AH145" s="133"/>
      <c r="AI145" s="133"/>
      <c r="AJ145" s="133"/>
      <c r="AK145" s="133"/>
      <c r="AL145" s="133"/>
      <c r="AM145" s="133"/>
      <c r="AN145" s="133"/>
      <c r="AO145" s="133"/>
      <c r="AP145" s="133"/>
      <c r="AQ145" s="133"/>
      <c r="AR145" s="133"/>
      <c r="AS145" s="133"/>
      <c r="AT145" s="133"/>
      <c r="AU145" s="133"/>
      <c r="AV145" s="133"/>
      <c r="AW145" s="133"/>
      <c r="AX145" s="133"/>
      <c r="AY145" s="133"/>
      <c r="AZ145" s="133"/>
    </row>
    <row r="146" spans="1:52" x14ac:dyDescent="0.25">
      <c r="C146" s="130" t="s">
        <v>714</v>
      </c>
      <c r="D146" s="279" t="str">
        <f>D140</f>
        <v/>
      </c>
      <c r="E146" s="279">
        <f>F11</f>
        <v>1192</v>
      </c>
      <c r="F146" s="279">
        <f>F19</f>
        <v>1192</v>
      </c>
      <c r="G146" s="279"/>
      <c r="H146" s="279" t="str">
        <f>H140</f>
        <v/>
      </c>
      <c r="I146" s="279">
        <f>G11</f>
        <v>1079</v>
      </c>
      <c r="J146" s="279">
        <f>G19</f>
        <v>1079</v>
      </c>
      <c r="K146" s="279"/>
      <c r="L146" s="279" t="str">
        <f>L140</f>
        <v/>
      </c>
      <c r="M146" s="279">
        <f>H11</f>
        <v>1039</v>
      </c>
      <c r="N146" s="279">
        <f>H19</f>
        <v>1039</v>
      </c>
      <c r="O146" s="279"/>
      <c r="P146" s="279" t="str">
        <f>P140</f>
        <v/>
      </c>
      <c r="Q146" s="279">
        <f>I11</f>
        <v>1123</v>
      </c>
      <c r="R146" s="279">
        <f>I19</f>
        <v>1123</v>
      </c>
      <c r="S146" s="261"/>
      <c r="T146" s="279" t="str">
        <f>T140</f>
        <v/>
      </c>
      <c r="U146" s="279">
        <f>J11</f>
        <v>1082</v>
      </c>
      <c r="V146" s="279">
        <f>J19</f>
        <v>1082</v>
      </c>
      <c r="W146" s="261"/>
      <c r="X146" s="279" t="str">
        <f>X140</f>
        <v/>
      </c>
      <c r="Y146" s="279">
        <f>K11</f>
        <v>1103</v>
      </c>
      <c r="Z146" s="279">
        <f>K19</f>
        <v>1103</v>
      </c>
    </row>
    <row r="147" spans="1:52" x14ac:dyDescent="0.25">
      <c r="C147" s="130"/>
      <c r="D147" s="279"/>
      <c r="E147" s="279" t="str">
        <f>IF($D$44="Yes",ABS(E146-D146),"")</f>
        <v/>
      </c>
      <c r="F147" s="279">
        <f>ABS(F146-E146)</f>
        <v>0</v>
      </c>
      <c r="G147" s="279"/>
      <c r="H147" s="279"/>
      <c r="I147" s="279" t="str">
        <f>IF($D$44="Yes",ABS(I146-H146),"")</f>
        <v/>
      </c>
      <c r="J147" s="279">
        <f>ABS(J146-I146)</f>
        <v>0</v>
      </c>
      <c r="K147" s="279"/>
      <c r="L147" s="279"/>
      <c r="M147" s="279" t="str">
        <f>IF($D$44="Yes",ABS(M146-L146),"")</f>
        <v/>
      </c>
      <c r="N147" s="279">
        <f>ABS(N146-M146)</f>
        <v>0</v>
      </c>
      <c r="O147" s="279"/>
      <c r="P147" s="279"/>
      <c r="Q147" s="279" t="str">
        <f>IF($D$44="Yes",ABS(Q146-P146),"")</f>
        <v/>
      </c>
      <c r="R147" s="279">
        <f>ABS(R146-Q146)</f>
        <v>0</v>
      </c>
      <c r="S147" s="261"/>
      <c r="T147" s="279"/>
      <c r="U147" s="279" t="str">
        <f>IF($D$44="Yes",ABS(U146-T146),"")</f>
        <v/>
      </c>
      <c r="V147" s="279">
        <f>ABS(V146-U146)</f>
        <v>0</v>
      </c>
      <c r="W147" s="261"/>
      <c r="X147" s="279"/>
      <c r="Y147" s="279" t="str">
        <f>IF($D$44="Yes",ABS(Y146-X146),"")</f>
        <v/>
      </c>
      <c r="Z147" s="279">
        <f>ABS(Z146-Y146)</f>
        <v>0</v>
      </c>
    </row>
    <row r="148" spans="1:52" x14ac:dyDescent="0.25">
      <c r="C148" s="130"/>
      <c r="D148" s="279"/>
      <c r="E148" s="279" t="str">
        <f>IF($D$44="Yes",E146-D146,"")</f>
        <v/>
      </c>
      <c r="F148" s="279">
        <f>F146-E146</f>
        <v>0</v>
      </c>
      <c r="G148" s="279"/>
      <c r="H148" s="279"/>
      <c r="I148" s="279" t="str">
        <f>IF($D$44="Yes",I146-H146,"")</f>
        <v/>
      </c>
      <c r="J148" s="279">
        <f>J146-I146</f>
        <v>0</v>
      </c>
      <c r="K148" s="279"/>
      <c r="L148" s="279"/>
      <c r="M148" s="279" t="str">
        <f>IF($D$44="Yes",M146-L146,"")</f>
        <v/>
      </c>
      <c r="N148" s="279">
        <f>N146-M146</f>
        <v>0</v>
      </c>
      <c r="O148" s="279"/>
      <c r="P148" s="279"/>
      <c r="Q148" s="279" t="str">
        <f>IF($D$44="Yes",Q146-P146,"")</f>
        <v/>
      </c>
      <c r="R148" s="279">
        <f>R146-Q146</f>
        <v>0</v>
      </c>
      <c r="S148" s="261"/>
      <c r="T148" s="279"/>
      <c r="U148" s="279" t="str">
        <f>IF($D$44="Yes",U146-T146,"")</f>
        <v/>
      </c>
      <c r="V148" s="279">
        <f>V146-U146</f>
        <v>0</v>
      </c>
      <c r="W148" s="261"/>
      <c r="X148" s="279"/>
      <c r="Y148" s="279" t="str">
        <f>IF($D$44="Yes",Y146-X146,"")</f>
        <v/>
      </c>
      <c r="Z148" s="279">
        <f>Z146-Y146</f>
        <v>0</v>
      </c>
    </row>
    <row r="149" spans="1:52" x14ac:dyDescent="0.25">
      <c r="C149" s="130" t="s">
        <v>713</v>
      </c>
      <c r="D149" s="279" t="str">
        <f>D143</f>
        <v/>
      </c>
      <c r="E149" s="279">
        <f>F12</f>
        <v>5073</v>
      </c>
      <c r="F149" s="279">
        <f>F20</f>
        <v>5073</v>
      </c>
      <c r="G149" s="279"/>
      <c r="H149" s="279" t="str">
        <f>H143</f>
        <v/>
      </c>
      <c r="I149" s="279">
        <f>G12</f>
        <v>4444</v>
      </c>
      <c r="J149" s="279">
        <f>G20</f>
        <v>4444</v>
      </c>
      <c r="K149" s="279"/>
      <c r="L149" s="279" t="str">
        <f>L143</f>
        <v/>
      </c>
      <c r="M149" s="279">
        <f>H12</f>
        <v>4653</v>
      </c>
      <c r="N149" s="279">
        <f>H20</f>
        <v>4653</v>
      </c>
      <c r="O149" s="279"/>
      <c r="P149" s="279" t="str">
        <f>P143</f>
        <v/>
      </c>
      <c r="Q149" s="279">
        <f>I12</f>
        <v>4682</v>
      </c>
      <c r="R149" s="279">
        <f>I20</f>
        <v>4682</v>
      </c>
      <c r="S149" s="261"/>
      <c r="T149" s="279" t="str">
        <f>T143</f>
        <v/>
      </c>
      <c r="U149" s="279">
        <f>J12</f>
        <v>4573</v>
      </c>
      <c r="V149" s="279">
        <f>J20</f>
        <v>4573</v>
      </c>
      <c r="W149" s="261"/>
      <c r="X149" s="279"/>
      <c r="Y149" s="279">
        <f>K12</f>
        <v>4685</v>
      </c>
      <c r="Z149" s="279">
        <f>K20</f>
        <v>4685</v>
      </c>
    </row>
    <row r="150" spans="1:52" x14ac:dyDescent="0.25">
      <c r="C150" s="130"/>
      <c r="D150" s="279"/>
      <c r="E150" s="279" t="str">
        <f>IF($D$44="Yes",ABS(E149-D149),"")</f>
        <v/>
      </c>
      <c r="F150" s="279">
        <f>ABS(F149-E149)</f>
        <v>0</v>
      </c>
      <c r="G150" s="279"/>
      <c r="H150" s="279"/>
      <c r="I150" s="279" t="str">
        <f>IF($D$44="Yes",ABS(I149-H149),"")</f>
        <v/>
      </c>
      <c r="J150" s="279">
        <f>ABS(J149-I149)</f>
        <v>0</v>
      </c>
      <c r="K150" s="279"/>
      <c r="L150" s="279"/>
      <c r="M150" s="279" t="str">
        <f>IF($D$44="Yes",ABS(M149-L149),"")</f>
        <v/>
      </c>
      <c r="N150" s="279">
        <f>ABS(N149-M149)</f>
        <v>0</v>
      </c>
      <c r="O150" s="279"/>
      <c r="P150" s="279"/>
      <c r="Q150" s="279" t="str">
        <f>IF($D$44="Yes",ABS(Q149-P149),"")</f>
        <v/>
      </c>
      <c r="R150" s="279">
        <f>ABS(R149-Q149)</f>
        <v>0</v>
      </c>
      <c r="S150" s="261"/>
      <c r="T150" s="279"/>
      <c r="U150" s="279" t="str">
        <f>IF($D$44="Yes",ABS(U149-T149),"")</f>
        <v/>
      </c>
      <c r="V150" s="279">
        <f>ABS(V149-U149)</f>
        <v>0</v>
      </c>
      <c r="W150" s="261"/>
      <c r="X150" s="279"/>
      <c r="Y150" s="279" t="str">
        <f>IF($D$44="Yes",ABS(Y149-X149),"")</f>
        <v/>
      </c>
      <c r="Z150" s="279">
        <f>ABS(Z149-Y149)</f>
        <v>0</v>
      </c>
    </row>
    <row r="151" spans="1:52" x14ac:dyDescent="0.25">
      <c r="C151" s="130"/>
      <c r="D151" s="279"/>
      <c r="E151" s="279" t="str">
        <f>IF($D$44="Yes",E149-D149,"")</f>
        <v/>
      </c>
      <c r="F151" s="279">
        <f>F149-E149</f>
        <v>0</v>
      </c>
      <c r="G151" s="279"/>
      <c r="H151" s="279"/>
      <c r="I151" s="279" t="str">
        <f>IF($D$44="Yes",I149-H149,"")</f>
        <v/>
      </c>
      <c r="J151" s="279">
        <f>J149-I149</f>
        <v>0</v>
      </c>
      <c r="K151" s="279"/>
      <c r="L151" s="279"/>
      <c r="M151" s="279" t="str">
        <f>IF($D$44="Yes",M149-L149,"")</f>
        <v/>
      </c>
      <c r="N151" s="279">
        <f>N149-M149</f>
        <v>0</v>
      </c>
      <c r="O151" s="279"/>
      <c r="P151" s="279"/>
      <c r="Q151" s="279" t="str">
        <f>IF($D$44="Yes",Q149-P149,"")</f>
        <v/>
      </c>
      <c r="R151" s="279">
        <f>R149-Q149</f>
        <v>0</v>
      </c>
      <c r="S151" s="261"/>
      <c r="T151" s="279"/>
      <c r="U151" s="279" t="str">
        <f>IF($D$44="Yes",U149-T149,"")</f>
        <v/>
      </c>
      <c r="V151" s="279">
        <f>V149-U149</f>
        <v>0</v>
      </c>
      <c r="W151" s="261"/>
      <c r="X151" s="279"/>
      <c r="Y151" s="279" t="str">
        <f>IF($D$44="Yes",Y149-X149,"")</f>
        <v/>
      </c>
      <c r="Z151" s="279">
        <f>Z149-Y149</f>
        <v>0</v>
      </c>
    </row>
    <row r="152" spans="1:52" x14ac:dyDescent="0.25">
      <c r="C152" s="130"/>
      <c r="D152" s="386" t="s">
        <v>745</v>
      </c>
      <c r="E152" s="386"/>
      <c r="F152" s="386"/>
      <c r="G152" s="386"/>
      <c r="H152" s="386" t="s">
        <v>746</v>
      </c>
      <c r="I152" s="386"/>
      <c r="J152" s="386"/>
      <c r="K152" s="386"/>
      <c r="L152" s="386" t="s">
        <v>747</v>
      </c>
      <c r="M152" s="386"/>
      <c r="N152" s="386"/>
      <c r="O152" s="386"/>
      <c r="P152" s="386" t="s">
        <v>687</v>
      </c>
      <c r="Q152" s="386"/>
      <c r="R152" s="386"/>
      <c r="S152" s="386"/>
      <c r="T152" s="261"/>
      <c r="U152" s="279"/>
      <c r="V152" s="279"/>
      <c r="W152" s="279"/>
      <c r="X152" s="261"/>
      <c r="Y152" s="279"/>
      <c r="Z152" s="279"/>
      <c r="AA152" s="279"/>
    </row>
    <row r="153" spans="1:52" x14ac:dyDescent="0.25">
      <c r="C153" s="130"/>
      <c r="D153" s="279"/>
      <c r="E153" s="275" t="s">
        <v>506</v>
      </c>
      <c r="F153" s="275" t="s">
        <v>744</v>
      </c>
      <c r="G153" s="275"/>
      <c r="H153" s="279"/>
      <c r="I153" s="275" t="s">
        <v>506</v>
      </c>
      <c r="J153" s="275" t="s">
        <v>744</v>
      </c>
      <c r="K153" s="275" t="s">
        <v>692</v>
      </c>
      <c r="L153" s="279"/>
      <c r="M153" s="275" t="s">
        <v>506</v>
      </c>
      <c r="N153" s="275" t="s">
        <v>744</v>
      </c>
      <c r="O153" s="275"/>
      <c r="P153" s="279"/>
      <c r="Q153" s="275" t="s">
        <v>506</v>
      </c>
      <c r="R153" s="275" t="s">
        <v>744</v>
      </c>
      <c r="S153" s="275" t="s">
        <v>692</v>
      </c>
      <c r="T153" s="261"/>
      <c r="U153" s="279"/>
      <c r="V153" s="279"/>
      <c r="W153" s="279"/>
      <c r="X153" s="261"/>
      <c r="Y153" s="279"/>
      <c r="Z153" s="279"/>
      <c r="AA153" s="279"/>
    </row>
    <row r="154" spans="1:52" x14ac:dyDescent="0.25">
      <c r="C154" s="130" t="s">
        <v>748</v>
      </c>
      <c r="D154" s="279"/>
      <c r="E154" s="279">
        <f>Y140</f>
        <v>1146.8</v>
      </c>
      <c r="F154" s="279">
        <f>Z140</f>
        <v>1146.8</v>
      </c>
      <c r="G154" s="279"/>
      <c r="H154" s="279"/>
      <c r="I154" s="279">
        <f>Y146</f>
        <v>1103</v>
      </c>
      <c r="J154" s="279">
        <f>Z146</f>
        <v>1103</v>
      </c>
      <c r="K154" s="279"/>
      <c r="L154" s="279"/>
      <c r="M154" s="279">
        <f>Y143</f>
        <v>5183.8</v>
      </c>
      <c r="N154" s="279">
        <f>Z143</f>
        <v>5183.8</v>
      </c>
      <c r="O154" s="279"/>
      <c r="P154" s="279"/>
      <c r="Q154" s="279">
        <f>Y149</f>
        <v>4685</v>
      </c>
      <c r="R154" s="279">
        <f>Z149</f>
        <v>4685</v>
      </c>
      <c r="S154" s="279"/>
      <c r="T154" s="261"/>
      <c r="U154" s="279"/>
      <c r="V154" s="279"/>
      <c r="W154" s="279"/>
      <c r="X154" s="261"/>
      <c r="Y154" s="279"/>
      <c r="Z154" s="279"/>
      <c r="AA154" s="279"/>
    </row>
    <row r="155" spans="1:52" x14ac:dyDescent="0.25">
      <c r="C155" s="130" t="s">
        <v>749</v>
      </c>
      <c r="D155" s="279"/>
      <c r="E155" s="279"/>
      <c r="F155" s="279">
        <f>ABS(F154-E154)</f>
        <v>0</v>
      </c>
      <c r="G155" s="279"/>
      <c r="H155" s="279"/>
      <c r="I155" s="279"/>
      <c r="J155" s="279">
        <f>ABS(J154-I154)</f>
        <v>0</v>
      </c>
      <c r="K155" s="279"/>
      <c r="L155" s="279"/>
      <c r="M155" s="279"/>
      <c r="N155" s="279">
        <f>ABS(N154-M154)</f>
        <v>0</v>
      </c>
      <c r="O155" s="279"/>
      <c r="P155" s="279"/>
      <c r="Q155" s="279"/>
      <c r="R155" s="279">
        <f>ABS(R154-Q154)</f>
        <v>0</v>
      </c>
      <c r="S155" s="279"/>
      <c r="T155" s="261"/>
      <c r="U155" s="279"/>
      <c r="V155" s="279"/>
      <c r="W155" s="279"/>
      <c r="X155" s="261"/>
      <c r="Y155" s="279"/>
      <c r="Z155" s="279"/>
      <c r="AA155" s="279"/>
    </row>
    <row r="156" spans="1:52" x14ac:dyDescent="0.25">
      <c r="C156" s="130"/>
      <c r="D156" s="279"/>
      <c r="E156" s="279"/>
      <c r="F156" s="279">
        <f>F154-E154</f>
        <v>0</v>
      </c>
      <c r="G156" s="279"/>
      <c r="H156" s="279"/>
      <c r="I156" s="279"/>
      <c r="J156" s="279">
        <f>J154-I154</f>
        <v>0</v>
      </c>
      <c r="K156" s="279"/>
      <c r="L156" s="279"/>
      <c r="M156" s="279"/>
      <c r="N156" s="279">
        <f>N154-M154</f>
        <v>0</v>
      </c>
      <c r="O156" s="279"/>
      <c r="P156" s="279"/>
      <c r="Q156" s="279"/>
      <c r="R156" s="279">
        <f>R154-Q154</f>
        <v>0</v>
      </c>
      <c r="S156" s="279"/>
      <c r="T156" s="261"/>
      <c r="U156" s="279"/>
      <c r="V156" s="279"/>
      <c r="W156" s="279"/>
      <c r="X156" s="261"/>
      <c r="Y156" s="279"/>
      <c r="Z156" s="279"/>
      <c r="AA156" s="279"/>
    </row>
    <row r="157" spans="1:52" x14ac:dyDescent="0.25">
      <c r="C157" s="130"/>
      <c r="D157" s="279"/>
      <c r="E157" s="279"/>
      <c r="F157" s="279"/>
      <c r="G157" s="279"/>
      <c r="H157" s="279"/>
      <c r="I157" s="279"/>
      <c r="J157" s="279"/>
      <c r="K157" s="279"/>
      <c r="L157" s="279"/>
      <c r="M157" s="279"/>
      <c r="N157" s="279"/>
      <c r="O157" s="279"/>
      <c r="P157" s="279"/>
      <c r="Q157" s="279"/>
      <c r="R157" s="279"/>
      <c r="S157" s="261"/>
      <c r="T157" s="279"/>
      <c r="U157" s="279"/>
      <c r="V157" s="279"/>
      <c r="W157" s="261"/>
      <c r="X157" s="279"/>
      <c r="Y157" s="279"/>
      <c r="Z157" s="279"/>
    </row>
    <row r="158" spans="1:52" x14ac:dyDescent="0.25">
      <c r="C158" s="130"/>
      <c r="D158" s="279"/>
      <c r="E158" s="279"/>
      <c r="F158" s="279"/>
      <c r="G158" s="279"/>
      <c r="H158" s="279"/>
      <c r="I158" s="279"/>
      <c r="J158" s="279"/>
      <c r="K158" s="279"/>
      <c r="L158" s="279"/>
      <c r="M158" s="279"/>
      <c r="N158" s="279"/>
      <c r="O158" s="279"/>
      <c r="P158" s="279"/>
      <c r="Q158" s="279"/>
      <c r="R158" s="279"/>
      <c r="S158" s="261"/>
      <c r="T158" s="279"/>
      <c r="U158" s="279"/>
      <c r="V158" s="279"/>
      <c r="W158" s="261"/>
      <c r="X158" s="279"/>
      <c r="Y158" s="279"/>
      <c r="Z158" s="279"/>
    </row>
    <row r="159" spans="1:52" ht="16.5" thickBot="1" x14ac:dyDescent="0.3">
      <c r="A159" s="1" t="s">
        <v>23</v>
      </c>
      <c r="B159" s="9">
        <f ca="1">MAX(B$3:B80)+0.1</f>
        <v>29.300000000000004</v>
      </c>
      <c r="C159" s="28" t="s">
        <v>715</v>
      </c>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row>
    <row r="160" spans="1:52" x14ac:dyDescent="0.25">
      <c r="C160" s="273"/>
      <c r="D160" s="130"/>
      <c r="E160" s="130"/>
      <c r="F160" s="130"/>
      <c r="G160" s="130"/>
      <c r="H160" s="130"/>
      <c r="I160" s="130"/>
      <c r="J160" s="130"/>
      <c r="K160" s="130"/>
      <c r="L160" s="130"/>
      <c r="M160" s="130"/>
      <c r="N160" s="130"/>
      <c r="O160" s="130"/>
      <c r="P160" s="130"/>
      <c r="Q160" s="130"/>
      <c r="R160" s="130"/>
      <c r="S160" s="130"/>
      <c r="T160" s="130"/>
      <c r="U160" s="130"/>
      <c r="V160" s="130"/>
      <c r="W160" s="130"/>
    </row>
    <row r="161" spans="3:23" ht="15.75" x14ac:dyDescent="0.25">
      <c r="C161" s="29" t="s">
        <v>695</v>
      </c>
      <c r="D161" s="130"/>
      <c r="E161" s="130"/>
      <c r="F161" s="130"/>
      <c r="G161" s="130"/>
      <c r="H161" s="130"/>
      <c r="I161" s="130"/>
      <c r="J161" s="130"/>
      <c r="K161" s="130"/>
      <c r="L161" s="130"/>
      <c r="M161" s="130"/>
      <c r="N161" s="130"/>
      <c r="O161" s="130"/>
      <c r="P161" s="130"/>
      <c r="Q161" s="130"/>
      <c r="R161" s="130"/>
      <c r="S161" s="130"/>
      <c r="T161" s="130"/>
      <c r="U161" s="130"/>
      <c r="V161" s="130"/>
      <c r="W161" s="130"/>
    </row>
    <row r="162" spans="3:23" ht="15.75" x14ac:dyDescent="0.25">
      <c r="C162" s="277" t="s">
        <v>331</v>
      </c>
      <c r="D162" s="277" t="s">
        <v>103</v>
      </c>
      <c r="E162" s="277" t="s">
        <v>587</v>
      </c>
      <c r="F162" s="277" t="s">
        <v>520</v>
      </c>
      <c r="G162" s="277" t="s">
        <v>91</v>
      </c>
      <c r="H162" s="277" t="s">
        <v>454</v>
      </c>
      <c r="I162" s="60" t="s">
        <v>268</v>
      </c>
      <c r="J162" s="60" t="s">
        <v>269</v>
      </c>
      <c r="K162" s="60" t="s">
        <v>270</v>
      </c>
      <c r="L162" s="60" t="s">
        <v>271</v>
      </c>
      <c r="M162" s="60" t="s">
        <v>272</v>
      </c>
      <c r="N162" s="278" t="s">
        <v>692</v>
      </c>
      <c r="O162" s="60" t="s">
        <v>693</v>
      </c>
      <c r="P162" s="60" t="s">
        <v>694</v>
      </c>
      <c r="Q162" s="60"/>
    </row>
    <row r="163" spans="3:23" x14ac:dyDescent="0.25">
      <c r="C163" s="23" t="s">
        <v>550</v>
      </c>
      <c r="D163" s="23" t="s">
        <v>109</v>
      </c>
      <c r="E163" s="23" t="s">
        <v>259</v>
      </c>
      <c r="F163" s="23" t="s">
        <v>750</v>
      </c>
      <c r="G163" s="23" t="s">
        <v>92</v>
      </c>
      <c r="H163" s="23" t="s">
        <v>556</v>
      </c>
      <c r="I163" s="209">
        <f>IF($E163="VDO 2021 - Variation Final",
IF($G163="Residential",
INDEX(OP_TotalRates_RES_1[#Data],MATCH($C163,OP_TotalRates_RES_1[Rate name],0),MATCH(I$162,OP_TotalRates_RES_1[#Headers],0)),
INDEX(OP_TotalRates_SME_1[#Data],MATCH($C163,OP_TotalRates_SME_1[Rate name],0),MATCH(I$162,OP_TotalRates_SME_1[#Headers],0))),
IF($G163="Residential",
INDEX(OP_TotalRates_RES_2[#Data],MATCH($C163,OP_TotalRates_RES_2[Rate name],0),MATCH(I$162,OP_TotalRates_RES_2[#Headers],0)),
INDEX(OP_TotalRates_SME_2[#Data],MATCH($C163,OP_TotalRates_SME_2[Rate name],0),MATCH(I$162,OP_TotalRates_SME_2[#Headers]))))</f>
        <v>1.26</v>
      </c>
      <c r="J163" s="209">
        <f>IF($E163="VDO 2021 - Variation Final",
IF($G163="Residential",
INDEX(OP_TotalRates_RES_1[#Data],MATCH($C163,OP_TotalRates_RES_1[Rate name],0),MATCH(J$162,OP_TotalRates_RES_1[#Headers],0)),
INDEX(OP_TotalRates_SME_1[#Data],MATCH($C163,OP_TotalRates_SME_1[Rate name],0),MATCH(J$162,OP_TotalRates_SME_1[#Headers],0))),
IF($G163="Residential",
INDEX(OP_TotalRates_RES_2[#Data],MATCH($C163,OP_TotalRates_RES_2[Rate name],0),MATCH(J$162,OP_TotalRates_RES_2[#Headers],0)),
INDEX(OP_TotalRates_SME_2[#Data],MATCH($C163,OP_TotalRates_SME_2[Rate name],0),MATCH(J$162,OP_TotalRates_SME_2[#Headers]))))</f>
        <v>1.2022999999999999</v>
      </c>
      <c r="K163" s="209">
        <f>IF($E163="VDO 2021 - Variation Final",
IF($G163="Residential",
INDEX(OP_TotalRates_RES_1[#Data],MATCH($C163,OP_TotalRates_RES_1[Rate name],0),MATCH(K$162,OP_TotalRates_RES_1[#Headers],0)),
INDEX(OP_TotalRates_SME_1[#Data],MATCH($C163,OP_TotalRates_SME_1[Rate name],0),MATCH(K$162,OP_TotalRates_SME_1[#Headers],0))),
IF($G163="Residential",
INDEX(OP_TotalRates_RES_2[#Data],MATCH($C163,OP_TotalRates_RES_2[Rate name],0),MATCH(K$162,OP_TotalRates_RES_2[#Headers],0)),
INDEX(OP_TotalRates_SME_2[#Data],MATCH($C163,OP_TotalRates_SME_2[Rate name],0),MATCH(K$162,OP_TotalRates_SME_2[#Headers]))))</f>
        <v>1.1491</v>
      </c>
      <c r="L163" s="209">
        <f>IF($E163="VDO 2021 - Variation Final",
IF($G163="Residential",
INDEX(OP_TotalRates_RES_1[#Data],MATCH($C163,OP_TotalRates_RES_1[Rate name],0),MATCH(L$162,OP_TotalRates_RES_1[#Headers],0)),
INDEX(OP_TotalRates_SME_1[#Data],MATCH($C163,OP_TotalRates_SME_1[Rate name],0),MATCH(L$162,OP_TotalRates_SME_1[#Headers],0))),
IF($G163="Residential",
INDEX(OP_TotalRates_RES_2[#Data],MATCH($C163,OP_TotalRates_RES_2[Rate name],0),MATCH(L$162,OP_TotalRates_RES_2[#Headers],0)),
INDEX(OP_TotalRates_SME_2[#Data],MATCH($C163,OP_TotalRates_SME_2[Rate name],0),MATCH(L$162,OP_TotalRates_SME_2[#Headers]))))</f>
        <v>1.3459000000000001</v>
      </c>
      <c r="M163" s="209">
        <f>IF($E163="VDO 2021 - Variation Final",
IF($G163="Residential",
INDEX(OP_TotalRates_RES_1[#Data],MATCH($C163,OP_TotalRates_RES_1[Rate name],0),MATCH(M$162,OP_TotalRates_RES_1[#Headers],0)),
INDEX(OP_TotalRates_SME_1[#Data],MATCH($C163,OP_TotalRates_SME_1[Rate name],0),MATCH(M$162,OP_TotalRates_SME_1[#Headers],0))),
IF($G163="Residential",
INDEX(OP_TotalRates_RES_2[#Data],MATCH($C163,OP_TotalRates_RES_2[Rate name],0),MATCH(M$162,OP_TotalRates_RES_2[#Headers],0)),
INDEX(OP_TotalRates_SME_2[#Data],MATCH($C163,OP_TotalRates_SME_2[Rate name],0),MATCH(M$162,OP_TotalRates_SME_2[#Headers]))))</f>
        <v>1.0633999999999999</v>
      </c>
      <c r="N163" s="180"/>
      <c r="O163" s="23" t="s">
        <v>427</v>
      </c>
      <c r="P163"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c r="Q163" s="78">
        <f>CH_BITariff4232[[#This Row],[Ausnet]]*CH_BITariff4232[[#This Row],[Usage value]]</f>
        <v>228.06</v>
      </c>
    </row>
    <row r="164" spans="3:23" x14ac:dyDescent="0.25">
      <c r="C164" s="23" t="s">
        <v>221</v>
      </c>
      <c r="D164" s="23" t="s">
        <v>282</v>
      </c>
      <c r="E164" s="23" t="s">
        <v>259</v>
      </c>
      <c r="F164" s="23" t="s">
        <v>750</v>
      </c>
      <c r="G164" s="23" t="s">
        <v>92</v>
      </c>
      <c r="H164" s="23" t="s">
        <v>556</v>
      </c>
      <c r="I164" s="209">
        <f>IF($E164="VDO 2021 - Variation Final",
IF($G164="Residential",
INDEX(OP_TotalRates_RES_1[#Data],MATCH($C164,OP_TotalRates_RES_1[Rate name],0),MATCH(I$162,OP_TotalRates_RES_1[#Headers],0)),
INDEX(OP_TotalRates_SME_1[#Data],MATCH($C164,OP_TotalRates_SME_1[Rate name],0),MATCH(I$162,OP_TotalRates_SME_1[#Headers],0))),
IF($G164="Residential",
INDEX(OP_TotalRates_RES_2[#Data],MATCH($C164,OP_TotalRates_RES_2[Rate name],0),MATCH(I$162,OP_TotalRates_RES_2[#Headers],0)),
INDEX(OP_TotalRates_SME_2[#Data],MATCH($C164,OP_TotalRates_SME_2[Rate name],0),MATCH(I$162,OP_TotalRates_SME_2[#Headers]))))</f>
        <v>0.26490000000000002</v>
      </c>
      <c r="J164" s="209">
        <f>IF($E164="VDO 2021 - Variation Final",
IF($G164="Residential",
INDEX(OP_TotalRates_RES_1[#Data],MATCH($C164,OP_TotalRates_RES_1[Rate name],0),MATCH(J$162,OP_TotalRates_RES_1[#Headers],0)),
INDEX(OP_TotalRates_SME_1[#Data],MATCH($C164,OP_TotalRates_SME_1[Rate name],0),MATCH(J$162,OP_TotalRates_SME_1[#Headers],0))),
IF($G164="Residential",
INDEX(OP_TotalRates_RES_2[#Data],MATCH($C164,OP_TotalRates_RES_2[Rate name],0),MATCH(J$162,OP_TotalRates_RES_2[#Headers],0)),
INDEX(OP_TotalRates_SME_2[#Data],MATCH($C164,OP_TotalRates_SME_2[Rate name],0),MATCH(J$162,OP_TotalRates_SME_2[#Headers]))))</f>
        <v>0</v>
      </c>
      <c r="K164" s="209">
        <f>IF($E164="VDO 2021 - Variation Final",
IF($G164="Residential",
INDEX(OP_TotalRates_RES_1[#Data],MATCH($C164,OP_TotalRates_RES_1[Rate name],0),MATCH(K$162,OP_TotalRates_RES_1[#Headers],0)),
INDEX(OP_TotalRates_SME_1[#Data],MATCH($C164,OP_TotalRates_SME_1[Rate name],0),MATCH(K$162,OP_TotalRates_SME_1[#Headers],0))),
IF($G164="Residential",
INDEX(OP_TotalRates_RES_2[#Data],MATCH($C164,OP_TotalRates_RES_2[Rate name],0),MATCH(K$162,OP_TotalRates_RES_2[#Headers],0)),
INDEX(OP_TotalRates_SME_2[#Data],MATCH($C164,OP_TotalRates_SME_2[Rate name],0),MATCH(K$162,OP_TotalRates_SME_2[#Headers]))))</f>
        <v>0</v>
      </c>
      <c r="L164" s="209">
        <f>IF($E164="VDO 2021 - Variation Final",
IF($G164="Residential",
INDEX(OP_TotalRates_RES_1[#Data],MATCH($C164,OP_TotalRates_RES_1[Rate name],0),MATCH(L$162,OP_TotalRates_RES_1[#Headers],0)),
INDEX(OP_TotalRates_SME_1[#Data],MATCH($C164,OP_TotalRates_SME_1[Rate name],0),MATCH(L$162,OP_TotalRates_SME_1[#Headers],0))),
IF($G164="Residential",
INDEX(OP_TotalRates_RES_2[#Data],MATCH($C164,OP_TotalRates_RES_2[Rate name],0),MATCH(L$162,OP_TotalRates_RES_2[#Headers],0)),
INDEX(OP_TotalRates_SME_2[#Data],MATCH($C164,OP_TotalRates_SME_2[Rate name],0),MATCH(L$162,OP_TotalRates_SME_2[#Headers]))))</f>
        <v>0</v>
      </c>
      <c r="M164" s="209">
        <f>IF($E164="VDO 2021 - Variation Final",
IF($G164="Residential",
INDEX(OP_TotalRates_RES_1[#Data],MATCH($C164,OP_TotalRates_RES_1[Rate name],0),MATCH(M$162,OP_TotalRates_RES_1[#Headers],0)),
INDEX(OP_TotalRates_SME_1[#Data],MATCH($C164,OP_TotalRates_SME_1[Rate name],0),MATCH(M$162,OP_TotalRates_SME_1[#Headers],0))),
IF($G164="Residential",
INDEX(OP_TotalRates_RES_2[#Data],MATCH($C164,OP_TotalRates_RES_2[Rate name],0),MATCH(M$162,OP_TotalRates_RES_2[#Headers],0)),
INDEX(OP_TotalRates_SME_2[#Data],MATCH($C164,OP_TotalRates_SME_2[Rate name],0),MATCH(M$162,OP_TotalRates_SME_2[#Headers]))))</f>
        <v>0</v>
      </c>
      <c r="N164" s="180"/>
      <c r="O164" s="23" t="s">
        <v>691</v>
      </c>
      <c r="P164"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4000</v>
      </c>
      <c r="Q164" s="78">
        <f>CH_BITariff4232[[#This Row],[Ausnet]]*CH_BITariff4232[[#This Row],[Usage value]]</f>
        <v>1059.6000000000001</v>
      </c>
    </row>
    <row r="165" spans="3:23" x14ac:dyDescent="0.25">
      <c r="C165" s="23" t="s">
        <v>228</v>
      </c>
      <c r="D165" s="23" t="s">
        <v>282</v>
      </c>
      <c r="E165" s="23" t="s">
        <v>259</v>
      </c>
      <c r="F165" s="23" t="s">
        <v>750</v>
      </c>
      <c r="G165" s="23" t="s">
        <v>92</v>
      </c>
      <c r="H165" s="23" t="s">
        <v>556</v>
      </c>
      <c r="I165" s="209">
        <f>IF($E165="VDO 2021 - Variation Final",
IF($G165="Residential",
INDEX(OP_TotalRates_RES_1[#Data],MATCH($C165,OP_TotalRates_RES_1[Rate name],0),MATCH(I$162,OP_TotalRates_RES_1[#Headers],0)),
INDEX(OP_TotalRates_SME_1[#Data],MATCH($C165,OP_TotalRates_SME_1[Rate name],0),MATCH(I$162,OP_TotalRates_SME_1[#Headers],0))),
IF($G165="Residential",
INDEX(OP_TotalRates_RES_2[#Data],MATCH($C165,OP_TotalRates_RES_2[Rate name],0),MATCH(I$162,OP_TotalRates_RES_2[#Headers],0)),
INDEX(OP_TotalRates_SME_2[#Data],MATCH($C165,OP_TotalRates_SME_2[Rate name],0),MATCH(I$162,OP_TotalRates_SME_2[#Headers]))))</f>
        <v>0.28110000000000002</v>
      </c>
      <c r="J165" s="209">
        <f>IF($E165="VDO 2021 - Variation Final",
IF($G165="Residential",
INDEX(OP_TotalRates_RES_1[#Data],MATCH($C165,OP_TotalRates_RES_1[Rate name],0),MATCH(J$162,OP_TotalRates_RES_1[#Headers],0)),
INDEX(OP_TotalRates_SME_1[#Data],MATCH($C165,OP_TotalRates_SME_1[Rate name],0),MATCH(J$162,OP_TotalRates_SME_1[#Headers],0))),
IF($G165="Residential",
INDEX(OP_TotalRates_RES_2[#Data],MATCH($C165,OP_TotalRates_RES_2[Rate name],0),MATCH(J$162,OP_TotalRates_RES_2[#Headers],0)),
INDEX(OP_TotalRates_SME_2[#Data],MATCH($C165,OP_TotalRates_SME_2[Rate name],0),MATCH(J$162,OP_TotalRates_SME_2[#Headers]))))</f>
        <v>0</v>
      </c>
      <c r="K165" s="209">
        <f>IF($E165="VDO 2021 - Variation Final",
IF($G165="Residential",
INDEX(OP_TotalRates_RES_1[#Data],MATCH($C165,OP_TotalRates_RES_1[Rate name],0),MATCH(K$162,OP_TotalRates_RES_1[#Headers],0)),
INDEX(OP_TotalRates_SME_1[#Data],MATCH($C165,OP_TotalRates_SME_1[Rate name],0),MATCH(K$162,OP_TotalRates_SME_1[#Headers],0))),
IF($G165="Residential",
INDEX(OP_TotalRates_RES_2[#Data],MATCH($C165,OP_TotalRates_RES_2[Rate name],0),MATCH(K$162,OP_TotalRates_RES_2[#Headers],0)),
INDEX(OP_TotalRates_SME_2[#Data],MATCH($C165,OP_TotalRates_SME_2[Rate name],0),MATCH(K$162,OP_TotalRates_SME_2[#Headers]))))</f>
        <v>0</v>
      </c>
      <c r="L165" s="209">
        <f>IF($E165="VDO 2021 - Variation Final",
IF($G165="Residential",
INDEX(OP_TotalRates_RES_1[#Data],MATCH($C165,OP_TotalRates_RES_1[Rate name],0),MATCH(L$162,OP_TotalRates_RES_1[#Headers],0)),
INDEX(OP_TotalRates_SME_1[#Data],MATCH($C165,OP_TotalRates_SME_1[Rate name],0),MATCH(L$162,OP_TotalRates_SME_1[#Headers],0))),
IF($G165="Residential",
INDEX(OP_TotalRates_RES_2[#Data],MATCH($C165,OP_TotalRates_RES_2[Rate name],0),MATCH(L$162,OP_TotalRates_RES_2[#Headers],0)),
INDEX(OP_TotalRates_SME_2[#Data],MATCH($C165,OP_TotalRates_SME_2[Rate name],0),MATCH(L$162,OP_TotalRates_SME_2[#Headers]))))</f>
        <v>0</v>
      </c>
      <c r="M165" s="209">
        <f>IF($E165="VDO 2021 - Variation Final",
IF($G165="Residential",
INDEX(OP_TotalRates_RES_1[#Data],MATCH($C165,OP_TotalRates_RES_1[Rate name],0),MATCH(M$162,OP_TotalRates_RES_1[#Headers],0)),
INDEX(OP_TotalRates_SME_1[#Data],MATCH($C165,OP_TotalRates_SME_1[Rate name],0),MATCH(M$162,OP_TotalRates_SME_1[#Headers],0))),
IF($G165="Residential",
INDEX(OP_TotalRates_RES_2[#Data],MATCH($C165,OP_TotalRates_RES_2[Rate name],0),MATCH(M$162,OP_TotalRates_RES_2[#Headers],0)),
INDEX(OP_TotalRates_SME_2[#Data],MATCH($C165,OP_TotalRates_SME_2[Rate name],0),MATCH(M$162,OP_TotalRates_SME_2[#Headers]))))</f>
        <v>0</v>
      </c>
      <c r="N165" s="180"/>
      <c r="O165" s="23" t="s">
        <v>691</v>
      </c>
      <c r="P165"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0</v>
      </c>
      <c r="Q165" s="78">
        <f>CH_BITariff4232[[#This Row],[Ausnet]]*CH_BITariff4232[[#This Row],[Usage value]]</f>
        <v>0</v>
      </c>
    </row>
    <row r="166" spans="3:23" x14ac:dyDescent="0.25">
      <c r="C166" s="23" t="s">
        <v>549</v>
      </c>
      <c r="D166" s="23" t="s">
        <v>282</v>
      </c>
      <c r="E166" s="23" t="s">
        <v>259</v>
      </c>
      <c r="F166" s="23" t="s">
        <v>750</v>
      </c>
      <c r="G166" s="23" t="s">
        <v>92</v>
      </c>
      <c r="H166" s="23" t="s">
        <v>556</v>
      </c>
      <c r="I166" s="209">
        <f>IF($E166="VDO 2021 - Variation Final",
IF($G166="Residential",
INDEX(OP_TotalRates_RES_1[#Data],MATCH($C166,OP_TotalRates_RES_1[Rate name],0),MATCH(I$162,OP_TotalRates_RES_1[#Headers],0)),
INDEX(OP_TotalRates_SME_1[#Data],MATCH($C166,OP_TotalRates_SME_1[Rate name],0),MATCH(I$162,OP_TotalRates_SME_1[#Headers],0))),
IF($G166="Residential",
INDEX(OP_TotalRates_RES_2[#Data],MATCH($C166,OP_TotalRates_RES_2[Rate name],0),MATCH(I$162,OP_TotalRates_RES_2[#Headers],0)),
INDEX(OP_TotalRates_SME_2[#Data],MATCH($C166,OP_TotalRates_SME_2[Rate name],0),MATCH(I$162,OP_TotalRates_SME_2[#Headers]))))</f>
        <v>0</v>
      </c>
      <c r="J166" s="209">
        <f>IF($E166="VDO 2021 - Variation Final",
IF($G166="Residential",
INDEX(OP_TotalRates_RES_1[#Data],MATCH($C166,OP_TotalRates_RES_1[Rate name],0),MATCH(J$162,OP_TotalRates_RES_1[#Headers],0)),
INDEX(OP_TotalRates_SME_1[#Data],MATCH($C166,OP_TotalRates_SME_1[Rate name],0),MATCH(J$162,OP_TotalRates_SME_1[#Headers],0))),
IF($G166="Residential",
INDEX(OP_TotalRates_RES_2[#Data],MATCH($C166,OP_TotalRates_RES_2[Rate name],0),MATCH(J$162,OP_TotalRates_RES_2[#Headers],0)),
INDEX(OP_TotalRates_SME_2[#Data],MATCH($C166,OP_TotalRates_SME_2[Rate name],0),MATCH(J$162,OP_TotalRates_SME_2[#Headers]))))</f>
        <v>0.21709999999999999</v>
      </c>
      <c r="K166" s="209">
        <f>IF($E166="VDO 2021 - Variation Final",
IF($G166="Residential",
INDEX(OP_TotalRates_RES_1[#Data],MATCH($C166,OP_TotalRates_RES_1[Rate name],0),MATCH(K$162,OP_TotalRates_RES_1[#Headers],0)),
INDEX(OP_TotalRates_SME_1[#Data],MATCH($C166,OP_TotalRates_SME_1[Rate name],0),MATCH(K$162,OP_TotalRates_SME_1[#Headers],0))),
IF($G166="Residential",
INDEX(OP_TotalRates_RES_2[#Data],MATCH($C166,OP_TotalRates_RES_2[Rate name],0),MATCH(K$162,OP_TotalRates_RES_2[#Headers],0)),
INDEX(OP_TotalRates_SME_2[#Data],MATCH($C166,OP_TotalRates_SME_2[Rate name],0),MATCH(K$162,OP_TotalRates_SME_2[#Headers]))))</f>
        <v>0.23069999999999999</v>
      </c>
      <c r="L166" s="209">
        <f>IF($E166="VDO 2021 - Variation Final",
IF($G166="Residential",
INDEX(OP_TotalRates_RES_1[#Data],MATCH($C166,OP_TotalRates_RES_1[Rate name],0),MATCH(L$162,OP_TotalRates_RES_1[#Headers],0)),
INDEX(OP_TotalRates_SME_1[#Data],MATCH($C166,OP_TotalRates_SME_1[Rate name],0),MATCH(L$162,OP_TotalRates_SME_1[#Headers],0))),
IF($G166="Residential",
INDEX(OP_TotalRates_RES_2[#Data],MATCH($C166,OP_TotalRates_RES_2[Rate name],0),MATCH(L$162,OP_TotalRates_RES_2[#Headers],0)),
INDEX(OP_TotalRates_SME_2[#Data],MATCH($C166,OP_TotalRates_SME_2[Rate name],0),MATCH(L$162,OP_TotalRates_SME_2[#Headers]))))</f>
        <v>0.2235</v>
      </c>
      <c r="M166" s="209">
        <f>IF($E166="VDO 2021 - Variation Final",
IF($G166="Residential",
INDEX(OP_TotalRates_RES_1[#Data],MATCH($C166,OP_TotalRates_RES_1[Rate name],0),MATCH(M$162,OP_TotalRates_RES_1[#Headers],0)),
INDEX(OP_TotalRates_SME_1[#Data],MATCH($C166,OP_TotalRates_SME_1[Rate name],0),MATCH(M$162,OP_TotalRates_SME_1[#Headers],0))),
IF($G166="Residential",
INDEX(OP_TotalRates_RES_2[#Data],MATCH($C166,OP_TotalRates_RES_2[Rate name],0),MATCH(M$162,OP_TotalRates_RES_2[#Headers],0)),
INDEX(OP_TotalRates_SME_2[#Data],MATCH($C166,OP_TotalRates_SME_2[Rate name],0),MATCH(M$162,OP_TotalRates_SME_2[#Headers]))))</f>
        <v>0.22420000000000001</v>
      </c>
      <c r="N166" s="180"/>
      <c r="O166" s="23" t="s">
        <v>691</v>
      </c>
      <c r="P166"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4000</v>
      </c>
      <c r="Q166" s="78">
        <f>CH_BITariff4232[[#This Row],[Ausnet]]*CH_BITariff4232[[#This Row],[Usage value]]</f>
        <v>0</v>
      </c>
    </row>
    <row r="167" spans="3:23" x14ac:dyDescent="0.25">
      <c r="C167" s="23" t="s">
        <v>551</v>
      </c>
      <c r="D167" s="23" t="s">
        <v>109</v>
      </c>
      <c r="E167" s="23" t="s">
        <v>259</v>
      </c>
      <c r="F167" s="23" t="s">
        <v>750</v>
      </c>
      <c r="G167" s="23" t="s">
        <v>92</v>
      </c>
      <c r="H167" s="23" t="s">
        <v>557</v>
      </c>
      <c r="I167" s="209">
        <f>IF($E167="VDO 2021 - Variation Final",
IF($G167="Residential",
INDEX(OP_TotalRates_RES_1[#Data],MATCH($C167,OP_TotalRates_RES_1[Rate name],0),MATCH(I$162,OP_TotalRates_RES_1[#Headers],0)),
INDEX(OP_TotalRates_SME_1[#Data],MATCH($C167,OP_TotalRates_SME_1[Rate name],0),MATCH(I$162,OP_TotalRates_SME_1[#Headers],0))),
IF($G167="Residential",
INDEX(OP_TotalRates_RES_2[#Data],MATCH($C167,OP_TotalRates_RES_2[Rate name],0),MATCH(I$162,OP_TotalRates_RES_2[#Headers],0)),
INDEX(OP_TotalRates_SME_2[#Data],MATCH($C167,OP_TotalRates_SME_2[Rate name],0),MATCH(I$162,OP_TotalRates_SME_2[#Headers]))))</f>
        <v>1.1587000000000001</v>
      </c>
      <c r="J167" s="209">
        <f>IF($E167="VDO 2021 - Variation Final",
IF($G167="Residential",
INDEX(OP_TotalRates_RES_1[#Data],MATCH($C167,OP_TotalRates_RES_1[Rate name],0),MATCH(J$162,OP_TotalRates_RES_1[#Headers],0)),
INDEX(OP_TotalRates_SME_1[#Data],MATCH($C167,OP_TotalRates_SME_1[Rate name],0),MATCH(J$162,OP_TotalRates_SME_1[#Headers],0))),
IF($G167="Residential",
INDEX(OP_TotalRates_RES_2[#Data],MATCH($C167,OP_TotalRates_RES_2[Rate name],0),MATCH(J$162,OP_TotalRates_RES_2[#Headers],0)),
INDEX(OP_TotalRates_SME_2[#Data],MATCH($C167,OP_TotalRates_SME_2[Rate name],0),MATCH(J$162,OP_TotalRates_SME_2[#Headers]))))</f>
        <v>1.1948000000000001</v>
      </c>
      <c r="K167" s="209">
        <f>IF($E167="VDO 2021 - Variation Final",
IF($G167="Residential",
INDEX(OP_TotalRates_RES_1[#Data],MATCH($C167,OP_TotalRates_RES_1[Rate name],0),MATCH(K$162,OP_TotalRates_RES_1[#Headers],0)),
INDEX(OP_TotalRates_SME_1[#Data],MATCH($C167,OP_TotalRates_SME_1[Rate name],0),MATCH(K$162,OP_TotalRates_SME_1[#Headers],0))),
IF($G167="Residential",
INDEX(OP_TotalRates_RES_2[#Data],MATCH($C167,OP_TotalRates_RES_2[Rate name],0),MATCH(K$162,OP_TotalRates_RES_2[#Headers],0)),
INDEX(OP_TotalRates_SME_2[#Data],MATCH($C167,OP_TotalRates_SME_2[Rate name],0),MATCH(K$162,OP_TotalRates_SME_2[#Headers]))))</f>
        <v>1.0508</v>
      </c>
      <c r="L167" s="209">
        <f>IF($E167="VDO 2021 - Variation Final",
IF($G167="Residential",
INDEX(OP_TotalRates_RES_1[#Data],MATCH($C167,OP_TotalRates_RES_1[Rate name],0),MATCH(L$162,OP_TotalRates_RES_1[#Headers],0)),
INDEX(OP_TotalRates_SME_1[#Data],MATCH($C167,OP_TotalRates_SME_1[Rate name],0),MATCH(L$162,OP_TotalRates_SME_1[#Headers],0))),
IF($G167="Residential",
INDEX(OP_TotalRates_RES_2[#Data],MATCH($C167,OP_TotalRates_RES_2[Rate name],0),MATCH(L$162,OP_TotalRates_RES_2[#Headers],0)),
INDEX(OP_TotalRates_SME_2[#Data],MATCH($C167,OP_TotalRates_SME_2[Rate name],0),MATCH(L$162,OP_TotalRates_SME_2[#Headers]))))</f>
        <v>1.3301000000000001</v>
      </c>
      <c r="M167" s="209">
        <f>IF($E167="VDO 2021 - Variation Final",
IF($G167="Residential",
INDEX(OP_TotalRates_RES_1[#Data],MATCH($C167,OP_TotalRates_RES_1[Rate name],0),MATCH(M$162,OP_TotalRates_RES_1[#Headers],0)),
INDEX(OP_TotalRates_SME_1[#Data],MATCH($C167,OP_TotalRates_SME_1[Rate name],0),MATCH(M$162,OP_TotalRates_SME_1[#Headers],0))),
IF($G167="Residential",
INDEX(OP_TotalRates_RES_2[#Data],MATCH($C167,OP_TotalRates_RES_2[Rate name],0),MATCH(M$162,OP_TotalRates_RES_2[#Headers],0)),
INDEX(OP_TotalRates_SME_2[#Data],MATCH($C167,OP_TotalRates_SME_2[Rate name],0),MATCH(M$162,OP_TotalRates_SME_2[#Headers]))))</f>
        <v>1.0552999999999999</v>
      </c>
      <c r="N167" s="180"/>
      <c r="O167" s="23" t="s">
        <v>427</v>
      </c>
      <c r="P167"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c r="Q167" s="78">
        <f>CH_BITariff4232[[#This Row],[Ausnet]]*CH_BITariff4232[[#This Row],[Usage value]]</f>
        <v>209.72470000000001</v>
      </c>
    </row>
    <row r="168" spans="3:23" x14ac:dyDescent="0.25">
      <c r="C168" s="23" t="s">
        <v>230</v>
      </c>
      <c r="D168" s="23" t="s">
        <v>282</v>
      </c>
      <c r="E168" s="23" t="s">
        <v>259</v>
      </c>
      <c r="F168" s="23" t="s">
        <v>750</v>
      </c>
      <c r="G168" s="23" t="s">
        <v>92</v>
      </c>
      <c r="H168" s="23" t="s">
        <v>557</v>
      </c>
      <c r="I168" s="209">
        <f>IF($E168="VDO 2021 - Variation Final",
IF($G168="Residential",
INDEX(OP_TotalRates_RES_1[#Data],MATCH($C168,OP_TotalRates_RES_1[Rate name],0),MATCH(I$162,OP_TotalRates_RES_1[#Headers],0)),
INDEX(OP_TotalRates_SME_1[#Data],MATCH($C168,OP_TotalRates_SME_1[Rate name],0),MATCH(I$162,OP_TotalRates_SME_1[#Headers],0))),
IF($G168="Residential",
INDEX(OP_TotalRates_RES_2[#Data],MATCH($C168,OP_TotalRates_RES_2[Rate name],0),MATCH(I$162,OP_TotalRates_RES_2[#Headers],0)),
INDEX(OP_TotalRates_SME_2[#Data],MATCH($C168,OP_TotalRates_SME_2[Rate name],0),MATCH(I$162,OP_TotalRates_SME_2[#Headers]))))</f>
        <v>0.37459999999999999</v>
      </c>
      <c r="J168" s="209">
        <f>IF($E168="VDO 2021 - Variation Final",
IF($G168="Residential",
INDEX(OP_TotalRates_RES_1[#Data],MATCH($C168,OP_TotalRates_RES_1[Rate name],0),MATCH(J$162,OP_TotalRates_RES_1[#Headers],0)),
INDEX(OP_TotalRates_SME_1[#Data],MATCH($C168,OP_TotalRates_SME_1[Rate name],0),MATCH(J$162,OP_TotalRates_SME_1[#Headers],0))),
IF($G168="Residential",
INDEX(OP_TotalRates_RES_2[#Data],MATCH($C168,OP_TotalRates_RES_2[Rate name],0),MATCH(J$162,OP_TotalRates_RES_2[#Headers],0)),
INDEX(OP_TotalRates_SME_2[#Data],MATCH($C168,OP_TotalRates_SME_2[Rate name],0),MATCH(J$162,OP_TotalRates_SME_2[#Headers]))))</f>
        <v>0.30909999999999999</v>
      </c>
      <c r="K168" s="209">
        <f>IF($E168="VDO 2021 - Variation Final",
IF($G168="Residential",
INDEX(OP_TotalRates_RES_1[#Data],MATCH($C168,OP_TotalRates_RES_1[Rate name],0),MATCH(K$162,OP_TotalRates_RES_1[#Headers],0)),
INDEX(OP_TotalRates_SME_1[#Data],MATCH($C168,OP_TotalRates_SME_1[Rate name],0),MATCH(K$162,OP_TotalRates_SME_1[#Headers],0))),
IF($G168="Residential",
INDEX(OP_TotalRates_RES_2[#Data],MATCH($C168,OP_TotalRates_RES_2[Rate name],0),MATCH(K$162,OP_TotalRates_RES_2[#Headers],0)),
INDEX(OP_TotalRates_SME_2[#Data],MATCH($C168,OP_TotalRates_SME_2[Rate name],0),MATCH(K$162,OP_TotalRates_SME_2[#Headers]))))</f>
        <v>0.28699999999999998</v>
      </c>
      <c r="L168" s="209">
        <f>IF($E168="VDO 2021 - Variation Final",
IF($G168="Residential",
INDEX(OP_TotalRates_RES_1[#Data],MATCH($C168,OP_TotalRates_RES_1[Rate name],0),MATCH(L$162,OP_TotalRates_RES_1[#Headers],0)),
INDEX(OP_TotalRates_SME_1[#Data],MATCH($C168,OP_TotalRates_SME_1[Rate name],0),MATCH(L$162,OP_TotalRates_SME_1[#Headers],0))),
IF($G168="Residential",
INDEX(OP_TotalRates_RES_2[#Data],MATCH($C168,OP_TotalRates_RES_2[Rate name],0),MATCH(L$162,OP_TotalRates_RES_2[#Headers],0)),
INDEX(OP_TotalRates_SME_2[#Data],MATCH($C168,OP_TotalRates_SME_2[Rate name],0),MATCH(L$162,OP_TotalRates_SME_2[#Headers]))))</f>
        <v>0.3135</v>
      </c>
      <c r="M168" s="209">
        <f>IF($E168="VDO 2021 - Variation Final",
IF($G168="Residential",
INDEX(OP_TotalRates_RES_1[#Data],MATCH($C168,OP_TotalRates_RES_1[Rate name],0),MATCH(M$162,OP_TotalRates_RES_1[#Headers],0)),
INDEX(OP_TotalRates_SME_1[#Data],MATCH($C168,OP_TotalRates_SME_1[Rate name],0),MATCH(M$162,OP_TotalRates_SME_1[#Headers],0))),
IF($G168="Residential",
INDEX(OP_TotalRates_RES_2[#Data],MATCH($C168,OP_TotalRates_RES_2[Rate name],0),MATCH(M$162,OP_TotalRates_RES_2[#Headers],0)),
INDEX(OP_TotalRates_SME_2[#Data],MATCH($C168,OP_TotalRates_SME_2[Rate name],0),MATCH(M$162,OP_TotalRates_SME_2[#Headers]))))</f>
        <v>0.31519999999999998</v>
      </c>
      <c r="N168" s="180"/>
      <c r="O168" s="23" t="s">
        <v>691</v>
      </c>
      <c r="P168"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1320</v>
      </c>
      <c r="Q168" s="78">
        <f>CH_BITariff4232[[#This Row],[Ausnet]]*CH_BITariff4232[[#This Row],[Usage value]]</f>
        <v>494.47199999999998</v>
      </c>
    </row>
    <row r="169" spans="3:23" x14ac:dyDescent="0.25">
      <c r="C169" s="23" t="s">
        <v>609</v>
      </c>
      <c r="D169" s="23" t="s">
        <v>282</v>
      </c>
      <c r="E169" s="23" t="s">
        <v>259</v>
      </c>
      <c r="F169" s="23" t="s">
        <v>750</v>
      </c>
      <c r="G169" s="23" t="s">
        <v>92</v>
      </c>
      <c r="H169" s="23" t="s">
        <v>557</v>
      </c>
      <c r="I169" s="209">
        <f>IF($E169="VDO 2021 - Variation Final",
IF($G169="Residential",
INDEX(OP_TotalRates_RES_1[#Data],MATCH($C169,OP_TotalRates_RES_1[Rate name],0),MATCH(I$162,OP_TotalRates_RES_1[#Headers],0)),
INDEX(OP_TotalRates_SME_1[#Data],MATCH($C169,OP_TotalRates_SME_1[Rate name],0),MATCH(I$162,OP_TotalRates_SME_1[#Headers],0))),
IF($G169="Residential",
INDEX(OP_TotalRates_RES_2[#Data],MATCH($C169,OP_TotalRates_RES_2[Rate name],0),MATCH(I$162,OP_TotalRates_RES_2[#Headers],0)),
INDEX(OP_TotalRates_SME_2[#Data],MATCH($C169,OP_TotalRates_SME_2[Rate name],0),MATCH(I$162,OP_TotalRates_SME_2[#Headers]))))</f>
        <v>0.182</v>
      </c>
      <c r="J169" s="209">
        <f>IF($E169="VDO 2021 - Variation Final",
IF($G169="Residential",
INDEX(OP_TotalRates_RES_1[#Data],MATCH($C169,OP_TotalRates_RES_1[Rate name],0),MATCH(J$162,OP_TotalRates_RES_1[#Headers],0)),
INDEX(OP_TotalRates_SME_1[#Data],MATCH($C169,OP_TotalRates_SME_1[Rate name],0),MATCH(J$162,OP_TotalRates_SME_1[#Headers],0))),
IF($G169="Residential",
INDEX(OP_TotalRates_RES_2[#Data],MATCH($C169,OP_TotalRates_RES_2[Rate name],0),MATCH(J$162,OP_TotalRates_RES_2[#Headers],0)),
INDEX(OP_TotalRates_SME_2[#Data],MATCH($C169,OP_TotalRates_SME_2[Rate name],0),MATCH(J$162,OP_TotalRates_SME_2[#Headers]))))</f>
        <v>0.1696</v>
      </c>
      <c r="K169" s="209">
        <f>IF($E169="VDO 2021 - Variation Final",
IF($G169="Residential",
INDEX(OP_TotalRates_RES_1[#Data],MATCH($C169,OP_TotalRates_RES_1[Rate name],0),MATCH(K$162,OP_TotalRates_RES_1[#Headers],0)),
INDEX(OP_TotalRates_SME_1[#Data],MATCH($C169,OP_TotalRates_SME_1[Rate name],0),MATCH(K$162,OP_TotalRates_SME_1[#Headers],0))),
IF($G169="Residential",
INDEX(OP_TotalRates_RES_2[#Data],MATCH($C169,OP_TotalRates_RES_2[Rate name],0),MATCH(K$162,OP_TotalRates_RES_2[#Headers],0)),
INDEX(OP_TotalRates_SME_2[#Data],MATCH($C169,OP_TotalRates_SME_2[Rate name],0),MATCH(K$162,OP_TotalRates_SME_2[#Headers]))))</f>
        <v>0.17499999999999999</v>
      </c>
      <c r="L169" s="209">
        <f>IF($E169="VDO 2021 - Variation Final",
IF($G169="Residential",
INDEX(OP_TotalRates_RES_1[#Data],MATCH($C169,OP_TotalRates_RES_1[Rate name],0),MATCH(L$162,OP_TotalRates_RES_1[#Headers],0)),
INDEX(OP_TotalRates_SME_1[#Data],MATCH($C169,OP_TotalRates_SME_1[Rate name],0),MATCH(L$162,OP_TotalRates_SME_1[#Headers],0))),
IF($G169="Residential",
INDEX(OP_TotalRates_RES_2[#Data],MATCH($C169,OP_TotalRates_RES_2[Rate name],0),MATCH(L$162,OP_TotalRates_RES_2[#Headers],0)),
INDEX(OP_TotalRates_SME_2[#Data],MATCH($C169,OP_TotalRates_SME_2[Rate name],0),MATCH(L$162,OP_TotalRates_SME_2[#Headers]))))</f>
        <v>0.17460000000000001</v>
      </c>
      <c r="M169" s="209">
        <f>IF($E169="VDO 2021 - Variation Final",
IF($G169="Residential",
INDEX(OP_TotalRates_RES_1[#Data],MATCH($C169,OP_TotalRates_RES_1[Rate name],0),MATCH(M$162,OP_TotalRates_RES_1[#Headers],0)),
INDEX(OP_TotalRates_SME_1[#Data],MATCH($C169,OP_TotalRates_SME_1[Rate name],0),MATCH(M$162,OP_TotalRates_SME_1[#Headers],0))),
IF($G169="Residential",
INDEX(OP_TotalRates_RES_2[#Data],MATCH($C169,OP_TotalRates_RES_2[Rate name],0),MATCH(M$162,OP_TotalRates_RES_2[#Headers],0)),
INDEX(OP_TotalRates_SME_2[#Data],MATCH($C169,OP_TotalRates_SME_2[Rate name],0),MATCH(M$162,OP_TotalRates_SME_2[#Headers]))))</f>
        <v>0.17710000000000001</v>
      </c>
      <c r="N169" s="180"/>
      <c r="O169" s="23" t="s">
        <v>691</v>
      </c>
      <c r="P169"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2680</v>
      </c>
      <c r="Q169" s="78">
        <f>CH_BITariff4232[[#This Row],[Ausnet]]*CH_BITariff4232[[#This Row],[Usage value]]</f>
        <v>487.76</v>
      </c>
    </row>
    <row r="170" spans="3:23" x14ac:dyDescent="0.25">
      <c r="C170" s="23" t="s">
        <v>287</v>
      </c>
      <c r="D170" s="23" t="s">
        <v>282</v>
      </c>
      <c r="E170" s="23" t="s">
        <v>259</v>
      </c>
      <c r="F170" s="23" t="s">
        <v>750</v>
      </c>
      <c r="G170" s="23" t="s">
        <v>92</v>
      </c>
      <c r="H170" s="23" t="s">
        <v>697</v>
      </c>
      <c r="I170" s="209">
        <f>IF($E170="VDO 2021 - Variation Final",
IF($G170="Residential",
INDEX(OP_TotalRates_RES_1[#Data],MATCH($C170,OP_TotalRates_RES_1[Rate name],0),MATCH(I$162,OP_TotalRates_RES_1[#Headers],0)),
INDEX(OP_TotalRates_SME_1[#Data],MATCH($C170,OP_TotalRates_SME_1[Rate name],0),MATCH(I$162,OP_TotalRates_SME_1[#Headers],0))),
IF($G170="Residential",
INDEX(OP_TotalRates_RES_2[#Data],MATCH($C170,OP_TotalRates_RES_2[Rate name],0),MATCH(I$162,OP_TotalRates_RES_2[#Headers],0)),
INDEX(OP_TotalRates_SME_2[#Data],MATCH($C170,OP_TotalRates_SME_2[Rate name],0),MATCH(I$162,OP_TotalRates_SME_2[#Headers]))))</f>
        <v>0.18340000000000001</v>
      </c>
      <c r="J170" s="209">
        <f>IF($E170="VDO 2021 - Variation Final",
IF($G170="Residential",
INDEX(OP_TotalRates_RES_1[#Data],MATCH($C170,OP_TotalRates_RES_1[Rate name],0),MATCH(J$162,OP_TotalRates_RES_1[#Headers],0)),
INDEX(OP_TotalRates_SME_1[#Data],MATCH($C170,OP_TotalRates_SME_1[Rate name],0),MATCH(J$162,OP_TotalRates_SME_1[#Headers],0))),
IF($G170="Residential",
INDEX(OP_TotalRates_RES_2[#Data],MATCH($C170,OP_TotalRates_RES_2[Rate name],0),MATCH(J$162,OP_TotalRates_RES_2[#Headers],0)),
INDEX(OP_TotalRates_SME_2[#Data],MATCH($C170,OP_TotalRates_SME_2[Rate name],0),MATCH(J$162,OP_TotalRates_SME_2[#Headers]))))</f>
        <v>0.1542</v>
      </c>
      <c r="K170" s="209">
        <f>IF($E170="VDO 2021 - Variation Final",
IF($G170="Residential",
INDEX(OP_TotalRates_RES_1[#Data],MATCH($C170,OP_TotalRates_RES_1[Rate name],0),MATCH(K$162,OP_TotalRates_RES_1[#Headers],0)),
INDEX(OP_TotalRates_SME_1[#Data],MATCH($C170,OP_TotalRates_SME_1[Rate name],0),MATCH(K$162,OP_TotalRates_SME_1[#Headers],0))),
IF($G170="Residential",
INDEX(OP_TotalRates_RES_2[#Data],MATCH($C170,OP_TotalRates_RES_2[Rate name],0),MATCH(K$162,OP_TotalRates_RES_2[#Headers],0)),
INDEX(OP_TotalRates_SME_2[#Data],MATCH($C170,OP_TotalRates_SME_2[Rate name],0),MATCH(K$162,OP_TotalRates_SME_2[#Headers]))))</f>
        <v>0.17560000000000001</v>
      </c>
      <c r="L170" s="209">
        <f>IF($E170="VDO 2021 - Variation Final",
IF($G170="Residential",
INDEX(OP_TotalRates_RES_1[#Data],MATCH($C170,OP_TotalRates_RES_1[Rate name],0),MATCH(L$162,OP_TotalRates_RES_1[#Headers],0)),
INDEX(OP_TotalRates_SME_1[#Data],MATCH($C170,OP_TotalRates_SME_1[Rate name],0),MATCH(L$162,OP_TotalRates_SME_1[#Headers],0))),
IF($G170="Residential",
INDEX(OP_TotalRates_RES_2[#Data],MATCH($C170,OP_TotalRates_RES_2[Rate name],0),MATCH(L$162,OP_TotalRates_RES_2[#Headers],0)),
INDEX(OP_TotalRates_SME_2[#Data],MATCH($C170,OP_TotalRates_SME_2[Rate name],0),MATCH(L$162,OP_TotalRates_SME_2[#Headers]))))</f>
        <v>0.1578</v>
      </c>
      <c r="M170" s="209">
        <f>IF($E170="VDO 2021 - Variation Final",
IF($G170="Residential",
INDEX(OP_TotalRates_RES_1[#Data],MATCH($C170,OP_TotalRates_RES_1[Rate name],0),MATCH(M$162,OP_TotalRates_RES_1[#Headers],0)),
INDEX(OP_TotalRates_SME_1[#Data],MATCH($C170,OP_TotalRates_SME_1[Rate name],0),MATCH(M$162,OP_TotalRates_SME_1[#Headers],0))),
IF($G170="Residential",
INDEX(OP_TotalRates_RES_2[#Data],MATCH($C170,OP_TotalRates_RES_2[Rate name],0),MATCH(M$162,OP_TotalRates_RES_2[#Headers],0)),
INDEX(OP_TotalRates_SME_2[#Data],MATCH($C170,OP_TotalRates_SME_2[Rate name],0),MATCH(M$162,OP_TotalRates_SME_2[#Headers]))))</f>
        <v>0.159</v>
      </c>
      <c r="N170" s="180"/>
      <c r="O170" s="23" t="s">
        <v>691</v>
      </c>
      <c r="P170"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2000</v>
      </c>
      <c r="Q170" s="78">
        <f>CH_BITariff4232[[#This Row],[Ausnet]]*CH_BITariff4232[[#This Row],[Usage value]]</f>
        <v>366.8</v>
      </c>
    </row>
    <row r="171" spans="3:23" x14ac:dyDescent="0.25">
      <c r="C171" s="23" t="s">
        <v>550</v>
      </c>
      <c r="D171" s="23" t="s">
        <v>109</v>
      </c>
      <c r="E171" s="23" t="s">
        <v>259</v>
      </c>
      <c r="F171" s="23" t="s">
        <v>750</v>
      </c>
      <c r="G171" s="23" t="s">
        <v>93</v>
      </c>
      <c r="H171" s="23" t="s">
        <v>556</v>
      </c>
      <c r="I171" s="209">
        <f>IF($E171="VDO 2021 - Variation Final",
IF($G171="Residential",
INDEX(OP_TotalRates_RES_1[#Data],MATCH($C171,OP_TotalRates_RES_1[Rate name],0),MATCH(I$162,OP_TotalRates_RES_1[#Headers],0)),
INDEX(OP_TotalRates_SME_1[#Data],MATCH($C171,OP_TotalRates_SME_1[Rate name],0),MATCH(I$162,OP_TotalRates_SME_1[#Headers],0))),
IF($G171="Residential",
INDEX(OP_TotalRates_RES_2[#Data],MATCH($C171,OP_TotalRates_RES_2[Rate name],0),MATCH(I$162,OP_TotalRates_RES_2[#Headers],0)),
INDEX(OP_TotalRates_SME_2[#Data],MATCH($C171,OP_TotalRates_SME_2[Rate name],0),MATCH(I$162,OP_TotalRates_SME_2[#Headers]))))</f>
        <v>1.3355999999999999</v>
      </c>
      <c r="J171" s="209">
        <f>IF($E171="VDO 2021 - Variation Final",
IF($G171="Residential",
INDEX(OP_TotalRates_RES_1[#Data],MATCH($C171,OP_TotalRates_RES_1[Rate name],0),MATCH(J$162,OP_TotalRates_RES_1[#Headers],0)),
INDEX(OP_TotalRates_SME_1[#Data],MATCH($C171,OP_TotalRates_SME_1[Rate name],0),MATCH(J$162,OP_TotalRates_SME_1[#Headers],0))),
IF($G171="Residential",
INDEX(OP_TotalRates_RES_2[#Data],MATCH($C171,OP_TotalRates_RES_2[Rate name],0),MATCH(J$162,OP_TotalRates_RES_2[#Headers],0)),
INDEX(OP_TotalRates_SME_2[#Data],MATCH($C171,OP_TotalRates_SME_2[Rate name],0),MATCH(J$162,OP_TotalRates_SME_2[#Headers]))))</f>
        <v>1.3875999999999999</v>
      </c>
      <c r="K171" s="209">
        <f>IF($E171="VDO 2021 - Variation Final",
IF($G171="Residential",
INDEX(OP_TotalRates_RES_1[#Data],MATCH($C171,OP_TotalRates_RES_1[Rate name],0),MATCH(K$162,OP_TotalRates_RES_1[#Headers],0)),
INDEX(OP_TotalRates_SME_1[#Data],MATCH($C171,OP_TotalRates_SME_1[Rate name],0),MATCH(K$162,OP_TotalRates_SME_1[#Headers],0))),
IF($G171="Residential",
INDEX(OP_TotalRates_RES_2[#Data],MATCH($C171,OP_TotalRates_RES_2[Rate name],0),MATCH(K$162,OP_TotalRates_RES_2[#Headers],0)),
INDEX(OP_TotalRates_SME_2[#Data],MATCH($C171,OP_TotalRates_SME_2[Rate name],0),MATCH(K$162,OP_TotalRates_SME_2[#Headers]))))</f>
        <v>1.3848</v>
      </c>
      <c r="L171" s="209">
        <f>IF($E171="VDO 2021 - Variation Final",
IF($G171="Residential",
INDEX(OP_TotalRates_RES_1[#Data],MATCH($C171,OP_TotalRates_RES_1[Rate name],0),MATCH(L$162,OP_TotalRates_RES_1[#Headers],0)),
INDEX(OP_TotalRates_SME_1[#Data],MATCH($C171,OP_TotalRates_SME_1[Rate name],0),MATCH(L$162,OP_TotalRates_SME_1[#Headers],0))),
IF($G171="Residential",
INDEX(OP_TotalRates_RES_2[#Data],MATCH($C171,OP_TotalRates_RES_2[Rate name],0),MATCH(L$162,OP_TotalRates_RES_2[#Headers],0)),
INDEX(OP_TotalRates_SME_2[#Data],MATCH($C171,OP_TotalRates_SME_2[Rate name],0),MATCH(L$162,OP_TotalRates_SME_2[#Headers]))))</f>
        <v>1.4613</v>
      </c>
      <c r="M171" s="209">
        <f>IF($E171="VDO 2021 - Variation Final",
IF($G171="Residential",
INDEX(OP_TotalRates_RES_1[#Data],MATCH($C171,OP_TotalRates_RES_1[Rate name],0),MATCH(M$162,OP_TotalRates_RES_1[#Headers],0)),
INDEX(OP_TotalRates_SME_1[#Data],MATCH($C171,OP_TotalRates_SME_1[Rate name],0),MATCH(M$162,OP_TotalRates_SME_1[#Headers],0))),
IF($G171="Residential",
INDEX(OP_TotalRates_RES_2[#Data],MATCH($C171,OP_TotalRates_RES_2[Rate name],0),MATCH(M$162,OP_TotalRates_RES_2[#Headers],0)),
INDEX(OP_TotalRates_SME_2[#Data],MATCH($C171,OP_TotalRates_SME_2[Rate name],0),MATCH(M$162,OP_TotalRates_SME_2[#Headers]))))</f>
        <v>1.1520999999999999</v>
      </c>
      <c r="N171" s="180"/>
      <c r="O171" s="23" t="s">
        <v>427</v>
      </c>
      <c r="P171"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c r="Q171" s="78">
        <f>CH_BITariff4232[[#This Row],[Ausnet]]*CH_BITariff4232[[#This Row],[Usage value]]</f>
        <v>241.74359999999999</v>
      </c>
    </row>
    <row r="172" spans="3:23" x14ac:dyDescent="0.25">
      <c r="C172" s="23" t="s">
        <v>221</v>
      </c>
      <c r="D172" s="23" t="s">
        <v>282</v>
      </c>
      <c r="E172" s="23" t="s">
        <v>259</v>
      </c>
      <c r="F172" s="23" t="s">
        <v>750</v>
      </c>
      <c r="G172" s="23" t="s">
        <v>93</v>
      </c>
      <c r="H172" s="23" t="s">
        <v>556</v>
      </c>
      <c r="I172" s="209">
        <f>IF($E172="VDO 2021 - Variation Final",
IF($G172="Residential",
INDEX(OP_TotalRates_RES_1[#Data],MATCH($C172,OP_TotalRates_RES_1[Rate name],0),MATCH(I$162,OP_TotalRates_RES_1[#Headers],0)),
INDEX(OP_TotalRates_SME_1[#Data],MATCH($C172,OP_TotalRates_SME_1[Rate name],0),MATCH(I$162,OP_TotalRates_SME_1[#Headers],0))),
IF($G172="Residential",
INDEX(OP_TotalRates_RES_2[#Data],MATCH($C172,OP_TotalRates_RES_2[Rate name],0),MATCH(I$162,OP_TotalRates_RES_2[#Headers],0)),
INDEX(OP_TotalRates_SME_2[#Data],MATCH($C172,OP_TotalRates_SME_2[Rate name],0),MATCH(I$162,OP_TotalRates_SME_2[#Headers]))))</f>
        <v>0.30159999999999998</v>
      </c>
      <c r="J172" s="209">
        <f>IF($E172="VDO 2021 - Variation Final",
IF($G172="Residential",
INDEX(OP_TotalRates_RES_1[#Data],MATCH($C172,OP_TotalRates_RES_1[Rate name],0),MATCH(J$162,OP_TotalRates_RES_1[#Headers],0)),
INDEX(OP_TotalRates_SME_1[#Data],MATCH($C172,OP_TotalRates_SME_1[Rate name],0),MATCH(J$162,OP_TotalRates_SME_1[#Headers],0))),
IF($G172="Residential",
INDEX(OP_TotalRates_RES_2[#Data],MATCH($C172,OP_TotalRates_RES_2[Rate name],0),MATCH(J$162,OP_TotalRates_RES_2[#Headers],0)),
INDEX(OP_TotalRates_SME_2[#Data],MATCH($C172,OP_TotalRates_SME_2[Rate name],0),MATCH(J$162,OP_TotalRates_SME_2[#Headers]))))</f>
        <v>0</v>
      </c>
      <c r="K172" s="209">
        <f>IF($E172="VDO 2021 - Variation Final",
IF($G172="Residential",
INDEX(OP_TotalRates_RES_1[#Data],MATCH($C172,OP_TotalRates_RES_1[Rate name],0),MATCH(K$162,OP_TotalRates_RES_1[#Headers],0)),
INDEX(OP_TotalRates_SME_1[#Data],MATCH($C172,OP_TotalRates_SME_1[Rate name],0),MATCH(K$162,OP_TotalRates_SME_1[#Headers],0))),
IF($G172="Residential",
INDEX(OP_TotalRates_RES_2[#Data],MATCH($C172,OP_TotalRates_RES_2[Rate name],0),MATCH(K$162,OP_TotalRates_RES_2[#Headers],0)),
INDEX(OP_TotalRates_SME_2[#Data],MATCH($C172,OP_TotalRates_SME_2[Rate name],0),MATCH(K$162,OP_TotalRates_SME_2[#Headers]))))</f>
        <v>0</v>
      </c>
      <c r="L172" s="209">
        <f>IF($E172="VDO 2021 - Variation Final",
IF($G172="Residential",
INDEX(OP_TotalRates_RES_1[#Data],MATCH($C172,OP_TotalRates_RES_1[Rate name],0),MATCH(L$162,OP_TotalRates_RES_1[#Headers],0)),
INDEX(OP_TotalRates_SME_1[#Data],MATCH($C172,OP_TotalRates_SME_1[Rate name],0),MATCH(L$162,OP_TotalRates_SME_1[#Headers],0))),
IF($G172="Residential",
INDEX(OP_TotalRates_RES_2[#Data],MATCH($C172,OP_TotalRates_RES_2[Rate name],0),MATCH(L$162,OP_TotalRates_RES_2[#Headers],0)),
INDEX(OP_TotalRates_SME_2[#Data],MATCH($C172,OP_TotalRates_SME_2[Rate name],0),MATCH(L$162,OP_TotalRates_SME_2[#Headers]))))</f>
        <v>0</v>
      </c>
      <c r="M172" s="209">
        <f>IF($E172="VDO 2021 - Variation Final",
IF($G172="Residential",
INDEX(OP_TotalRates_RES_1[#Data],MATCH($C172,OP_TotalRates_RES_1[Rate name],0),MATCH(M$162,OP_TotalRates_RES_1[#Headers],0)),
INDEX(OP_TotalRates_SME_1[#Data],MATCH($C172,OP_TotalRates_SME_1[Rate name],0),MATCH(M$162,OP_TotalRates_SME_1[#Headers],0))),
IF($G172="Residential",
INDEX(OP_TotalRates_RES_2[#Data],MATCH($C172,OP_TotalRates_RES_2[Rate name],0),MATCH(M$162,OP_TotalRates_RES_2[#Headers],0)),
INDEX(OP_TotalRates_SME_2[#Data],MATCH($C172,OP_TotalRates_SME_2[Rate name],0),MATCH(M$162,OP_TotalRates_SME_2[#Headers]))))</f>
        <v>0</v>
      </c>
      <c r="N172" s="180"/>
      <c r="O172" s="23" t="s">
        <v>691</v>
      </c>
      <c r="P172"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4080</v>
      </c>
      <c r="Q172" s="78">
        <f>CH_BITariff4232[[#This Row],[Ausnet]]*CH_BITariff4232[[#This Row],[Usage value]]</f>
        <v>1230.528</v>
      </c>
    </row>
    <row r="173" spans="3:23" x14ac:dyDescent="0.25">
      <c r="C173" s="23" t="s">
        <v>228</v>
      </c>
      <c r="D173" s="23" t="s">
        <v>282</v>
      </c>
      <c r="E173" s="23" t="s">
        <v>259</v>
      </c>
      <c r="F173" s="23" t="s">
        <v>750</v>
      </c>
      <c r="G173" s="23" t="s">
        <v>93</v>
      </c>
      <c r="H173" s="23" t="s">
        <v>556</v>
      </c>
      <c r="I173" s="209">
        <f>IF($E173="VDO 2021 - Variation Final",
IF($G173="Residential",
INDEX(OP_TotalRates_RES_1[#Data],MATCH($C173,OP_TotalRates_RES_1[Rate name],0),MATCH(I$162,OP_TotalRates_RES_1[#Headers],0)),
INDEX(OP_TotalRates_SME_1[#Data],MATCH($C173,OP_TotalRates_SME_1[Rate name],0),MATCH(I$162,OP_TotalRates_SME_1[#Headers],0))),
IF($G173="Residential",
INDEX(OP_TotalRates_RES_2[#Data],MATCH($C173,OP_TotalRates_RES_2[Rate name],0),MATCH(I$162,OP_TotalRates_RES_2[#Headers],0)),
INDEX(OP_TotalRates_SME_2[#Data],MATCH($C173,OP_TotalRates_SME_2[Rate name],0),MATCH(I$162,OP_TotalRates_SME_2[#Headers]))))</f>
        <v>0.33350000000000002</v>
      </c>
      <c r="J173" s="209">
        <f>IF($E173="VDO 2021 - Variation Final",
IF($G173="Residential",
INDEX(OP_TotalRates_RES_1[#Data],MATCH($C173,OP_TotalRates_RES_1[Rate name],0),MATCH(J$162,OP_TotalRates_RES_1[#Headers],0)),
INDEX(OP_TotalRates_SME_1[#Data],MATCH($C173,OP_TotalRates_SME_1[Rate name],0),MATCH(J$162,OP_TotalRates_SME_1[#Headers],0))),
IF($G173="Residential",
INDEX(OP_TotalRates_RES_2[#Data],MATCH($C173,OP_TotalRates_RES_2[Rate name],0),MATCH(J$162,OP_TotalRates_RES_2[#Headers],0)),
INDEX(OP_TotalRates_SME_2[#Data],MATCH($C173,OP_TotalRates_SME_2[Rate name],0),MATCH(J$162,OP_TotalRates_SME_2[#Headers]))))</f>
        <v>0</v>
      </c>
      <c r="K173" s="209">
        <f>IF($E173="VDO 2021 - Variation Final",
IF($G173="Residential",
INDEX(OP_TotalRates_RES_1[#Data],MATCH($C173,OP_TotalRates_RES_1[Rate name],0),MATCH(K$162,OP_TotalRates_RES_1[#Headers],0)),
INDEX(OP_TotalRates_SME_1[#Data],MATCH($C173,OP_TotalRates_SME_1[Rate name],0),MATCH(K$162,OP_TotalRates_SME_1[#Headers],0))),
IF($G173="Residential",
INDEX(OP_TotalRates_RES_2[#Data],MATCH($C173,OP_TotalRates_RES_2[Rate name],0),MATCH(K$162,OP_TotalRates_RES_2[#Headers],0)),
INDEX(OP_TotalRates_SME_2[#Data],MATCH($C173,OP_TotalRates_SME_2[Rate name],0),MATCH(K$162,OP_TotalRates_SME_2[#Headers]))))</f>
        <v>0</v>
      </c>
      <c r="L173" s="209">
        <f>IF($E173="VDO 2021 - Variation Final",
IF($G173="Residential",
INDEX(OP_TotalRates_RES_1[#Data],MATCH($C173,OP_TotalRates_RES_1[Rate name],0),MATCH(L$162,OP_TotalRates_RES_1[#Headers],0)),
INDEX(OP_TotalRates_SME_1[#Data],MATCH($C173,OP_TotalRates_SME_1[Rate name],0),MATCH(L$162,OP_TotalRates_SME_1[#Headers],0))),
IF($G173="Residential",
INDEX(OP_TotalRates_RES_2[#Data],MATCH($C173,OP_TotalRates_RES_2[Rate name],0),MATCH(L$162,OP_TotalRates_RES_2[#Headers],0)),
INDEX(OP_TotalRates_SME_2[#Data],MATCH($C173,OP_TotalRates_SME_2[Rate name],0),MATCH(L$162,OP_TotalRates_SME_2[#Headers]))))</f>
        <v>0</v>
      </c>
      <c r="M173" s="209">
        <f>IF($E173="VDO 2021 - Variation Final",
IF($G173="Residential",
INDEX(OP_TotalRates_RES_1[#Data],MATCH($C173,OP_TotalRates_RES_1[Rate name],0),MATCH(M$162,OP_TotalRates_RES_1[#Headers],0)),
INDEX(OP_TotalRates_SME_1[#Data],MATCH($C173,OP_TotalRates_SME_1[Rate name],0),MATCH(M$162,OP_TotalRates_SME_1[#Headers],0))),
IF($G173="Residential",
INDEX(OP_TotalRates_RES_2[#Data],MATCH($C173,OP_TotalRates_RES_2[Rate name],0),MATCH(M$162,OP_TotalRates_RES_2[#Headers],0)),
INDEX(OP_TotalRates_SME_2[#Data],MATCH($C173,OP_TotalRates_SME_2[Rate name],0),MATCH(M$162,OP_TotalRates_SME_2[#Headers]))))</f>
        <v>0</v>
      </c>
      <c r="N173" s="180"/>
      <c r="O173" s="23" t="s">
        <v>691</v>
      </c>
      <c r="P173"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15920</v>
      </c>
      <c r="Q173" s="78">
        <f>CH_BITariff4232[[#This Row],[Ausnet]]*CH_BITariff4232[[#This Row],[Usage value]]</f>
        <v>5309.3200000000006</v>
      </c>
    </row>
    <row r="174" spans="3:23" x14ac:dyDescent="0.25">
      <c r="C174" s="23" t="s">
        <v>549</v>
      </c>
      <c r="D174" s="23" t="s">
        <v>282</v>
      </c>
      <c r="E174" s="23" t="s">
        <v>259</v>
      </c>
      <c r="F174" s="23" t="s">
        <v>750</v>
      </c>
      <c r="G174" s="23" t="s">
        <v>93</v>
      </c>
      <c r="H174" s="23" t="s">
        <v>556</v>
      </c>
      <c r="I174" s="209">
        <f>IF($E174="VDO 2021 - Variation Final",
IF($G174="Residential",
INDEX(OP_TotalRates_RES_1[#Data],MATCH($C174,OP_TotalRates_RES_1[Rate name],0),MATCH(I$162,OP_TotalRates_RES_1[#Headers],0)),
INDEX(OP_TotalRates_SME_1[#Data],MATCH($C174,OP_TotalRates_SME_1[Rate name],0),MATCH(I$162,OP_TotalRates_SME_1[#Headers],0))),
IF($G174="Residential",
INDEX(OP_TotalRates_RES_2[#Data],MATCH($C174,OP_TotalRates_RES_2[Rate name],0),MATCH(I$162,OP_TotalRates_RES_2[#Headers],0)),
INDEX(OP_TotalRates_SME_2[#Data],MATCH($C174,OP_TotalRates_SME_2[Rate name],0),MATCH(I$162,OP_TotalRates_SME_2[#Headers]))))</f>
        <v>0</v>
      </c>
      <c r="J174" s="209">
        <f>IF($E174="VDO 2021 - Variation Final",
IF($G174="Residential",
INDEX(OP_TotalRates_RES_1[#Data],MATCH($C174,OP_TotalRates_RES_1[Rate name],0),MATCH(J$162,OP_TotalRates_RES_1[#Headers],0)),
INDEX(OP_TotalRates_SME_1[#Data],MATCH($C174,OP_TotalRates_SME_1[Rate name],0),MATCH(J$162,OP_TotalRates_SME_1[#Headers],0))),
IF($G174="Residential",
INDEX(OP_TotalRates_RES_2[#Data],MATCH($C174,OP_TotalRates_RES_2[Rate name],0),MATCH(J$162,OP_TotalRates_RES_2[#Headers],0)),
INDEX(OP_TotalRates_SME_2[#Data],MATCH($C174,OP_TotalRates_SME_2[Rate name],0),MATCH(J$162,OP_TotalRates_SME_2[#Headers]))))</f>
        <v>0.21410000000000001</v>
      </c>
      <c r="K174" s="209">
        <f>IF($E174="VDO 2021 - Variation Final",
IF($G174="Residential",
INDEX(OP_TotalRates_RES_1[#Data],MATCH($C174,OP_TotalRates_RES_1[Rate name],0),MATCH(K$162,OP_TotalRates_RES_1[#Headers],0)),
INDEX(OP_TotalRates_SME_1[#Data],MATCH($C174,OP_TotalRates_SME_1[Rate name],0),MATCH(K$162,OP_TotalRates_SME_1[#Headers],0))),
IF($G174="Residential",
INDEX(OP_TotalRates_RES_2[#Data],MATCH($C174,OP_TotalRates_RES_2[Rate name],0),MATCH(K$162,OP_TotalRates_RES_2[#Headers],0)),
INDEX(OP_TotalRates_SME_2[#Data],MATCH($C174,OP_TotalRates_SME_2[Rate name],0),MATCH(K$162,OP_TotalRates_SME_2[#Headers]))))</f>
        <v>0.2457</v>
      </c>
      <c r="L174" s="209">
        <f>IF($E174="VDO 2021 - Variation Final",
IF($G174="Residential",
INDEX(OP_TotalRates_RES_1[#Data],MATCH($C174,OP_TotalRates_RES_1[Rate name],0),MATCH(L$162,OP_TotalRates_RES_1[#Headers],0)),
INDEX(OP_TotalRates_SME_1[#Data],MATCH($C174,OP_TotalRates_SME_1[Rate name],0),MATCH(L$162,OP_TotalRates_SME_1[#Headers],0))),
IF($G174="Residential",
INDEX(OP_TotalRates_RES_2[#Data],MATCH($C174,OP_TotalRates_RES_2[Rate name],0),MATCH(L$162,OP_TotalRates_RES_2[#Headers],0)),
INDEX(OP_TotalRates_SME_2[#Data],MATCH($C174,OP_TotalRates_SME_2[Rate name],0),MATCH(L$162,OP_TotalRates_SME_2[#Headers]))))</f>
        <v>0.22570000000000001</v>
      </c>
      <c r="M174" s="209">
        <f>IF($E174="VDO 2021 - Variation Final",
IF($G174="Residential",
INDEX(OP_TotalRates_RES_1[#Data],MATCH($C174,OP_TotalRates_RES_1[Rate name],0),MATCH(M$162,OP_TotalRates_RES_1[#Headers],0)),
INDEX(OP_TotalRates_SME_1[#Data],MATCH($C174,OP_TotalRates_SME_1[Rate name],0),MATCH(M$162,OP_TotalRates_SME_1[#Headers],0))),
IF($G174="Residential",
INDEX(OP_TotalRates_RES_2[#Data],MATCH($C174,OP_TotalRates_RES_2[Rate name],0),MATCH(M$162,OP_TotalRates_RES_2[#Headers],0)),
INDEX(OP_TotalRates_SME_2[#Data],MATCH($C174,OP_TotalRates_SME_2[Rate name],0),MATCH(M$162,OP_TotalRates_SME_2[#Headers]))))</f>
        <v>0.2225</v>
      </c>
      <c r="N174" s="180"/>
      <c r="O174" s="23" t="s">
        <v>691</v>
      </c>
      <c r="P174"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20000</v>
      </c>
      <c r="Q174" s="78">
        <f>CH_BITariff4232[[#This Row],[Ausnet]]*CH_BITariff4232[[#This Row],[Usage value]]</f>
        <v>0</v>
      </c>
    </row>
    <row r="175" spans="3:23" x14ac:dyDescent="0.25">
      <c r="C175" s="23" t="s">
        <v>551</v>
      </c>
      <c r="D175" s="23" t="s">
        <v>109</v>
      </c>
      <c r="E175" s="23" t="s">
        <v>259</v>
      </c>
      <c r="F175" s="23" t="s">
        <v>750</v>
      </c>
      <c r="G175" s="23" t="s">
        <v>93</v>
      </c>
      <c r="H175" s="23" t="s">
        <v>557</v>
      </c>
      <c r="I175" s="209">
        <f>IF($E175="VDO 2021 - Variation Final",
IF($G175="Residential",
INDEX(OP_TotalRates_RES_1[#Data],MATCH($C175,OP_TotalRates_RES_1[Rate name],0),MATCH(I$162,OP_TotalRates_RES_1[#Headers],0)),
INDEX(OP_TotalRates_SME_1[#Data],MATCH($C175,OP_TotalRates_SME_1[Rate name],0),MATCH(I$162,OP_TotalRates_SME_1[#Headers],0))),
IF($G175="Residential",
INDEX(OP_TotalRates_RES_2[#Data],MATCH($C175,OP_TotalRates_RES_2[Rate name],0),MATCH(I$162,OP_TotalRates_RES_2[#Headers],0)),
INDEX(OP_TotalRates_SME_2[#Data],MATCH($C175,OP_TotalRates_SME_2[Rate name],0),MATCH(I$162,OP_TotalRates_SME_2[#Headers]))))</f>
        <v>0.86480000000000001</v>
      </c>
      <c r="J175" s="209">
        <f>IF($E175="VDO 2021 - Variation Final",
IF($G175="Residential",
INDEX(OP_TotalRates_RES_1[#Data],MATCH($C175,OP_TotalRates_RES_1[Rate name],0),MATCH(J$162,OP_TotalRates_RES_1[#Headers],0)),
INDEX(OP_TotalRates_SME_1[#Data],MATCH($C175,OP_TotalRates_SME_1[Rate name],0),MATCH(J$162,OP_TotalRates_SME_1[#Headers],0))),
IF($G175="Residential",
INDEX(OP_TotalRates_RES_2[#Data],MATCH($C175,OP_TotalRates_RES_2[Rate name],0),MATCH(J$162,OP_TotalRates_RES_2[#Headers],0)),
INDEX(OP_TotalRates_SME_2[#Data],MATCH($C175,OP_TotalRates_SME_2[Rate name],0),MATCH(J$162,OP_TotalRates_SME_2[#Headers]))))</f>
        <v>1.3568</v>
      </c>
      <c r="K175" s="209">
        <f>IF($E175="VDO 2021 - Variation Final",
IF($G175="Residential",
INDEX(OP_TotalRates_RES_1[#Data],MATCH($C175,OP_TotalRates_RES_1[Rate name],0),MATCH(K$162,OP_TotalRates_RES_1[#Headers],0)),
INDEX(OP_TotalRates_SME_1[#Data],MATCH($C175,OP_TotalRates_SME_1[Rate name],0),MATCH(K$162,OP_TotalRates_SME_1[#Headers],0))),
IF($G175="Residential",
INDEX(OP_TotalRates_RES_2[#Data],MATCH($C175,OP_TotalRates_RES_2[Rate name],0),MATCH(K$162,OP_TotalRates_RES_2[#Headers],0)),
INDEX(OP_TotalRates_SME_2[#Data],MATCH($C175,OP_TotalRates_SME_2[Rate name],0),MATCH(K$162,OP_TotalRates_SME_2[#Headers]))))</f>
        <v>1.6395</v>
      </c>
      <c r="L175" s="209">
        <f>IF($E175="VDO 2021 - Variation Final",
IF($G175="Residential",
INDEX(OP_TotalRates_RES_1[#Data],MATCH($C175,OP_TotalRates_RES_1[Rate name],0),MATCH(L$162,OP_TotalRates_RES_1[#Headers],0)),
INDEX(OP_TotalRates_SME_1[#Data],MATCH($C175,OP_TotalRates_SME_1[Rate name],0),MATCH(L$162,OP_TotalRates_SME_1[#Headers],0))),
IF($G175="Residential",
INDEX(OP_TotalRates_RES_2[#Data],MATCH($C175,OP_TotalRates_RES_2[Rate name],0),MATCH(L$162,OP_TotalRates_RES_2[#Headers],0)),
INDEX(OP_TotalRates_SME_2[#Data],MATCH($C175,OP_TotalRates_SME_2[Rate name],0),MATCH(L$162,OP_TotalRates_SME_2[#Headers]))))</f>
        <v>1.4275</v>
      </c>
      <c r="M175" s="209">
        <f>IF($E175="VDO 2021 - Variation Final",
IF($G175="Residential",
INDEX(OP_TotalRates_RES_1[#Data],MATCH($C175,OP_TotalRates_RES_1[Rate name],0),MATCH(M$162,OP_TotalRates_RES_1[#Headers],0)),
INDEX(OP_TotalRates_SME_1[#Data],MATCH($C175,OP_TotalRates_SME_1[Rate name],0),MATCH(M$162,OP_TotalRates_SME_1[#Headers],0))),
IF($G175="Residential",
INDEX(OP_TotalRates_RES_2[#Data],MATCH($C175,OP_TotalRates_RES_2[Rate name],0),MATCH(M$162,OP_TotalRates_RES_2[#Headers],0)),
INDEX(OP_TotalRates_SME_2[#Data],MATCH($C175,OP_TotalRates_SME_2[Rate name],0),MATCH(M$162,OP_TotalRates_SME_2[#Headers]))))</f>
        <v>1.1218999999999999</v>
      </c>
      <c r="N175" s="180"/>
      <c r="O175" s="23" t="s">
        <v>427</v>
      </c>
      <c r="P175"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c r="Q175" s="78">
        <f>CH_BITariff4232[[#This Row],[Ausnet]]*CH_BITariff4232[[#This Row],[Usage value]]</f>
        <v>156.52879999999999</v>
      </c>
    </row>
    <row r="176" spans="3:23" x14ac:dyDescent="0.25">
      <c r="C176" s="23" t="s">
        <v>230</v>
      </c>
      <c r="D176" s="23" t="s">
        <v>282</v>
      </c>
      <c r="E176" s="23" t="s">
        <v>259</v>
      </c>
      <c r="F176" s="23" t="s">
        <v>750</v>
      </c>
      <c r="G176" s="23" t="s">
        <v>93</v>
      </c>
      <c r="H176" s="23" t="s">
        <v>557</v>
      </c>
      <c r="I176" s="209">
        <f>IF($E176="VDO 2021 - Variation Final",
IF($G176="Residential",
INDEX(OP_TotalRates_RES_1[#Data],MATCH($C176,OP_TotalRates_RES_1[Rate name],0),MATCH(I$162,OP_TotalRates_RES_1[#Headers],0)),
INDEX(OP_TotalRates_SME_1[#Data],MATCH($C176,OP_TotalRates_SME_1[Rate name],0),MATCH(I$162,OP_TotalRates_SME_1[#Headers],0))),
IF($G176="Residential",
INDEX(OP_TotalRates_RES_2[#Data],MATCH($C176,OP_TotalRates_RES_2[Rate name],0),MATCH(I$162,OP_TotalRates_RES_2[#Headers],0)),
INDEX(OP_TotalRates_SME_2[#Data],MATCH($C176,OP_TotalRates_SME_2[Rate name],0),MATCH(I$162,OP_TotalRates_SME_2[#Headers]))))</f>
        <v>0.3246</v>
      </c>
      <c r="J176" s="209">
        <f>IF($E176="VDO 2021 - Variation Final",
IF($G176="Residential",
INDEX(OP_TotalRates_RES_1[#Data],MATCH($C176,OP_TotalRates_RES_1[Rate name],0),MATCH(J$162,OP_TotalRates_RES_1[#Headers],0)),
INDEX(OP_TotalRates_SME_1[#Data],MATCH($C176,OP_TotalRates_SME_1[Rate name],0),MATCH(J$162,OP_TotalRates_SME_1[#Headers],0))),
IF($G176="Residential",
INDEX(OP_TotalRates_RES_2[#Data],MATCH($C176,OP_TotalRates_RES_2[Rate name],0),MATCH(J$162,OP_TotalRates_RES_2[#Headers],0)),
INDEX(OP_TotalRates_SME_2[#Data],MATCH($C176,OP_TotalRates_SME_2[Rate name],0),MATCH(J$162,OP_TotalRates_SME_2[#Headers]))))</f>
        <v>0.2702</v>
      </c>
      <c r="K176" s="209">
        <f>IF($E176="VDO 2021 - Variation Final",
IF($G176="Residential",
INDEX(OP_TotalRates_RES_1[#Data],MATCH($C176,OP_TotalRates_RES_1[Rate name],0),MATCH(K$162,OP_TotalRates_RES_1[#Headers],0)),
INDEX(OP_TotalRates_SME_1[#Data],MATCH($C176,OP_TotalRates_SME_1[Rate name],0),MATCH(K$162,OP_TotalRates_SME_1[#Headers],0))),
IF($G176="Residential",
INDEX(OP_TotalRates_RES_2[#Data],MATCH($C176,OP_TotalRates_RES_2[Rate name],0),MATCH(K$162,OP_TotalRates_RES_2[#Headers],0)),
INDEX(OP_TotalRates_SME_2[#Data],MATCH($C176,OP_TotalRates_SME_2[Rate name],0),MATCH(K$162,OP_TotalRates_SME_2[#Headers]))))</f>
        <v>0.28489999999999999</v>
      </c>
      <c r="L176" s="209">
        <f>IF($E176="VDO 2021 - Variation Final",
IF($G176="Residential",
INDEX(OP_TotalRates_RES_1[#Data],MATCH($C176,OP_TotalRates_RES_1[Rate name],0),MATCH(L$162,OP_TotalRates_RES_1[#Headers],0)),
INDEX(OP_TotalRates_SME_1[#Data],MATCH($C176,OP_TotalRates_SME_1[Rate name],0),MATCH(L$162,OP_TotalRates_SME_1[#Headers],0))),
IF($G176="Residential",
INDEX(OP_TotalRates_RES_2[#Data],MATCH($C176,OP_TotalRates_RES_2[Rate name],0),MATCH(L$162,OP_TotalRates_RES_2[#Headers],0)),
INDEX(OP_TotalRates_SME_2[#Data],MATCH($C176,OP_TotalRates_SME_2[Rate name],0),MATCH(L$162,OP_TotalRates_SME_2[#Headers]))))</f>
        <v>0.28939999999999999</v>
      </c>
      <c r="M176" s="209">
        <f>IF($E176="VDO 2021 - Variation Final",
IF($G176="Residential",
INDEX(OP_TotalRates_RES_1[#Data],MATCH($C176,OP_TotalRates_RES_1[Rate name],0),MATCH(M$162,OP_TotalRates_RES_1[#Headers],0)),
INDEX(OP_TotalRates_SME_1[#Data],MATCH($C176,OP_TotalRates_SME_1[Rate name],0),MATCH(M$162,OP_TotalRates_SME_1[#Headers],0))),
IF($G176="Residential",
INDEX(OP_TotalRates_RES_2[#Data],MATCH($C176,OP_TotalRates_RES_2[Rate name],0),MATCH(M$162,OP_TotalRates_RES_2[#Headers],0)),
INDEX(OP_TotalRates_SME_2[#Data],MATCH($C176,OP_TotalRates_SME_2[Rate name],0),MATCH(M$162,OP_TotalRates_SME_2[#Headers]))))</f>
        <v>0.28320000000000001</v>
      </c>
      <c r="N176" s="180"/>
      <c r="O176" s="23" t="s">
        <v>691</v>
      </c>
      <c r="P176"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9800</v>
      </c>
      <c r="Q176" s="78">
        <f>CH_BITariff4232[[#This Row],[Ausnet]]*CH_BITariff4232[[#This Row],[Usage value]]</f>
        <v>3181.08</v>
      </c>
    </row>
    <row r="177" spans="3:17" x14ac:dyDescent="0.25">
      <c r="C177" s="23" t="s">
        <v>609</v>
      </c>
      <c r="D177" s="23" t="s">
        <v>282</v>
      </c>
      <c r="E177" s="23" t="s">
        <v>259</v>
      </c>
      <c r="F177" s="23" t="s">
        <v>750</v>
      </c>
      <c r="G177" s="23" t="s">
        <v>93</v>
      </c>
      <c r="H177" s="23" t="s">
        <v>557</v>
      </c>
      <c r="I177" s="209">
        <f>IF($E177="VDO 2021 - Variation Final",
IF($G177="Residential",
INDEX(OP_TotalRates_RES_1[#Data],MATCH($C177,OP_TotalRates_RES_1[Rate name],0),MATCH(I$162,OP_TotalRates_RES_1[#Headers],0)),
INDEX(OP_TotalRates_SME_1[#Data],MATCH($C177,OP_TotalRates_SME_1[Rate name],0),MATCH(I$162,OP_TotalRates_SME_1[#Headers],0))),
IF($G177="Residential",
INDEX(OP_TotalRates_RES_2[#Data],MATCH($C177,OP_TotalRates_RES_2[Rate name],0),MATCH(I$162,OP_TotalRates_RES_2[#Headers],0)),
INDEX(OP_TotalRates_SME_2[#Data],MATCH($C177,OP_TotalRates_SME_2[Rate name],0),MATCH(I$162,OP_TotalRates_SME_2[#Headers]))))</f>
        <v>0.1701</v>
      </c>
      <c r="J177" s="209">
        <f>IF($E177="VDO 2021 - Variation Final",
IF($G177="Residential",
INDEX(OP_TotalRates_RES_1[#Data],MATCH($C177,OP_TotalRates_RES_1[Rate name],0),MATCH(J$162,OP_TotalRates_RES_1[#Headers],0)),
INDEX(OP_TotalRates_SME_1[#Data],MATCH($C177,OP_TotalRates_SME_1[Rate name],0),MATCH(J$162,OP_TotalRates_SME_1[#Headers],0))),
IF($G177="Residential",
INDEX(OP_TotalRates_RES_2[#Data],MATCH($C177,OP_TotalRates_RES_2[Rate name],0),MATCH(J$162,OP_TotalRates_RES_2[#Headers],0)),
INDEX(OP_TotalRates_SME_2[#Data],MATCH($C177,OP_TotalRates_SME_2[Rate name],0),MATCH(J$162,OP_TotalRates_SME_2[#Headers]))))</f>
        <v>0.152</v>
      </c>
      <c r="K177" s="209">
        <f>IF($E177="VDO 2021 - Variation Final",
IF($G177="Residential",
INDEX(OP_TotalRates_RES_1[#Data],MATCH($C177,OP_TotalRates_RES_1[Rate name],0),MATCH(K$162,OP_TotalRates_RES_1[#Headers],0)),
INDEX(OP_TotalRates_SME_1[#Data],MATCH($C177,OP_TotalRates_SME_1[Rate name],0),MATCH(K$162,OP_TotalRates_SME_1[#Headers],0))),
IF($G177="Residential",
INDEX(OP_TotalRates_RES_2[#Data],MATCH($C177,OP_TotalRates_RES_2[Rate name],0),MATCH(K$162,OP_TotalRates_RES_2[#Headers],0)),
INDEX(OP_TotalRates_SME_2[#Data],MATCH($C177,OP_TotalRates_SME_2[Rate name],0),MATCH(K$162,OP_TotalRates_SME_2[#Headers]))))</f>
        <v>0.15329999999999999</v>
      </c>
      <c r="L177" s="209">
        <f>IF($E177="VDO 2021 - Variation Final",
IF($G177="Residential",
INDEX(OP_TotalRates_RES_1[#Data],MATCH($C177,OP_TotalRates_RES_1[Rate name],0),MATCH(L$162,OP_TotalRates_RES_1[#Headers],0)),
INDEX(OP_TotalRates_SME_1[#Data],MATCH($C177,OP_TotalRates_SME_1[Rate name],0),MATCH(L$162,OP_TotalRates_SME_1[#Headers],0))),
IF($G177="Residential",
INDEX(OP_TotalRates_RES_2[#Data],MATCH($C177,OP_TotalRates_RES_2[Rate name],0),MATCH(L$162,OP_TotalRates_RES_2[#Headers],0)),
INDEX(OP_TotalRates_SME_2[#Data],MATCH($C177,OP_TotalRates_SME_2[Rate name],0),MATCH(L$162,OP_TotalRates_SME_2[#Headers]))))</f>
        <v>0.15559999999999999</v>
      </c>
      <c r="M177" s="209">
        <f>IF($E177="VDO 2021 - Variation Final",
IF($G177="Residential",
INDEX(OP_TotalRates_RES_1[#Data],MATCH($C177,OP_TotalRates_RES_1[Rate name],0),MATCH(M$162,OP_TotalRates_RES_1[#Headers],0)),
INDEX(OP_TotalRates_SME_1[#Data],MATCH($C177,OP_TotalRates_SME_1[Rate name],0),MATCH(M$162,OP_TotalRates_SME_1[#Headers],0))),
IF($G177="Residential",
INDEX(OP_TotalRates_RES_2[#Data],MATCH($C177,OP_TotalRates_RES_2[Rate name],0),MATCH(M$162,OP_TotalRates_RES_2[#Headers],0)),
INDEX(OP_TotalRates_SME_2[#Data],MATCH($C177,OP_TotalRates_SME_2[Rate name],0),MATCH(M$162,OP_TotalRates_SME_2[#Headers]))))</f>
        <v>0.15629999999999999</v>
      </c>
      <c r="N177" s="180"/>
      <c r="O177" s="23" t="s">
        <v>691</v>
      </c>
      <c r="P177"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10200</v>
      </c>
      <c r="Q177" s="78">
        <f>CH_BITariff4232[[#This Row],[Ausnet]]*CH_BITariff4232[[#This Row],[Usage value]]</f>
        <v>1735.02</v>
      </c>
    </row>
    <row r="178" spans="3:17" x14ac:dyDescent="0.25">
      <c r="C178" s="23" t="s">
        <v>550</v>
      </c>
      <c r="D178" s="23" t="s">
        <v>109</v>
      </c>
      <c r="E178" s="23" t="s">
        <v>822</v>
      </c>
      <c r="F178" s="23" t="s">
        <v>750</v>
      </c>
      <c r="G178" s="23" t="s">
        <v>92</v>
      </c>
      <c r="H178" s="23" t="s">
        <v>556</v>
      </c>
      <c r="I178" s="209">
        <f>IF($E178="VDO 2021 - Variation Final",
IF($G178="Residential",
INDEX(OP_TotalRates_RES_1[#Data],MATCH($C178,OP_TotalRates_RES_1[Rate name],0),MATCH(I$162,OP_TotalRates_RES_1[#Headers],0)),
INDEX(OP_TotalRates_SME_1[#Data],MATCH($C178,OP_TotalRates_SME_1[Rate name],0),MATCH(I$162,OP_TotalRates_SME_1[#Headers],0))),
IF($G178="Residential",
INDEX(OP_TotalRates_RES_2[#Data],MATCH($C178,OP_TotalRates_RES_2[Rate name],0),MATCH(I$162,OP_TotalRates_RES_2[#Headers],0)),
INDEX(OP_TotalRates_SME_2[#Data],MATCH($C178,OP_TotalRates_SME_2[Rate name],0),MATCH(I$162,OP_TotalRates_SME_2[#Headers]))))</f>
        <v>1.26</v>
      </c>
      <c r="J178" s="209">
        <f>IF($E178="VDO 2021 - Variation Final",
IF($G178="Residential",
INDEX(OP_TotalRates_RES_1[#Data],MATCH($C178,OP_TotalRates_RES_1[Rate name],0),MATCH(J$162,OP_TotalRates_RES_1[#Headers],0)),
INDEX(OP_TotalRates_SME_1[#Data],MATCH($C178,OP_TotalRates_SME_1[Rate name],0),MATCH(J$162,OP_TotalRates_SME_1[#Headers],0))),
IF($G178="Residential",
INDEX(OP_TotalRates_RES_2[#Data],MATCH($C178,OP_TotalRates_RES_2[Rate name],0),MATCH(J$162,OP_TotalRates_RES_2[#Headers],0)),
INDEX(OP_TotalRates_SME_2[#Data],MATCH($C178,OP_TotalRates_SME_2[Rate name],0),MATCH(J$162,OP_TotalRates_SME_2[#Headers]))))</f>
        <v>1.2022999999999999</v>
      </c>
      <c r="K178" s="209">
        <f>IF($E178="VDO 2021 - Variation Final",
IF($G178="Residential",
INDEX(OP_TotalRates_RES_1[#Data],MATCH($C178,OP_TotalRates_RES_1[Rate name],0),MATCH(K$162,OP_TotalRates_RES_1[#Headers],0)),
INDEX(OP_TotalRates_SME_1[#Data],MATCH($C178,OP_TotalRates_SME_1[Rate name],0),MATCH(K$162,OP_TotalRates_SME_1[#Headers],0))),
IF($G178="Residential",
INDEX(OP_TotalRates_RES_2[#Data],MATCH($C178,OP_TotalRates_RES_2[Rate name],0),MATCH(K$162,OP_TotalRates_RES_2[#Headers],0)),
INDEX(OP_TotalRates_SME_2[#Data],MATCH($C178,OP_TotalRates_SME_2[Rate name],0),MATCH(K$162,OP_TotalRates_SME_2[#Headers]))))</f>
        <v>1.1491</v>
      </c>
      <c r="L178" s="209">
        <f>IF($E178="VDO 2021 - Variation Final",
IF($G178="Residential",
INDEX(OP_TotalRates_RES_1[#Data],MATCH($C178,OP_TotalRates_RES_1[Rate name],0),MATCH(L$162,OP_TotalRates_RES_1[#Headers],0)),
INDEX(OP_TotalRates_SME_1[#Data],MATCH($C178,OP_TotalRates_SME_1[Rate name],0),MATCH(L$162,OP_TotalRates_SME_1[#Headers],0))),
IF($G178="Residential",
INDEX(OP_TotalRates_RES_2[#Data],MATCH($C178,OP_TotalRates_RES_2[Rate name],0),MATCH(L$162,OP_TotalRates_RES_2[#Headers],0)),
INDEX(OP_TotalRates_SME_2[#Data],MATCH($C178,OP_TotalRates_SME_2[Rate name],0),MATCH(L$162,OP_TotalRates_SME_2[#Headers]))))</f>
        <v>1.3459000000000001</v>
      </c>
      <c r="M178" s="209">
        <f>IF($E178="VDO 2021 - Variation Final",
IF($G178="Residential",
INDEX(OP_TotalRates_RES_1[#Data],MATCH($C178,OP_TotalRates_RES_1[Rate name],0),MATCH(M$162,OP_TotalRates_RES_1[#Headers],0)),
INDEX(OP_TotalRates_SME_1[#Data],MATCH($C178,OP_TotalRates_SME_1[Rate name],0),MATCH(M$162,OP_TotalRates_SME_1[#Headers],0))),
IF($G178="Residential",
INDEX(OP_TotalRates_RES_2[#Data],MATCH($C178,OP_TotalRates_RES_2[Rate name],0),MATCH(M$162,OP_TotalRates_RES_2[#Headers],0)),
INDEX(OP_TotalRates_SME_2[#Data],MATCH($C178,OP_TotalRates_SME_2[Rate name],0),MATCH(M$162,OP_TotalRates_SME_2[#Headers]))))</f>
        <v>1.0633999999999999</v>
      </c>
      <c r="N178" s="180"/>
      <c r="O178" s="23" t="s">
        <v>427</v>
      </c>
      <c r="P178"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c r="Q178" s="78">
        <f>CH_BITariff4232[[#This Row],[Ausnet]]*CH_BITariff4232[[#This Row],[Usage value]]</f>
        <v>228.06</v>
      </c>
    </row>
    <row r="179" spans="3:17" x14ac:dyDescent="0.25">
      <c r="C179" s="23" t="s">
        <v>221</v>
      </c>
      <c r="D179" s="23" t="s">
        <v>282</v>
      </c>
      <c r="E179" s="23" t="s">
        <v>822</v>
      </c>
      <c r="F179" s="23" t="s">
        <v>750</v>
      </c>
      <c r="G179" s="23" t="s">
        <v>92</v>
      </c>
      <c r="H179" s="23" t="s">
        <v>556</v>
      </c>
      <c r="I179" s="209">
        <f>IF($E179="VDO 2021 - Variation Final",
IF($G179="Residential",
INDEX(OP_TotalRates_RES_1[#Data],MATCH($C179,OP_TotalRates_RES_1[Rate name],0),MATCH(I$162,OP_TotalRates_RES_1[#Headers],0)),
INDEX(OP_TotalRates_SME_1[#Data],MATCH($C179,OP_TotalRates_SME_1[Rate name],0),MATCH(I$162,OP_TotalRates_SME_1[#Headers],0))),
IF($G179="Residential",
INDEX(OP_TotalRates_RES_2[#Data],MATCH($C179,OP_TotalRates_RES_2[Rate name],0),MATCH(I$162,OP_TotalRates_RES_2[#Headers],0)),
INDEX(OP_TotalRates_SME_2[#Data],MATCH($C179,OP_TotalRates_SME_2[Rate name],0),MATCH(I$162,OP_TotalRates_SME_2[#Headers]))))</f>
        <v>0.26490000000000002</v>
      </c>
      <c r="J179" s="209">
        <f>IF($E179="VDO 2021 - Variation Final",
IF($G179="Residential",
INDEX(OP_TotalRates_RES_1[#Data],MATCH($C179,OP_TotalRates_RES_1[Rate name],0),MATCH(J$162,OP_TotalRates_RES_1[#Headers],0)),
INDEX(OP_TotalRates_SME_1[#Data],MATCH($C179,OP_TotalRates_SME_1[Rate name],0),MATCH(J$162,OP_TotalRates_SME_1[#Headers],0))),
IF($G179="Residential",
INDEX(OP_TotalRates_RES_2[#Data],MATCH($C179,OP_TotalRates_RES_2[Rate name],0),MATCH(J$162,OP_TotalRates_RES_2[#Headers],0)),
INDEX(OP_TotalRates_SME_2[#Data],MATCH($C179,OP_TotalRates_SME_2[Rate name],0),MATCH(J$162,OP_TotalRates_SME_2[#Headers]))))</f>
        <v>0</v>
      </c>
      <c r="K179" s="209">
        <f>IF($E179="VDO 2021 - Variation Final",
IF($G179="Residential",
INDEX(OP_TotalRates_RES_1[#Data],MATCH($C179,OP_TotalRates_RES_1[Rate name],0),MATCH(K$162,OP_TotalRates_RES_1[#Headers],0)),
INDEX(OP_TotalRates_SME_1[#Data],MATCH($C179,OP_TotalRates_SME_1[Rate name],0),MATCH(K$162,OP_TotalRates_SME_1[#Headers],0))),
IF($G179="Residential",
INDEX(OP_TotalRates_RES_2[#Data],MATCH($C179,OP_TotalRates_RES_2[Rate name],0),MATCH(K$162,OP_TotalRates_RES_2[#Headers],0)),
INDEX(OP_TotalRates_SME_2[#Data],MATCH($C179,OP_TotalRates_SME_2[Rate name],0),MATCH(K$162,OP_TotalRates_SME_2[#Headers]))))</f>
        <v>0</v>
      </c>
      <c r="L179" s="209">
        <f>IF($E179="VDO 2021 - Variation Final",
IF($G179="Residential",
INDEX(OP_TotalRates_RES_1[#Data],MATCH($C179,OP_TotalRates_RES_1[Rate name],0),MATCH(L$162,OP_TotalRates_RES_1[#Headers],0)),
INDEX(OP_TotalRates_SME_1[#Data],MATCH($C179,OP_TotalRates_SME_1[Rate name],0),MATCH(L$162,OP_TotalRates_SME_1[#Headers],0))),
IF($G179="Residential",
INDEX(OP_TotalRates_RES_2[#Data],MATCH($C179,OP_TotalRates_RES_2[Rate name],0),MATCH(L$162,OP_TotalRates_RES_2[#Headers],0)),
INDEX(OP_TotalRates_SME_2[#Data],MATCH($C179,OP_TotalRates_SME_2[Rate name],0),MATCH(L$162,OP_TotalRates_SME_2[#Headers]))))</f>
        <v>0</v>
      </c>
      <c r="M179" s="209">
        <f>IF($E179="VDO 2021 - Variation Final",
IF($G179="Residential",
INDEX(OP_TotalRates_RES_1[#Data],MATCH($C179,OP_TotalRates_RES_1[Rate name],0),MATCH(M$162,OP_TotalRates_RES_1[#Headers],0)),
INDEX(OP_TotalRates_SME_1[#Data],MATCH($C179,OP_TotalRates_SME_1[Rate name],0),MATCH(M$162,OP_TotalRates_SME_1[#Headers],0))),
IF($G179="Residential",
INDEX(OP_TotalRates_RES_2[#Data],MATCH($C179,OP_TotalRates_RES_2[Rate name],0),MATCH(M$162,OP_TotalRates_RES_2[#Headers],0)),
INDEX(OP_TotalRates_SME_2[#Data],MATCH($C179,OP_TotalRates_SME_2[Rate name],0),MATCH(M$162,OP_TotalRates_SME_2[#Headers]))))</f>
        <v>0</v>
      </c>
      <c r="N179" s="180"/>
      <c r="O179" s="23" t="s">
        <v>691</v>
      </c>
      <c r="P179"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4000</v>
      </c>
      <c r="Q179" s="78">
        <f>CH_BITariff4232[[#This Row],[Ausnet]]*CH_BITariff4232[[#This Row],[Usage value]]</f>
        <v>1059.6000000000001</v>
      </c>
    </row>
    <row r="180" spans="3:17" x14ac:dyDescent="0.25">
      <c r="C180" s="23" t="s">
        <v>228</v>
      </c>
      <c r="D180" s="23" t="s">
        <v>282</v>
      </c>
      <c r="E180" s="23" t="s">
        <v>822</v>
      </c>
      <c r="F180" s="23" t="s">
        <v>750</v>
      </c>
      <c r="G180" s="23" t="s">
        <v>92</v>
      </c>
      <c r="H180" s="23" t="s">
        <v>556</v>
      </c>
      <c r="I180" s="209">
        <f>IF($E180="VDO 2021 - Variation Final",
IF($G180="Residential",
INDEX(OP_TotalRates_RES_1[#Data],MATCH($C180,OP_TotalRates_RES_1[Rate name],0),MATCH(I$162,OP_TotalRates_RES_1[#Headers],0)),
INDEX(OP_TotalRates_SME_1[#Data],MATCH($C180,OP_TotalRates_SME_1[Rate name],0),MATCH(I$162,OP_TotalRates_SME_1[#Headers],0))),
IF($G180="Residential",
INDEX(OP_TotalRates_RES_2[#Data],MATCH($C180,OP_TotalRates_RES_2[Rate name],0),MATCH(I$162,OP_TotalRates_RES_2[#Headers],0)),
INDEX(OP_TotalRates_SME_2[#Data],MATCH($C180,OP_TotalRates_SME_2[Rate name],0),MATCH(I$162,OP_TotalRates_SME_2[#Headers]))))</f>
        <v>0.28110000000000002</v>
      </c>
      <c r="J180" s="209">
        <f>IF($E180="VDO 2021 - Variation Final",
IF($G180="Residential",
INDEX(OP_TotalRates_RES_1[#Data],MATCH($C180,OP_TotalRates_RES_1[Rate name],0),MATCH(J$162,OP_TotalRates_RES_1[#Headers],0)),
INDEX(OP_TotalRates_SME_1[#Data],MATCH($C180,OP_TotalRates_SME_1[Rate name],0),MATCH(J$162,OP_TotalRates_SME_1[#Headers],0))),
IF($G180="Residential",
INDEX(OP_TotalRates_RES_2[#Data],MATCH($C180,OP_TotalRates_RES_2[Rate name],0),MATCH(J$162,OP_TotalRates_RES_2[#Headers],0)),
INDEX(OP_TotalRates_SME_2[#Data],MATCH($C180,OP_TotalRates_SME_2[Rate name],0),MATCH(J$162,OP_TotalRates_SME_2[#Headers]))))</f>
        <v>0</v>
      </c>
      <c r="K180" s="209">
        <f>IF($E180="VDO 2021 - Variation Final",
IF($G180="Residential",
INDEX(OP_TotalRates_RES_1[#Data],MATCH($C180,OP_TotalRates_RES_1[Rate name],0),MATCH(K$162,OP_TotalRates_RES_1[#Headers],0)),
INDEX(OP_TotalRates_SME_1[#Data],MATCH($C180,OP_TotalRates_SME_1[Rate name],0),MATCH(K$162,OP_TotalRates_SME_1[#Headers],0))),
IF($G180="Residential",
INDEX(OP_TotalRates_RES_2[#Data],MATCH($C180,OP_TotalRates_RES_2[Rate name],0),MATCH(K$162,OP_TotalRates_RES_2[#Headers],0)),
INDEX(OP_TotalRates_SME_2[#Data],MATCH($C180,OP_TotalRates_SME_2[Rate name],0),MATCH(K$162,OP_TotalRates_SME_2[#Headers]))))</f>
        <v>0</v>
      </c>
      <c r="L180" s="209">
        <f>IF($E180="VDO 2021 - Variation Final",
IF($G180="Residential",
INDEX(OP_TotalRates_RES_1[#Data],MATCH($C180,OP_TotalRates_RES_1[Rate name],0),MATCH(L$162,OP_TotalRates_RES_1[#Headers],0)),
INDEX(OP_TotalRates_SME_1[#Data],MATCH($C180,OP_TotalRates_SME_1[Rate name],0),MATCH(L$162,OP_TotalRates_SME_1[#Headers],0))),
IF($G180="Residential",
INDEX(OP_TotalRates_RES_2[#Data],MATCH($C180,OP_TotalRates_RES_2[Rate name],0),MATCH(L$162,OP_TotalRates_RES_2[#Headers],0)),
INDEX(OP_TotalRates_SME_2[#Data],MATCH($C180,OP_TotalRates_SME_2[Rate name],0),MATCH(L$162,OP_TotalRates_SME_2[#Headers]))))</f>
        <v>0</v>
      </c>
      <c r="M180" s="209">
        <f>IF($E180="VDO 2021 - Variation Final",
IF($G180="Residential",
INDEX(OP_TotalRates_RES_1[#Data],MATCH($C180,OP_TotalRates_RES_1[Rate name],0),MATCH(M$162,OP_TotalRates_RES_1[#Headers],0)),
INDEX(OP_TotalRates_SME_1[#Data],MATCH($C180,OP_TotalRates_SME_1[Rate name],0),MATCH(M$162,OP_TotalRates_SME_1[#Headers],0))),
IF($G180="Residential",
INDEX(OP_TotalRates_RES_2[#Data],MATCH($C180,OP_TotalRates_RES_2[Rate name],0),MATCH(M$162,OP_TotalRates_RES_2[#Headers],0)),
INDEX(OP_TotalRates_SME_2[#Data],MATCH($C180,OP_TotalRates_SME_2[Rate name],0),MATCH(M$162,OP_TotalRates_SME_2[#Headers]))))</f>
        <v>0</v>
      </c>
      <c r="N180" s="180"/>
      <c r="O180" s="23" t="s">
        <v>691</v>
      </c>
      <c r="P180"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0</v>
      </c>
      <c r="Q180" s="78">
        <f>CH_BITariff4232[[#This Row],[Ausnet]]*CH_BITariff4232[[#This Row],[Usage value]]</f>
        <v>0</v>
      </c>
    </row>
    <row r="181" spans="3:17" x14ac:dyDescent="0.25">
      <c r="C181" s="23" t="s">
        <v>549</v>
      </c>
      <c r="D181" s="23" t="s">
        <v>282</v>
      </c>
      <c r="E181" s="23" t="s">
        <v>822</v>
      </c>
      <c r="F181" s="23" t="s">
        <v>750</v>
      </c>
      <c r="G181" s="23" t="s">
        <v>92</v>
      </c>
      <c r="H181" s="23" t="s">
        <v>556</v>
      </c>
      <c r="I181" s="209">
        <f>IF($E181="VDO 2021 - Variation Final",
IF($G181="Residential",
INDEX(OP_TotalRates_RES_1[#Data],MATCH($C181,OP_TotalRates_RES_1[Rate name],0),MATCH(I$162,OP_TotalRates_RES_1[#Headers],0)),
INDEX(OP_TotalRates_SME_1[#Data],MATCH($C181,OP_TotalRates_SME_1[Rate name],0),MATCH(I$162,OP_TotalRates_SME_1[#Headers],0))),
IF($G181="Residential",
INDEX(OP_TotalRates_RES_2[#Data],MATCH($C181,OP_TotalRates_RES_2[Rate name],0),MATCH(I$162,OP_TotalRates_RES_2[#Headers],0)),
INDEX(OP_TotalRates_SME_2[#Data],MATCH($C181,OP_TotalRates_SME_2[Rate name],0),MATCH(I$162,OP_TotalRates_SME_2[#Headers]))))</f>
        <v>0</v>
      </c>
      <c r="J181" s="209">
        <f>IF($E181="VDO 2021 - Variation Final",
IF($G181="Residential",
INDEX(OP_TotalRates_RES_1[#Data],MATCH($C181,OP_TotalRates_RES_1[Rate name],0),MATCH(J$162,OP_TotalRates_RES_1[#Headers],0)),
INDEX(OP_TotalRates_SME_1[#Data],MATCH($C181,OP_TotalRates_SME_1[Rate name],0),MATCH(J$162,OP_TotalRates_SME_1[#Headers],0))),
IF($G181="Residential",
INDEX(OP_TotalRates_RES_2[#Data],MATCH($C181,OP_TotalRates_RES_2[Rate name],0),MATCH(J$162,OP_TotalRates_RES_2[#Headers],0)),
INDEX(OP_TotalRates_SME_2[#Data],MATCH($C181,OP_TotalRates_SME_2[Rate name],0),MATCH(J$162,OP_TotalRates_SME_2[#Headers]))))</f>
        <v>0.21709999999999999</v>
      </c>
      <c r="K181" s="209">
        <f>IF($E181="VDO 2021 - Variation Final",
IF($G181="Residential",
INDEX(OP_TotalRates_RES_1[#Data],MATCH($C181,OP_TotalRates_RES_1[Rate name],0),MATCH(K$162,OP_TotalRates_RES_1[#Headers],0)),
INDEX(OP_TotalRates_SME_1[#Data],MATCH($C181,OP_TotalRates_SME_1[Rate name],0),MATCH(K$162,OP_TotalRates_SME_1[#Headers],0))),
IF($G181="Residential",
INDEX(OP_TotalRates_RES_2[#Data],MATCH($C181,OP_TotalRates_RES_2[Rate name],0),MATCH(K$162,OP_TotalRates_RES_2[#Headers],0)),
INDEX(OP_TotalRates_SME_2[#Data],MATCH($C181,OP_TotalRates_SME_2[Rate name],0),MATCH(K$162,OP_TotalRates_SME_2[#Headers]))))</f>
        <v>0.23069999999999999</v>
      </c>
      <c r="L181" s="209">
        <f>IF($E181="VDO 2021 - Variation Final",
IF($G181="Residential",
INDEX(OP_TotalRates_RES_1[#Data],MATCH($C181,OP_TotalRates_RES_1[Rate name],0),MATCH(L$162,OP_TotalRates_RES_1[#Headers],0)),
INDEX(OP_TotalRates_SME_1[#Data],MATCH($C181,OP_TotalRates_SME_1[Rate name],0),MATCH(L$162,OP_TotalRates_SME_1[#Headers],0))),
IF($G181="Residential",
INDEX(OP_TotalRates_RES_2[#Data],MATCH($C181,OP_TotalRates_RES_2[Rate name],0),MATCH(L$162,OP_TotalRates_RES_2[#Headers],0)),
INDEX(OP_TotalRates_SME_2[#Data],MATCH($C181,OP_TotalRates_SME_2[Rate name],0),MATCH(L$162,OP_TotalRates_SME_2[#Headers]))))</f>
        <v>0.2235</v>
      </c>
      <c r="M181" s="209">
        <f>IF($E181="VDO 2021 - Variation Final",
IF($G181="Residential",
INDEX(OP_TotalRates_RES_1[#Data],MATCH($C181,OP_TotalRates_RES_1[Rate name],0),MATCH(M$162,OP_TotalRates_RES_1[#Headers],0)),
INDEX(OP_TotalRates_SME_1[#Data],MATCH($C181,OP_TotalRates_SME_1[Rate name],0),MATCH(M$162,OP_TotalRates_SME_1[#Headers],0))),
IF($G181="Residential",
INDEX(OP_TotalRates_RES_2[#Data],MATCH($C181,OP_TotalRates_RES_2[Rate name],0),MATCH(M$162,OP_TotalRates_RES_2[#Headers],0)),
INDEX(OP_TotalRates_SME_2[#Data],MATCH($C181,OP_TotalRates_SME_2[Rate name],0),MATCH(M$162,OP_TotalRates_SME_2[#Headers]))))</f>
        <v>0.22420000000000001</v>
      </c>
      <c r="N181" s="180"/>
      <c r="O181" s="23" t="s">
        <v>691</v>
      </c>
      <c r="P181"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4000</v>
      </c>
      <c r="Q181" s="78">
        <f>CH_BITariff4232[[#This Row],[Ausnet]]*CH_BITariff4232[[#This Row],[Usage value]]</f>
        <v>0</v>
      </c>
    </row>
    <row r="182" spans="3:17" x14ac:dyDescent="0.25">
      <c r="C182" s="23" t="s">
        <v>551</v>
      </c>
      <c r="D182" s="23" t="s">
        <v>109</v>
      </c>
      <c r="E182" s="23" t="s">
        <v>822</v>
      </c>
      <c r="F182" s="23" t="s">
        <v>750</v>
      </c>
      <c r="G182" s="23" t="s">
        <v>92</v>
      </c>
      <c r="H182" s="23" t="s">
        <v>557</v>
      </c>
      <c r="I182" s="209">
        <f>IF($E182="VDO 2021 - Variation Final",
IF($G182="Residential",
INDEX(OP_TotalRates_RES_1[#Data],MATCH($C182,OP_TotalRates_RES_1[Rate name],0),MATCH(I$162,OP_TotalRates_RES_1[#Headers],0)),
INDEX(OP_TotalRates_SME_1[#Data],MATCH($C182,OP_TotalRates_SME_1[Rate name],0),MATCH(I$162,OP_TotalRates_SME_1[#Headers],0))),
IF($G182="Residential",
INDEX(OP_TotalRates_RES_2[#Data],MATCH($C182,OP_TotalRates_RES_2[Rate name],0),MATCH(I$162,OP_TotalRates_RES_2[#Headers],0)),
INDEX(OP_TotalRates_SME_2[#Data],MATCH($C182,OP_TotalRates_SME_2[Rate name],0),MATCH(I$162,OP_TotalRates_SME_2[#Headers]))))</f>
        <v>1.1587000000000001</v>
      </c>
      <c r="J182" s="209">
        <f>IF($E182="VDO 2021 - Variation Final",
IF($G182="Residential",
INDEX(OP_TotalRates_RES_1[#Data],MATCH($C182,OP_TotalRates_RES_1[Rate name],0),MATCH(J$162,OP_TotalRates_RES_1[#Headers],0)),
INDEX(OP_TotalRates_SME_1[#Data],MATCH($C182,OP_TotalRates_SME_1[Rate name],0),MATCH(J$162,OP_TotalRates_SME_1[#Headers],0))),
IF($G182="Residential",
INDEX(OP_TotalRates_RES_2[#Data],MATCH($C182,OP_TotalRates_RES_2[Rate name],0),MATCH(J$162,OP_TotalRates_RES_2[#Headers],0)),
INDEX(OP_TotalRates_SME_2[#Data],MATCH($C182,OP_TotalRates_SME_2[Rate name],0),MATCH(J$162,OP_TotalRates_SME_2[#Headers]))))</f>
        <v>1.1948000000000001</v>
      </c>
      <c r="K182" s="209">
        <f>IF($E182="VDO 2021 - Variation Final",
IF($G182="Residential",
INDEX(OP_TotalRates_RES_1[#Data],MATCH($C182,OP_TotalRates_RES_1[Rate name],0),MATCH(K$162,OP_TotalRates_RES_1[#Headers],0)),
INDEX(OP_TotalRates_SME_1[#Data],MATCH($C182,OP_TotalRates_SME_1[Rate name],0),MATCH(K$162,OP_TotalRates_SME_1[#Headers],0))),
IF($G182="Residential",
INDEX(OP_TotalRates_RES_2[#Data],MATCH($C182,OP_TotalRates_RES_2[Rate name],0),MATCH(K$162,OP_TotalRates_RES_2[#Headers],0)),
INDEX(OP_TotalRates_SME_2[#Data],MATCH($C182,OP_TotalRates_SME_2[Rate name],0),MATCH(K$162,OP_TotalRates_SME_2[#Headers]))))</f>
        <v>1.0508</v>
      </c>
      <c r="L182" s="209">
        <f>IF($E182="VDO 2021 - Variation Final",
IF($G182="Residential",
INDEX(OP_TotalRates_RES_1[#Data],MATCH($C182,OP_TotalRates_RES_1[Rate name],0),MATCH(L$162,OP_TotalRates_RES_1[#Headers],0)),
INDEX(OP_TotalRates_SME_1[#Data],MATCH($C182,OP_TotalRates_SME_1[Rate name],0),MATCH(L$162,OP_TotalRates_SME_1[#Headers],0))),
IF($G182="Residential",
INDEX(OP_TotalRates_RES_2[#Data],MATCH($C182,OP_TotalRates_RES_2[Rate name],0),MATCH(L$162,OP_TotalRates_RES_2[#Headers],0)),
INDEX(OP_TotalRates_SME_2[#Data],MATCH($C182,OP_TotalRates_SME_2[Rate name],0),MATCH(L$162,OP_TotalRates_SME_2[#Headers]))))</f>
        <v>1.3301000000000001</v>
      </c>
      <c r="M182" s="209">
        <f>IF($E182="VDO 2021 - Variation Final",
IF($G182="Residential",
INDEX(OP_TotalRates_RES_1[#Data],MATCH($C182,OP_TotalRates_RES_1[Rate name],0),MATCH(M$162,OP_TotalRates_RES_1[#Headers],0)),
INDEX(OP_TotalRates_SME_1[#Data],MATCH($C182,OP_TotalRates_SME_1[Rate name],0),MATCH(M$162,OP_TotalRates_SME_1[#Headers],0))),
IF($G182="Residential",
INDEX(OP_TotalRates_RES_2[#Data],MATCH($C182,OP_TotalRates_RES_2[Rate name],0),MATCH(M$162,OP_TotalRates_RES_2[#Headers],0)),
INDEX(OP_TotalRates_SME_2[#Data],MATCH($C182,OP_TotalRates_SME_2[Rate name],0),MATCH(M$162,OP_TotalRates_SME_2[#Headers]))))</f>
        <v>1.0552999999999999</v>
      </c>
      <c r="N182" s="180"/>
      <c r="O182" s="23" t="s">
        <v>427</v>
      </c>
      <c r="P182"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c r="Q182" s="78">
        <f>CH_BITariff4232[[#This Row],[Ausnet]]*CH_BITariff4232[[#This Row],[Usage value]]</f>
        <v>209.72470000000001</v>
      </c>
    </row>
    <row r="183" spans="3:17" x14ac:dyDescent="0.25">
      <c r="C183" s="23" t="s">
        <v>230</v>
      </c>
      <c r="D183" s="23" t="s">
        <v>282</v>
      </c>
      <c r="E183" s="23" t="s">
        <v>822</v>
      </c>
      <c r="F183" s="23" t="s">
        <v>750</v>
      </c>
      <c r="G183" s="23" t="s">
        <v>92</v>
      </c>
      <c r="H183" s="23" t="s">
        <v>557</v>
      </c>
      <c r="I183" s="209">
        <f>IF($E183="VDO 2021 - Variation Final",
IF($G183="Residential",
INDEX(OP_TotalRates_RES_1[#Data],MATCH($C183,OP_TotalRates_RES_1[Rate name],0),MATCH(I$162,OP_TotalRates_RES_1[#Headers],0)),
INDEX(OP_TotalRates_SME_1[#Data],MATCH($C183,OP_TotalRates_SME_1[Rate name],0),MATCH(I$162,OP_TotalRates_SME_1[#Headers],0))),
IF($G183="Residential",
INDEX(OP_TotalRates_RES_2[#Data],MATCH($C183,OP_TotalRates_RES_2[Rate name],0),MATCH(I$162,OP_TotalRates_RES_2[#Headers],0)),
INDEX(OP_TotalRates_SME_2[#Data],MATCH($C183,OP_TotalRates_SME_2[Rate name],0),MATCH(I$162,OP_TotalRates_SME_2[#Headers]))))</f>
        <v>0.37459999999999999</v>
      </c>
      <c r="J183" s="209">
        <f>IF($E183="VDO 2021 - Variation Final",
IF($G183="Residential",
INDEX(OP_TotalRates_RES_1[#Data],MATCH($C183,OP_TotalRates_RES_1[Rate name],0),MATCH(J$162,OP_TotalRates_RES_1[#Headers],0)),
INDEX(OP_TotalRates_SME_1[#Data],MATCH($C183,OP_TotalRates_SME_1[Rate name],0),MATCH(J$162,OP_TotalRates_SME_1[#Headers],0))),
IF($G183="Residential",
INDEX(OP_TotalRates_RES_2[#Data],MATCH($C183,OP_TotalRates_RES_2[Rate name],0),MATCH(J$162,OP_TotalRates_RES_2[#Headers],0)),
INDEX(OP_TotalRates_SME_2[#Data],MATCH($C183,OP_TotalRates_SME_2[Rate name],0),MATCH(J$162,OP_TotalRates_SME_2[#Headers]))))</f>
        <v>0.30909999999999999</v>
      </c>
      <c r="K183" s="209">
        <f>IF($E183="VDO 2021 - Variation Final",
IF($G183="Residential",
INDEX(OP_TotalRates_RES_1[#Data],MATCH($C183,OP_TotalRates_RES_1[Rate name],0),MATCH(K$162,OP_TotalRates_RES_1[#Headers],0)),
INDEX(OP_TotalRates_SME_1[#Data],MATCH($C183,OP_TotalRates_SME_1[Rate name],0),MATCH(K$162,OP_TotalRates_SME_1[#Headers],0))),
IF($G183="Residential",
INDEX(OP_TotalRates_RES_2[#Data],MATCH($C183,OP_TotalRates_RES_2[Rate name],0),MATCH(K$162,OP_TotalRates_RES_2[#Headers],0)),
INDEX(OP_TotalRates_SME_2[#Data],MATCH($C183,OP_TotalRates_SME_2[Rate name],0),MATCH(K$162,OP_TotalRates_SME_2[#Headers]))))</f>
        <v>0.28699999999999998</v>
      </c>
      <c r="L183" s="209">
        <f>IF($E183="VDO 2021 - Variation Final",
IF($G183="Residential",
INDEX(OP_TotalRates_RES_1[#Data],MATCH($C183,OP_TotalRates_RES_1[Rate name],0),MATCH(L$162,OP_TotalRates_RES_1[#Headers],0)),
INDEX(OP_TotalRates_SME_1[#Data],MATCH($C183,OP_TotalRates_SME_1[Rate name],0),MATCH(L$162,OP_TotalRates_SME_1[#Headers],0))),
IF($G183="Residential",
INDEX(OP_TotalRates_RES_2[#Data],MATCH($C183,OP_TotalRates_RES_2[Rate name],0),MATCH(L$162,OP_TotalRates_RES_2[#Headers],0)),
INDEX(OP_TotalRates_SME_2[#Data],MATCH($C183,OP_TotalRates_SME_2[Rate name],0),MATCH(L$162,OP_TotalRates_SME_2[#Headers]))))</f>
        <v>0.3135</v>
      </c>
      <c r="M183" s="209">
        <f>IF($E183="VDO 2021 - Variation Final",
IF($G183="Residential",
INDEX(OP_TotalRates_RES_1[#Data],MATCH($C183,OP_TotalRates_RES_1[Rate name],0),MATCH(M$162,OP_TotalRates_RES_1[#Headers],0)),
INDEX(OP_TotalRates_SME_1[#Data],MATCH($C183,OP_TotalRates_SME_1[Rate name],0),MATCH(M$162,OP_TotalRates_SME_1[#Headers],0))),
IF($G183="Residential",
INDEX(OP_TotalRates_RES_2[#Data],MATCH($C183,OP_TotalRates_RES_2[Rate name],0),MATCH(M$162,OP_TotalRates_RES_2[#Headers],0)),
INDEX(OP_TotalRates_SME_2[#Data],MATCH($C183,OP_TotalRates_SME_2[Rate name],0),MATCH(M$162,OP_TotalRates_SME_2[#Headers]))))</f>
        <v>0.31519999999999998</v>
      </c>
      <c r="N183" s="180"/>
      <c r="O183" s="23" t="s">
        <v>691</v>
      </c>
      <c r="P183"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1320</v>
      </c>
      <c r="Q183" s="78">
        <f>CH_BITariff4232[[#This Row],[Ausnet]]*CH_BITariff4232[[#This Row],[Usage value]]</f>
        <v>494.47199999999998</v>
      </c>
    </row>
    <row r="184" spans="3:17" x14ac:dyDescent="0.25">
      <c r="C184" s="23" t="s">
        <v>609</v>
      </c>
      <c r="D184" s="23" t="s">
        <v>282</v>
      </c>
      <c r="E184" s="23" t="s">
        <v>822</v>
      </c>
      <c r="F184" s="23" t="s">
        <v>750</v>
      </c>
      <c r="G184" s="23" t="s">
        <v>92</v>
      </c>
      <c r="H184" s="23" t="s">
        <v>557</v>
      </c>
      <c r="I184" s="209">
        <f>IF($E184="VDO 2021 - Variation Final",
IF($G184="Residential",
INDEX(OP_TotalRates_RES_1[#Data],MATCH($C184,OP_TotalRates_RES_1[Rate name],0),MATCH(I$162,OP_TotalRates_RES_1[#Headers],0)),
INDEX(OP_TotalRates_SME_1[#Data],MATCH($C184,OP_TotalRates_SME_1[Rate name],0),MATCH(I$162,OP_TotalRates_SME_1[#Headers],0))),
IF($G184="Residential",
INDEX(OP_TotalRates_RES_2[#Data],MATCH($C184,OP_TotalRates_RES_2[Rate name],0),MATCH(I$162,OP_TotalRates_RES_2[#Headers],0)),
INDEX(OP_TotalRates_SME_2[#Data],MATCH($C184,OP_TotalRates_SME_2[Rate name],0),MATCH(I$162,OP_TotalRates_SME_2[#Headers]))))</f>
        <v>0.182</v>
      </c>
      <c r="J184" s="209">
        <f>IF($E184="VDO 2021 - Variation Final",
IF($G184="Residential",
INDEX(OP_TotalRates_RES_1[#Data],MATCH($C184,OP_TotalRates_RES_1[Rate name],0),MATCH(J$162,OP_TotalRates_RES_1[#Headers],0)),
INDEX(OP_TotalRates_SME_1[#Data],MATCH($C184,OP_TotalRates_SME_1[Rate name],0),MATCH(J$162,OP_TotalRates_SME_1[#Headers],0))),
IF($G184="Residential",
INDEX(OP_TotalRates_RES_2[#Data],MATCH($C184,OP_TotalRates_RES_2[Rate name],0),MATCH(J$162,OP_TotalRates_RES_2[#Headers],0)),
INDEX(OP_TotalRates_SME_2[#Data],MATCH($C184,OP_TotalRates_SME_2[Rate name],0),MATCH(J$162,OP_TotalRates_SME_2[#Headers]))))</f>
        <v>0.1696</v>
      </c>
      <c r="K184" s="209">
        <f>IF($E184="VDO 2021 - Variation Final",
IF($G184="Residential",
INDEX(OP_TotalRates_RES_1[#Data],MATCH($C184,OP_TotalRates_RES_1[Rate name],0),MATCH(K$162,OP_TotalRates_RES_1[#Headers],0)),
INDEX(OP_TotalRates_SME_1[#Data],MATCH($C184,OP_TotalRates_SME_1[Rate name],0),MATCH(K$162,OP_TotalRates_SME_1[#Headers],0))),
IF($G184="Residential",
INDEX(OP_TotalRates_RES_2[#Data],MATCH($C184,OP_TotalRates_RES_2[Rate name],0),MATCH(K$162,OP_TotalRates_RES_2[#Headers],0)),
INDEX(OP_TotalRates_SME_2[#Data],MATCH($C184,OP_TotalRates_SME_2[Rate name],0),MATCH(K$162,OP_TotalRates_SME_2[#Headers]))))</f>
        <v>0.17499999999999999</v>
      </c>
      <c r="L184" s="209">
        <f>IF($E184="VDO 2021 - Variation Final",
IF($G184="Residential",
INDEX(OP_TotalRates_RES_1[#Data],MATCH($C184,OP_TotalRates_RES_1[Rate name],0),MATCH(L$162,OP_TotalRates_RES_1[#Headers],0)),
INDEX(OP_TotalRates_SME_1[#Data],MATCH($C184,OP_TotalRates_SME_1[Rate name],0),MATCH(L$162,OP_TotalRates_SME_1[#Headers],0))),
IF($G184="Residential",
INDEX(OP_TotalRates_RES_2[#Data],MATCH($C184,OP_TotalRates_RES_2[Rate name],0),MATCH(L$162,OP_TotalRates_RES_2[#Headers],0)),
INDEX(OP_TotalRates_SME_2[#Data],MATCH($C184,OP_TotalRates_SME_2[Rate name],0),MATCH(L$162,OP_TotalRates_SME_2[#Headers]))))</f>
        <v>0.17460000000000001</v>
      </c>
      <c r="M184" s="209">
        <f>IF($E184="VDO 2021 - Variation Final",
IF($G184="Residential",
INDEX(OP_TotalRates_RES_1[#Data],MATCH($C184,OP_TotalRates_RES_1[Rate name],0),MATCH(M$162,OP_TotalRates_RES_1[#Headers],0)),
INDEX(OP_TotalRates_SME_1[#Data],MATCH($C184,OP_TotalRates_SME_1[Rate name],0),MATCH(M$162,OP_TotalRates_SME_1[#Headers],0))),
IF($G184="Residential",
INDEX(OP_TotalRates_RES_2[#Data],MATCH($C184,OP_TotalRates_RES_2[Rate name],0),MATCH(M$162,OP_TotalRates_RES_2[#Headers],0)),
INDEX(OP_TotalRates_SME_2[#Data],MATCH($C184,OP_TotalRates_SME_2[Rate name],0),MATCH(M$162,OP_TotalRates_SME_2[#Headers]))))</f>
        <v>0.17710000000000001</v>
      </c>
      <c r="N184" s="180"/>
      <c r="O184" s="23" t="s">
        <v>691</v>
      </c>
      <c r="P184"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2680</v>
      </c>
      <c r="Q184" s="78">
        <f>CH_BITariff4232[[#This Row],[Ausnet]]*CH_BITariff4232[[#This Row],[Usage value]]</f>
        <v>487.76</v>
      </c>
    </row>
    <row r="185" spans="3:17" x14ac:dyDescent="0.25">
      <c r="C185" s="23" t="s">
        <v>287</v>
      </c>
      <c r="D185" s="23" t="s">
        <v>282</v>
      </c>
      <c r="E185" s="23" t="s">
        <v>822</v>
      </c>
      <c r="F185" s="23" t="s">
        <v>750</v>
      </c>
      <c r="G185" s="23" t="s">
        <v>92</v>
      </c>
      <c r="H185" s="23" t="s">
        <v>697</v>
      </c>
      <c r="I185" s="209">
        <f>IF($E185="VDO 2021 - Variation Final",
IF($G185="Residential",
INDEX(OP_TotalRates_RES_1[#Data],MATCH($C185,OP_TotalRates_RES_1[Rate name],0),MATCH(I$162,OP_TotalRates_RES_1[#Headers],0)),
INDEX(OP_TotalRates_SME_1[#Data],MATCH($C185,OP_TotalRates_SME_1[Rate name],0),MATCH(I$162,OP_TotalRates_SME_1[#Headers],0))),
IF($G185="Residential",
INDEX(OP_TotalRates_RES_2[#Data],MATCH($C185,OP_TotalRates_RES_2[Rate name],0),MATCH(I$162,OP_TotalRates_RES_2[#Headers],0)),
INDEX(OP_TotalRates_SME_2[#Data],MATCH($C185,OP_TotalRates_SME_2[Rate name],0),MATCH(I$162,OP_TotalRates_SME_2[#Headers]))))</f>
        <v>0.18340000000000001</v>
      </c>
      <c r="J185" s="209">
        <f>IF($E185="VDO 2021 - Variation Final",
IF($G185="Residential",
INDEX(OP_TotalRates_RES_1[#Data],MATCH($C185,OP_TotalRates_RES_1[Rate name],0),MATCH(J$162,OP_TotalRates_RES_1[#Headers],0)),
INDEX(OP_TotalRates_SME_1[#Data],MATCH($C185,OP_TotalRates_SME_1[Rate name],0),MATCH(J$162,OP_TotalRates_SME_1[#Headers],0))),
IF($G185="Residential",
INDEX(OP_TotalRates_RES_2[#Data],MATCH($C185,OP_TotalRates_RES_2[Rate name],0),MATCH(J$162,OP_TotalRates_RES_2[#Headers],0)),
INDEX(OP_TotalRates_SME_2[#Data],MATCH($C185,OP_TotalRates_SME_2[Rate name],0),MATCH(J$162,OP_TotalRates_SME_2[#Headers]))))</f>
        <v>0.1542</v>
      </c>
      <c r="K185" s="209">
        <f>IF($E185="VDO 2021 - Variation Final",
IF($G185="Residential",
INDEX(OP_TotalRates_RES_1[#Data],MATCH($C185,OP_TotalRates_RES_1[Rate name],0),MATCH(K$162,OP_TotalRates_RES_1[#Headers],0)),
INDEX(OP_TotalRates_SME_1[#Data],MATCH($C185,OP_TotalRates_SME_1[Rate name],0),MATCH(K$162,OP_TotalRates_SME_1[#Headers],0))),
IF($G185="Residential",
INDEX(OP_TotalRates_RES_2[#Data],MATCH($C185,OP_TotalRates_RES_2[Rate name],0),MATCH(K$162,OP_TotalRates_RES_2[#Headers],0)),
INDEX(OP_TotalRates_SME_2[#Data],MATCH($C185,OP_TotalRates_SME_2[Rate name],0),MATCH(K$162,OP_TotalRates_SME_2[#Headers]))))</f>
        <v>0.17560000000000001</v>
      </c>
      <c r="L185" s="209">
        <f>IF($E185="VDO 2021 - Variation Final",
IF($G185="Residential",
INDEX(OP_TotalRates_RES_1[#Data],MATCH($C185,OP_TotalRates_RES_1[Rate name],0),MATCH(L$162,OP_TotalRates_RES_1[#Headers],0)),
INDEX(OP_TotalRates_SME_1[#Data],MATCH($C185,OP_TotalRates_SME_1[Rate name],0),MATCH(L$162,OP_TotalRates_SME_1[#Headers],0))),
IF($G185="Residential",
INDEX(OP_TotalRates_RES_2[#Data],MATCH($C185,OP_TotalRates_RES_2[Rate name],0),MATCH(L$162,OP_TotalRates_RES_2[#Headers],0)),
INDEX(OP_TotalRates_SME_2[#Data],MATCH($C185,OP_TotalRates_SME_2[Rate name],0),MATCH(L$162,OP_TotalRates_SME_2[#Headers]))))</f>
        <v>0.1578</v>
      </c>
      <c r="M185" s="209">
        <f>IF($E185="VDO 2021 - Variation Final",
IF($G185="Residential",
INDEX(OP_TotalRates_RES_1[#Data],MATCH($C185,OP_TotalRates_RES_1[Rate name],0),MATCH(M$162,OP_TotalRates_RES_1[#Headers],0)),
INDEX(OP_TotalRates_SME_1[#Data],MATCH($C185,OP_TotalRates_SME_1[Rate name],0),MATCH(M$162,OP_TotalRates_SME_1[#Headers],0))),
IF($G185="Residential",
INDEX(OP_TotalRates_RES_2[#Data],MATCH($C185,OP_TotalRates_RES_2[Rate name],0),MATCH(M$162,OP_TotalRates_RES_2[#Headers],0)),
INDEX(OP_TotalRates_SME_2[#Data],MATCH($C185,OP_TotalRates_SME_2[Rate name],0),MATCH(M$162,OP_TotalRates_SME_2[#Headers]))))</f>
        <v>0.159</v>
      </c>
      <c r="N185" s="180"/>
      <c r="O185" s="23" t="s">
        <v>691</v>
      </c>
      <c r="P185"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2000</v>
      </c>
      <c r="Q185" s="78">
        <f>CH_BITariff4232[[#This Row],[Ausnet]]*CH_BITariff4232[[#This Row],[Usage value]]</f>
        <v>366.8</v>
      </c>
    </row>
    <row r="186" spans="3:17" x14ac:dyDescent="0.25">
      <c r="C186" s="23" t="s">
        <v>550</v>
      </c>
      <c r="D186" s="23" t="s">
        <v>109</v>
      </c>
      <c r="E186" s="23" t="s">
        <v>822</v>
      </c>
      <c r="F186" s="23" t="s">
        <v>750</v>
      </c>
      <c r="G186" s="23" t="s">
        <v>93</v>
      </c>
      <c r="H186" s="23" t="s">
        <v>556</v>
      </c>
      <c r="I186" s="209">
        <f>IF($E186="VDO 2021 - Variation Final",
IF($G186="Residential",
INDEX(OP_TotalRates_RES_1[#Data],MATCH($C186,OP_TotalRates_RES_1[Rate name],0),MATCH(I$162,OP_TotalRates_RES_1[#Headers],0)),
INDEX(OP_TotalRates_SME_1[#Data],MATCH($C186,OP_TotalRates_SME_1[Rate name],0),MATCH(I$162,OP_TotalRates_SME_1[#Headers],0))),
IF($G186="Residential",
INDEX(OP_TotalRates_RES_2[#Data],MATCH($C186,OP_TotalRates_RES_2[Rate name],0),MATCH(I$162,OP_TotalRates_RES_2[#Headers],0)),
INDEX(OP_TotalRates_SME_2[#Data],MATCH($C186,OP_TotalRates_SME_2[Rate name],0),MATCH(I$162,OP_TotalRates_SME_2[#Headers]))))</f>
        <v>1.3355999999999999</v>
      </c>
      <c r="J186" s="209">
        <f>IF($E186="VDO 2021 - Variation Final",
IF($G186="Residential",
INDEX(OP_TotalRates_RES_1[#Data],MATCH($C186,OP_TotalRates_RES_1[Rate name],0),MATCH(J$162,OP_TotalRates_RES_1[#Headers],0)),
INDEX(OP_TotalRates_SME_1[#Data],MATCH($C186,OP_TotalRates_SME_1[Rate name],0),MATCH(J$162,OP_TotalRates_SME_1[#Headers],0))),
IF($G186="Residential",
INDEX(OP_TotalRates_RES_2[#Data],MATCH($C186,OP_TotalRates_RES_2[Rate name],0),MATCH(J$162,OP_TotalRates_RES_2[#Headers],0)),
INDEX(OP_TotalRates_SME_2[#Data],MATCH($C186,OP_TotalRates_SME_2[Rate name],0),MATCH(J$162,OP_TotalRates_SME_2[#Headers]))))</f>
        <v>1.3875999999999999</v>
      </c>
      <c r="K186" s="209">
        <f>IF($E186="VDO 2021 - Variation Final",
IF($G186="Residential",
INDEX(OP_TotalRates_RES_1[#Data],MATCH($C186,OP_TotalRates_RES_1[Rate name],0),MATCH(K$162,OP_TotalRates_RES_1[#Headers],0)),
INDEX(OP_TotalRates_SME_1[#Data],MATCH($C186,OP_TotalRates_SME_1[Rate name],0),MATCH(K$162,OP_TotalRates_SME_1[#Headers],0))),
IF($G186="Residential",
INDEX(OP_TotalRates_RES_2[#Data],MATCH($C186,OP_TotalRates_RES_2[Rate name],0),MATCH(K$162,OP_TotalRates_RES_2[#Headers],0)),
INDEX(OP_TotalRates_SME_2[#Data],MATCH($C186,OP_TotalRates_SME_2[Rate name],0),MATCH(K$162,OP_TotalRates_SME_2[#Headers]))))</f>
        <v>1.3848</v>
      </c>
      <c r="L186" s="209">
        <f>IF($E186="VDO 2021 - Variation Final",
IF($G186="Residential",
INDEX(OP_TotalRates_RES_1[#Data],MATCH($C186,OP_TotalRates_RES_1[Rate name],0),MATCH(L$162,OP_TotalRates_RES_1[#Headers],0)),
INDEX(OP_TotalRates_SME_1[#Data],MATCH($C186,OP_TotalRates_SME_1[Rate name],0),MATCH(L$162,OP_TotalRates_SME_1[#Headers],0))),
IF($G186="Residential",
INDEX(OP_TotalRates_RES_2[#Data],MATCH($C186,OP_TotalRates_RES_2[Rate name],0),MATCH(L$162,OP_TotalRates_RES_2[#Headers],0)),
INDEX(OP_TotalRates_SME_2[#Data],MATCH($C186,OP_TotalRates_SME_2[Rate name],0),MATCH(L$162,OP_TotalRates_SME_2[#Headers]))))</f>
        <v>1.4613</v>
      </c>
      <c r="M186" s="209">
        <f>IF($E186="VDO 2021 - Variation Final",
IF($G186="Residential",
INDEX(OP_TotalRates_RES_1[#Data],MATCH($C186,OP_TotalRates_RES_1[Rate name],0),MATCH(M$162,OP_TotalRates_RES_1[#Headers],0)),
INDEX(OP_TotalRates_SME_1[#Data],MATCH($C186,OP_TotalRates_SME_1[Rate name],0),MATCH(M$162,OP_TotalRates_SME_1[#Headers],0))),
IF($G186="Residential",
INDEX(OP_TotalRates_RES_2[#Data],MATCH($C186,OP_TotalRates_RES_2[Rate name],0),MATCH(M$162,OP_TotalRates_RES_2[#Headers],0)),
INDEX(OP_TotalRates_SME_2[#Data],MATCH($C186,OP_TotalRates_SME_2[Rate name],0),MATCH(M$162,OP_TotalRates_SME_2[#Headers]))))</f>
        <v>1.1520999999999999</v>
      </c>
      <c r="N186" s="180"/>
      <c r="O186" s="23" t="s">
        <v>427</v>
      </c>
      <c r="P186"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c r="Q186" s="78">
        <f>CH_BITariff4232[[#This Row],[Ausnet]]*CH_BITariff4232[[#This Row],[Usage value]]</f>
        <v>241.74359999999999</v>
      </c>
    </row>
    <row r="187" spans="3:17" x14ac:dyDescent="0.25">
      <c r="C187" s="23" t="s">
        <v>221</v>
      </c>
      <c r="D187" s="23" t="s">
        <v>282</v>
      </c>
      <c r="E187" s="23" t="s">
        <v>822</v>
      </c>
      <c r="F187" s="23" t="s">
        <v>750</v>
      </c>
      <c r="G187" s="23" t="s">
        <v>93</v>
      </c>
      <c r="H187" s="23" t="s">
        <v>556</v>
      </c>
      <c r="I187" s="209">
        <f>IF($E187="VDO 2021 - Variation Final",
IF($G187="Residential",
INDEX(OP_TotalRates_RES_1[#Data],MATCH($C187,OP_TotalRates_RES_1[Rate name],0),MATCH(I$162,OP_TotalRates_RES_1[#Headers],0)),
INDEX(OP_TotalRates_SME_1[#Data],MATCH($C187,OP_TotalRates_SME_1[Rate name],0),MATCH(I$162,OP_TotalRates_SME_1[#Headers],0))),
IF($G187="Residential",
INDEX(OP_TotalRates_RES_2[#Data],MATCH($C187,OP_TotalRates_RES_2[Rate name],0),MATCH(I$162,OP_TotalRates_RES_2[#Headers],0)),
INDEX(OP_TotalRates_SME_2[#Data],MATCH($C187,OP_TotalRates_SME_2[Rate name],0),MATCH(I$162,OP_TotalRates_SME_2[#Headers]))))</f>
        <v>0.30159999999999998</v>
      </c>
      <c r="J187" s="209">
        <f>IF($E187="VDO 2021 - Variation Final",
IF($G187="Residential",
INDEX(OP_TotalRates_RES_1[#Data],MATCH($C187,OP_TotalRates_RES_1[Rate name],0),MATCH(J$162,OP_TotalRates_RES_1[#Headers],0)),
INDEX(OP_TotalRates_SME_1[#Data],MATCH($C187,OP_TotalRates_SME_1[Rate name],0),MATCH(J$162,OP_TotalRates_SME_1[#Headers],0))),
IF($G187="Residential",
INDEX(OP_TotalRates_RES_2[#Data],MATCH($C187,OP_TotalRates_RES_2[Rate name],0),MATCH(J$162,OP_TotalRates_RES_2[#Headers],0)),
INDEX(OP_TotalRates_SME_2[#Data],MATCH($C187,OP_TotalRates_SME_2[Rate name],0),MATCH(J$162,OP_TotalRates_SME_2[#Headers]))))</f>
        <v>0</v>
      </c>
      <c r="K187" s="209">
        <f>IF($E187="VDO 2021 - Variation Final",
IF($G187="Residential",
INDEX(OP_TotalRates_RES_1[#Data],MATCH($C187,OP_TotalRates_RES_1[Rate name],0),MATCH(K$162,OP_TotalRates_RES_1[#Headers],0)),
INDEX(OP_TotalRates_SME_1[#Data],MATCH($C187,OP_TotalRates_SME_1[Rate name],0),MATCH(K$162,OP_TotalRates_SME_1[#Headers],0))),
IF($G187="Residential",
INDEX(OP_TotalRates_RES_2[#Data],MATCH($C187,OP_TotalRates_RES_2[Rate name],0),MATCH(K$162,OP_TotalRates_RES_2[#Headers],0)),
INDEX(OP_TotalRates_SME_2[#Data],MATCH($C187,OP_TotalRates_SME_2[Rate name],0),MATCH(K$162,OP_TotalRates_SME_2[#Headers]))))</f>
        <v>0</v>
      </c>
      <c r="L187" s="209">
        <f>IF($E187="VDO 2021 - Variation Final",
IF($G187="Residential",
INDEX(OP_TotalRates_RES_1[#Data],MATCH($C187,OP_TotalRates_RES_1[Rate name],0),MATCH(L$162,OP_TotalRates_RES_1[#Headers],0)),
INDEX(OP_TotalRates_SME_1[#Data],MATCH($C187,OP_TotalRates_SME_1[Rate name],0),MATCH(L$162,OP_TotalRates_SME_1[#Headers],0))),
IF($G187="Residential",
INDEX(OP_TotalRates_RES_2[#Data],MATCH($C187,OP_TotalRates_RES_2[Rate name],0),MATCH(L$162,OP_TotalRates_RES_2[#Headers],0)),
INDEX(OP_TotalRates_SME_2[#Data],MATCH($C187,OP_TotalRates_SME_2[Rate name],0),MATCH(L$162,OP_TotalRates_SME_2[#Headers]))))</f>
        <v>0</v>
      </c>
      <c r="M187" s="209">
        <f>IF($E187="VDO 2021 - Variation Final",
IF($G187="Residential",
INDEX(OP_TotalRates_RES_1[#Data],MATCH($C187,OP_TotalRates_RES_1[Rate name],0),MATCH(M$162,OP_TotalRates_RES_1[#Headers],0)),
INDEX(OP_TotalRates_SME_1[#Data],MATCH($C187,OP_TotalRates_SME_1[Rate name],0),MATCH(M$162,OP_TotalRates_SME_1[#Headers],0))),
IF($G187="Residential",
INDEX(OP_TotalRates_RES_2[#Data],MATCH($C187,OP_TotalRates_RES_2[Rate name],0),MATCH(M$162,OP_TotalRates_RES_2[#Headers],0)),
INDEX(OP_TotalRates_SME_2[#Data],MATCH($C187,OP_TotalRates_SME_2[Rate name],0),MATCH(M$162,OP_TotalRates_SME_2[#Headers]))))</f>
        <v>0</v>
      </c>
      <c r="N187" s="180"/>
      <c r="O187" s="23" t="s">
        <v>691</v>
      </c>
      <c r="P187"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4080</v>
      </c>
      <c r="Q187" s="78">
        <f>CH_BITariff4232[[#This Row],[Ausnet]]*CH_BITariff4232[[#This Row],[Usage value]]</f>
        <v>1230.528</v>
      </c>
    </row>
    <row r="188" spans="3:17" x14ac:dyDescent="0.25">
      <c r="C188" s="23" t="s">
        <v>228</v>
      </c>
      <c r="D188" s="23" t="s">
        <v>282</v>
      </c>
      <c r="E188" s="23" t="s">
        <v>822</v>
      </c>
      <c r="F188" s="23" t="s">
        <v>750</v>
      </c>
      <c r="G188" s="23" t="s">
        <v>93</v>
      </c>
      <c r="H188" s="23" t="s">
        <v>556</v>
      </c>
      <c r="I188" s="209">
        <f>IF($E188="VDO 2021 - Variation Final",
IF($G188="Residential",
INDEX(OP_TotalRates_RES_1[#Data],MATCH($C188,OP_TotalRates_RES_1[Rate name],0),MATCH(I$162,OP_TotalRates_RES_1[#Headers],0)),
INDEX(OP_TotalRates_SME_1[#Data],MATCH($C188,OP_TotalRates_SME_1[Rate name],0),MATCH(I$162,OP_TotalRates_SME_1[#Headers],0))),
IF($G188="Residential",
INDEX(OP_TotalRates_RES_2[#Data],MATCH($C188,OP_TotalRates_RES_2[Rate name],0),MATCH(I$162,OP_TotalRates_RES_2[#Headers],0)),
INDEX(OP_TotalRates_SME_2[#Data],MATCH($C188,OP_TotalRates_SME_2[Rate name],0),MATCH(I$162,OP_TotalRates_SME_2[#Headers]))))</f>
        <v>0.33350000000000002</v>
      </c>
      <c r="J188" s="209">
        <f>IF($E188="VDO 2021 - Variation Final",
IF($G188="Residential",
INDEX(OP_TotalRates_RES_1[#Data],MATCH($C188,OP_TotalRates_RES_1[Rate name],0),MATCH(J$162,OP_TotalRates_RES_1[#Headers],0)),
INDEX(OP_TotalRates_SME_1[#Data],MATCH($C188,OP_TotalRates_SME_1[Rate name],0),MATCH(J$162,OP_TotalRates_SME_1[#Headers],0))),
IF($G188="Residential",
INDEX(OP_TotalRates_RES_2[#Data],MATCH($C188,OP_TotalRates_RES_2[Rate name],0),MATCH(J$162,OP_TotalRates_RES_2[#Headers],0)),
INDEX(OP_TotalRates_SME_2[#Data],MATCH($C188,OP_TotalRates_SME_2[Rate name],0),MATCH(J$162,OP_TotalRates_SME_2[#Headers]))))</f>
        <v>0</v>
      </c>
      <c r="K188" s="209">
        <f>IF($E188="VDO 2021 - Variation Final",
IF($G188="Residential",
INDEX(OP_TotalRates_RES_1[#Data],MATCH($C188,OP_TotalRates_RES_1[Rate name],0),MATCH(K$162,OP_TotalRates_RES_1[#Headers],0)),
INDEX(OP_TotalRates_SME_1[#Data],MATCH($C188,OP_TotalRates_SME_1[Rate name],0),MATCH(K$162,OP_TotalRates_SME_1[#Headers],0))),
IF($G188="Residential",
INDEX(OP_TotalRates_RES_2[#Data],MATCH($C188,OP_TotalRates_RES_2[Rate name],0),MATCH(K$162,OP_TotalRates_RES_2[#Headers],0)),
INDEX(OP_TotalRates_SME_2[#Data],MATCH($C188,OP_TotalRates_SME_2[Rate name],0),MATCH(K$162,OP_TotalRates_SME_2[#Headers]))))</f>
        <v>0</v>
      </c>
      <c r="L188" s="209">
        <f>IF($E188="VDO 2021 - Variation Final",
IF($G188="Residential",
INDEX(OP_TotalRates_RES_1[#Data],MATCH($C188,OP_TotalRates_RES_1[Rate name],0),MATCH(L$162,OP_TotalRates_RES_1[#Headers],0)),
INDEX(OP_TotalRates_SME_1[#Data],MATCH($C188,OP_TotalRates_SME_1[Rate name],0),MATCH(L$162,OP_TotalRates_SME_1[#Headers],0))),
IF($G188="Residential",
INDEX(OP_TotalRates_RES_2[#Data],MATCH($C188,OP_TotalRates_RES_2[Rate name],0),MATCH(L$162,OP_TotalRates_RES_2[#Headers],0)),
INDEX(OP_TotalRates_SME_2[#Data],MATCH($C188,OP_TotalRates_SME_2[Rate name],0),MATCH(L$162,OP_TotalRates_SME_2[#Headers]))))</f>
        <v>0</v>
      </c>
      <c r="M188" s="209">
        <f>IF($E188="VDO 2021 - Variation Final",
IF($G188="Residential",
INDEX(OP_TotalRates_RES_1[#Data],MATCH($C188,OP_TotalRates_RES_1[Rate name],0),MATCH(M$162,OP_TotalRates_RES_1[#Headers],0)),
INDEX(OP_TotalRates_SME_1[#Data],MATCH($C188,OP_TotalRates_SME_1[Rate name],0),MATCH(M$162,OP_TotalRates_SME_1[#Headers],0))),
IF($G188="Residential",
INDEX(OP_TotalRates_RES_2[#Data],MATCH($C188,OP_TotalRates_RES_2[Rate name],0),MATCH(M$162,OP_TotalRates_RES_2[#Headers],0)),
INDEX(OP_TotalRates_SME_2[#Data],MATCH($C188,OP_TotalRates_SME_2[Rate name],0),MATCH(M$162,OP_TotalRates_SME_2[#Headers]))))</f>
        <v>0</v>
      </c>
      <c r="N188" s="180"/>
      <c r="O188" s="23" t="s">
        <v>691</v>
      </c>
      <c r="P188"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15920</v>
      </c>
      <c r="Q188" s="78">
        <f>CH_BITariff4232[[#This Row],[Ausnet]]*CH_BITariff4232[[#This Row],[Usage value]]</f>
        <v>5309.3200000000006</v>
      </c>
    </row>
    <row r="189" spans="3:17" x14ac:dyDescent="0.25">
      <c r="C189" s="23" t="s">
        <v>549</v>
      </c>
      <c r="D189" s="23" t="s">
        <v>282</v>
      </c>
      <c r="E189" s="23" t="s">
        <v>822</v>
      </c>
      <c r="F189" s="23" t="s">
        <v>750</v>
      </c>
      <c r="G189" s="23" t="s">
        <v>93</v>
      </c>
      <c r="H189" s="23" t="s">
        <v>556</v>
      </c>
      <c r="I189" s="209">
        <f>IF($E189="VDO 2021 - Variation Final",
IF($G189="Residential",
INDEX(OP_TotalRates_RES_1[#Data],MATCH($C189,OP_TotalRates_RES_1[Rate name],0),MATCH(I$162,OP_TotalRates_RES_1[#Headers],0)),
INDEX(OP_TotalRates_SME_1[#Data],MATCH($C189,OP_TotalRates_SME_1[Rate name],0),MATCH(I$162,OP_TotalRates_SME_1[#Headers],0))),
IF($G189="Residential",
INDEX(OP_TotalRates_RES_2[#Data],MATCH($C189,OP_TotalRates_RES_2[Rate name],0),MATCH(I$162,OP_TotalRates_RES_2[#Headers],0)),
INDEX(OP_TotalRates_SME_2[#Data],MATCH($C189,OP_TotalRates_SME_2[Rate name],0),MATCH(I$162,OP_TotalRates_SME_2[#Headers]))))</f>
        <v>0</v>
      </c>
      <c r="J189" s="209">
        <f>IF($E189="VDO 2021 - Variation Final",
IF($G189="Residential",
INDEX(OP_TotalRates_RES_1[#Data],MATCH($C189,OP_TotalRates_RES_1[Rate name],0),MATCH(J$162,OP_TotalRates_RES_1[#Headers],0)),
INDEX(OP_TotalRates_SME_1[#Data],MATCH($C189,OP_TotalRates_SME_1[Rate name],0),MATCH(J$162,OP_TotalRates_SME_1[#Headers],0))),
IF($G189="Residential",
INDEX(OP_TotalRates_RES_2[#Data],MATCH($C189,OP_TotalRates_RES_2[Rate name],0),MATCH(J$162,OP_TotalRates_RES_2[#Headers],0)),
INDEX(OP_TotalRates_SME_2[#Data],MATCH($C189,OP_TotalRates_SME_2[Rate name],0),MATCH(J$162,OP_TotalRates_SME_2[#Headers]))))</f>
        <v>0.21410000000000001</v>
      </c>
      <c r="K189" s="209">
        <f>IF($E189="VDO 2021 - Variation Final",
IF($G189="Residential",
INDEX(OP_TotalRates_RES_1[#Data],MATCH($C189,OP_TotalRates_RES_1[Rate name],0),MATCH(K$162,OP_TotalRates_RES_1[#Headers],0)),
INDEX(OP_TotalRates_SME_1[#Data],MATCH($C189,OP_TotalRates_SME_1[Rate name],0),MATCH(K$162,OP_TotalRates_SME_1[#Headers],0))),
IF($G189="Residential",
INDEX(OP_TotalRates_RES_2[#Data],MATCH($C189,OP_TotalRates_RES_2[Rate name],0),MATCH(K$162,OP_TotalRates_RES_2[#Headers],0)),
INDEX(OP_TotalRates_SME_2[#Data],MATCH($C189,OP_TotalRates_SME_2[Rate name],0),MATCH(K$162,OP_TotalRates_SME_2[#Headers]))))</f>
        <v>0.2457</v>
      </c>
      <c r="L189" s="209">
        <f>IF($E189="VDO 2021 - Variation Final",
IF($G189="Residential",
INDEX(OP_TotalRates_RES_1[#Data],MATCH($C189,OP_TotalRates_RES_1[Rate name],0),MATCH(L$162,OP_TotalRates_RES_1[#Headers],0)),
INDEX(OP_TotalRates_SME_1[#Data],MATCH($C189,OP_TotalRates_SME_1[Rate name],0),MATCH(L$162,OP_TotalRates_SME_1[#Headers],0))),
IF($G189="Residential",
INDEX(OP_TotalRates_RES_2[#Data],MATCH($C189,OP_TotalRates_RES_2[Rate name],0),MATCH(L$162,OP_TotalRates_RES_2[#Headers],0)),
INDEX(OP_TotalRates_SME_2[#Data],MATCH($C189,OP_TotalRates_SME_2[Rate name],0),MATCH(L$162,OP_TotalRates_SME_2[#Headers]))))</f>
        <v>0.22570000000000001</v>
      </c>
      <c r="M189" s="209">
        <f>IF($E189="VDO 2021 - Variation Final",
IF($G189="Residential",
INDEX(OP_TotalRates_RES_1[#Data],MATCH($C189,OP_TotalRates_RES_1[Rate name],0),MATCH(M$162,OP_TotalRates_RES_1[#Headers],0)),
INDEX(OP_TotalRates_SME_1[#Data],MATCH($C189,OP_TotalRates_SME_1[Rate name],0),MATCH(M$162,OP_TotalRates_SME_1[#Headers],0))),
IF($G189="Residential",
INDEX(OP_TotalRates_RES_2[#Data],MATCH($C189,OP_TotalRates_RES_2[Rate name],0),MATCH(M$162,OP_TotalRates_RES_2[#Headers],0)),
INDEX(OP_TotalRates_SME_2[#Data],MATCH($C189,OP_TotalRates_SME_2[Rate name],0),MATCH(M$162,OP_TotalRates_SME_2[#Headers]))))</f>
        <v>0.2225</v>
      </c>
      <c r="N189" s="180"/>
      <c r="O189" s="23" t="s">
        <v>691</v>
      </c>
      <c r="P189"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20000</v>
      </c>
      <c r="Q189" s="78">
        <f>CH_BITariff4232[[#This Row],[Ausnet]]*CH_BITariff4232[[#This Row],[Usage value]]</f>
        <v>0</v>
      </c>
    </row>
    <row r="190" spans="3:17" x14ac:dyDescent="0.25">
      <c r="C190" s="23" t="s">
        <v>551</v>
      </c>
      <c r="D190" s="23" t="s">
        <v>109</v>
      </c>
      <c r="E190" s="23" t="s">
        <v>822</v>
      </c>
      <c r="F190" s="23" t="s">
        <v>750</v>
      </c>
      <c r="G190" s="23" t="s">
        <v>93</v>
      </c>
      <c r="H190" s="23" t="s">
        <v>557</v>
      </c>
      <c r="I190" s="209">
        <f>IF($E190="VDO 2021 - Variation Final",
IF($G190="Residential",
INDEX(OP_TotalRates_RES_1[#Data],MATCH($C190,OP_TotalRates_RES_1[Rate name],0),MATCH(I$162,OP_TotalRates_RES_1[#Headers],0)),
INDEX(OP_TotalRates_SME_1[#Data],MATCH($C190,OP_TotalRates_SME_1[Rate name],0),MATCH(I$162,OP_TotalRates_SME_1[#Headers],0))),
IF($G190="Residential",
INDEX(OP_TotalRates_RES_2[#Data],MATCH($C190,OP_TotalRates_RES_2[Rate name],0),MATCH(I$162,OP_TotalRates_RES_2[#Headers],0)),
INDEX(OP_TotalRates_SME_2[#Data],MATCH($C190,OP_TotalRates_SME_2[Rate name],0),MATCH(I$162,OP_TotalRates_SME_2[#Headers]))))</f>
        <v>0.86480000000000001</v>
      </c>
      <c r="J190" s="209">
        <f>IF($E190="VDO 2021 - Variation Final",
IF($G190="Residential",
INDEX(OP_TotalRates_RES_1[#Data],MATCH($C190,OP_TotalRates_RES_1[Rate name],0),MATCH(J$162,OP_TotalRates_RES_1[#Headers],0)),
INDEX(OP_TotalRates_SME_1[#Data],MATCH($C190,OP_TotalRates_SME_1[Rate name],0),MATCH(J$162,OP_TotalRates_SME_1[#Headers],0))),
IF($G190="Residential",
INDEX(OP_TotalRates_RES_2[#Data],MATCH($C190,OP_TotalRates_RES_2[Rate name],0),MATCH(J$162,OP_TotalRates_RES_2[#Headers],0)),
INDEX(OP_TotalRates_SME_2[#Data],MATCH($C190,OP_TotalRates_SME_2[Rate name],0),MATCH(J$162,OP_TotalRates_SME_2[#Headers]))))</f>
        <v>1.3568</v>
      </c>
      <c r="K190" s="209">
        <f>IF($E190="VDO 2021 - Variation Final",
IF($G190="Residential",
INDEX(OP_TotalRates_RES_1[#Data],MATCH($C190,OP_TotalRates_RES_1[Rate name],0),MATCH(K$162,OP_TotalRates_RES_1[#Headers],0)),
INDEX(OP_TotalRates_SME_1[#Data],MATCH($C190,OP_TotalRates_SME_1[Rate name],0),MATCH(K$162,OP_TotalRates_SME_1[#Headers],0))),
IF($G190="Residential",
INDEX(OP_TotalRates_RES_2[#Data],MATCH($C190,OP_TotalRates_RES_2[Rate name],0),MATCH(K$162,OP_TotalRates_RES_2[#Headers],0)),
INDEX(OP_TotalRates_SME_2[#Data],MATCH($C190,OP_TotalRates_SME_2[Rate name],0),MATCH(K$162,OP_TotalRates_SME_2[#Headers]))))</f>
        <v>1.6395</v>
      </c>
      <c r="L190" s="209">
        <f>IF($E190="VDO 2021 - Variation Final",
IF($G190="Residential",
INDEX(OP_TotalRates_RES_1[#Data],MATCH($C190,OP_TotalRates_RES_1[Rate name],0),MATCH(L$162,OP_TotalRates_RES_1[#Headers],0)),
INDEX(OP_TotalRates_SME_1[#Data],MATCH($C190,OP_TotalRates_SME_1[Rate name],0),MATCH(L$162,OP_TotalRates_SME_1[#Headers],0))),
IF($G190="Residential",
INDEX(OP_TotalRates_RES_2[#Data],MATCH($C190,OP_TotalRates_RES_2[Rate name],0),MATCH(L$162,OP_TotalRates_RES_2[#Headers],0)),
INDEX(OP_TotalRates_SME_2[#Data],MATCH($C190,OP_TotalRates_SME_2[Rate name],0),MATCH(L$162,OP_TotalRates_SME_2[#Headers]))))</f>
        <v>1.4275</v>
      </c>
      <c r="M190" s="209">
        <f>IF($E190="VDO 2021 - Variation Final",
IF($G190="Residential",
INDEX(OP_TotalRates_RES_1[#Data],MATCH($C190,OP_TotalRates_RES_1[Rate name],0),MATCH(M$162,OP_TotalRates_RES_1[#Headers],0)),
INDEX(OP_TotalRates_SME_1[#Data],MATCH($C190,OP_TotalRates_SME_1[Rate name],0),MATCH(M$162,OP_TotalRates_SME_1[#Headers],0))),
IF($G190="Residential",
INDEX(OP_TotalRates_RES_2[#Data],MATCH($C190,OP_TotalRates_RES_2[Rate name],0),MATCH(M$162,OP_TotalRates_RES_2[#Headers],0)),
INDEX(OP_TotalRates_SME_2[#Data],MATCH($C190,OP_TotalRates_SME_2[Rate name],0),MATCH(M$162,OP_TotalRates_SME_2[#Headers]))))</f>
        <v>1.1218999999999999</v>
      </c>
      <c r="N190" s="180"/>
      <c r="O190" s="23" t="s">
        <v>427</v>
      </c>
      <c r="P190"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181</v>
      </c>
      <c r="Q190" s="78">
        <f>CH_BITariff4232[[#This Row],[Ausnet]]*CH_BITariff4232[[#This Row],[Usage value]]</f>
        <v>156.52879999999999</v>
      </c>
    </row>
    <row r="191" spans="3:17" x14ac:dyDescent="0.25">
      <c r="C191" s="23" t="s">
        <v>230</v>
      </c>
      <c r="D191" s="23" t="s">
        <v>282</v>
      </c>
      <c r="E191" s="23" t="s">
        <v>822</v>
      </c>
      <c r="F191" s="23" t="s">
        <v>750</v>
      </c>
      <c r="G191" s="23" t="s">
        <v>93</v>
      </c>
      <c r="H191" s="23" t="s">
        <v>557</v>
      </c>
      <c r="I191" s="209">
        <f>IF($E191="VDO 2021 - Variation Final",
IF($G191="Residential",
INDEX(OP_TotalRates_RES_1[#Data],MATCH($C191,OP_TotalRates_RES_1[Rate name],0),MATCH(I$162,OP_TotalRates_RES_1[#Headers],0)),
INDEX(OP_TotalRates_SME_1[#Data],MATCH($C191,OP_TotalRates_SME_1[Rate name],0),MATCH(I$162,OP_TotalRates_SME_1[#Headers],0))),
IF($G191="Residential",
INDEX(OP_TotalRates_RES_2[#Data],MATCH($C191,OP_TotalRates_RES_2[Rate name],0),MATCH(I$162,OP_TotalRates_RES_2[#Headers],0)),
INDEX(OP_TotalRates_SME_2[#Data],MATCH($C191,OP_TotalRates_SME_2[Rate name],0),MATCH(I$162,OP_TotalRates_SME_2[#Headers]))))</f>
        <v>0.3246</v>
      </c>
      <c r="J191" s="209">
        <f>IF($E191="VDO 2021 - Variation Final",
IF($G191="Residential",
INDEX(OP_TotalRates_RES_1[#Data],MATCH($C191,OP_TotalRates_RES_1[Rate name],0),MATCH(J$162,OP_TotalRates_RES_1[#Headers],0)),
INDEX(OP_TotalRates_SME_1[#Data],MATCH($C191,OP_TotalRates_SME_1[Rate name],0),MATCH(J$162,OP_TotalRates_SME_1[#Headers],0))),
IF($G191="Residential",
INDEX(OP_TotalRates_RES_2[#Data],MATCH($C191,OP_TotalRates_RES_2[Rate name],0),MATCH(J$162,OP_TotalRates_RES_2[#Headers],0)),
INDEX(OP_TotalRates_SME_2[#Data],MATCH($C191,OP_TotalRates_SME_2[Rate name],0),MATCH(J$162,OP_TotalRates_SME_2[#Headers]))))</f>
        <v>0.2702</v>
      </c>
      <c r="K191" s="209">
        <f>IF($E191="VDO 2021 - Variation Final",
IF($G191="Residential",
INDEX(OP_TotalRates_RES_1[#Data],MATCH($C191,OP_TotalRates_RES_1[Rate name],0),MATCH(K$162,OP_TotalRates_RES_1[#Headers],0)),
INDEX(OP_TotalRates_SME_1[#Data],MATCH($C191,OP_TotalRates_SME_1[Rate name],0),MATCH(K$162,OP_TotalRates_SME_1[#Headers],0))),
IF($G191="Residential",
INDEX(OP_TotalRates_RES_2[#Data],MATCH($C191,OP_TotalRates_RES_2[Rate name],0),MATCH(K$162,OP_TotalRates_RES_2[#Headers],0)),
INDEX(OP_TotalRates_SME_2[#Data],MATCH($C191,OP_TotalRates_SME_2[Rate name],0),MATCH(K$162,OP_TotalRates_SME_2[#Headers]))))</f>
        <v>0.28489999999999999</v>
      </c>
      <c r="L191" s="209">
        <f>IF($E191="VDO 2021 - Variation Final",
IF($G191="Residential",
INDEX(OP_TotalRates_RES_1[#Data],MATCH($C191,OP_TotalRates_RES_1[Rate name],0),MATCH(L$162,OP_TotalRates_RES_1[#Headers],0)),
INDEX(OP_TotalRates_SME_1[#Data],MATCH($C191,OP_TotalRates_SME_1[Rate name],0),MATCH(L$162,OP_TotalRates_SME_1[#Headers],0))),
IF($G191="Residential",
INDEX(OP_TotalRates_RES_2[#Data],MATCH($C191,OP_TotalRates_RES_2[Rate name],0),MATCH(L$162,OP_TotalRates_RES_2[#Headers],0)),
INDEX(OP_TotalRates_SME_2[#Data],MATCH($C191,OP_TotalRates_SME_2[Rate name],0),MATCH(L$162,OP_TotalRates_SME_2[#Headers]))))</f>
        <v>0.28939999999999999</v>
      </c>
      <c r="M191" s="209">
        <f>IF($E191="VDO 2021 - Variation Final",
IF($G191="Residential",
INDEX(OP_TotalRates_RES_1[#Data],MATCH($C191,OP_TotalRates_RES_1[Rate name],0),MATCH(M$162,OP_TotalRates_RES_1[#Headers],0)),
INDEX(OP_TotalRates_SME_1[#Data],MATCH($C191,OP_TotalRates_SME_1[Rate name],0),MATCH(M$162,OP_TotalRates_SME_1[#Headers],0))),
IF($G191="Residential",
INDEX(OP_TotalRates_RES_2[#Data],MATCH($C191,OP_TotalRates_RES_2[Rate name],0),MATCH(M$162,OP_TotalRates_RES_2[#Headers],0)),
INDEX(OP_TotalRates_SME_2[#Data],MATCH($C191,OP_TotalRates_SME_2[Rate name],0),MATCH(M$162,OP_TotalRates_SME_2[#Headers]))))</f>
        <v>0.28320000000000001</v>
      </c>
      <c r="N191" s="180"/>
      <c r="O191" s="23" t="s">
        <v>691</v>
      </c>
      <c r="P191"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9800</v>
      </c>
      <c r="Q191" s="78">
        <f>CH_BITariff4232[[#This Row],[Ausnet]]*CH_BITariff4232[[#This Row],[Usage value]]</f>
        <v>3181.08</v>
      </c>
    </row>
    <row r="192" spans="3:17" x14ac:dyDescent="0.25">
      <c r="C192" s="23" t="s">
        <v>609</v>
      </c>
      <c r="D192" s="23" t="s">
        <v>282</v>
      </c>
      <c r="E192" s="23" t="s">
        <v>822</v>
      </c>
      <c r="F192" s="23" t="s">
        <v>750</v>
      </c>
      <c r="G192" s="23" t="s">
        <v>93</v>
      </c>
      <c r="H192" s="23" t="s">
        <v>557</v>
      </c>
      <c r="I192" s="209">
        <f>IF($E192="VDO 2021 - Variation Final",
IF($G192="Residential",
INDEX(OP_TotalRates_RES_1[#Data],MATCH($C192,OP_TotalRates_RES_1[Rate name],0),MATCH(I$162,OP_TotalRates_RES_1[#Headers],0)),
INDEX(OP_TotalRates_SME_1[#Data],MATCH($C192,OP_TotalRates_SME_1[Rate name],0),MATCH(I$162,OP_TotalRates_SME_1[#Headers],0))),
IF($G192="Residential",
INDEX(OP_TotalRates_RES_2[#Data],MATCH($C192,OP_TotalRates_RES_2[Rate name],0),MATCH(I$162,OP_TotalRates_RES_2[#Headers],0)),
INDEX(OP_TotalRates_SME_2[#Data],MATCH($C192,OP_TotalRates_SME_2[Rate name],0),MATCH(I$162,OP_TotalRates_SME_2[#Headers]))))</f>
        <v>0.1701</v>
      </c>
      <c r="J192" s="209">
        <f>IF($E192="VDO 2021 - Variation Final",
IF($G192="Residential",
INDEX(OP_TotalRates_RES_1[#Data],MATCH($C192,OP_TotalRates_RES_1[Rate name],0),MATCH(J$162,OP_TotalRates_RES_1[#Headers],0)),
INDEX(OP_TotalRates_SME_1[#Data],MATCH($C192,OP_TotalRates_SME_1[Rate name],0),MATCH(J$162,OP_TotalRates_SME_1[#Headers],0))),
IF($G192="Residential",
INDEX(OP_TotalRates_RES_2[#Data],MATCH($C192,OP_TotalRates_RES_2[Rate name],0),MATCH(J$162,OP_TotalRates_RES_2[#Headers],0)),
INDEX(OP_TotalRates_SME_2[#Data],MATCH($C192,OP_TotalRates_SME_2[Rate name],0),MATCH(J$162,OP_TotalRates_SME_2[#Headers]))))</f>
        <v>0.152</v>
      </c>
      <c r="K192" s="209">
        <f>IF($E192="VDO 2021 - Variation Final",
IF($G192="Residential",
INDEX(OP_TotalRates_RES_1[#Data],MATCH($C192,OP_TotalRates_RES_1[Rate name],0),MATCH(K$162,OP_TotalRates_RES_1[#Headers],0)),
INDEX(OP_TotalRates_SME_1[#Data],MATCH($C192,OP_TotalRates_SME_1[Rate name],0),MATCH(K$162,OP_TotalRates_SME_1[#Headers],0))),
IF($G192="Residential",
INDEX(OP_TotalRates_RES_2[#Data],MATCH($C192,OP_TotalRates_RES_2[Rate name],0),MATCH(K$162,OP_TotalRates_RES_2[#Headers],0)),
INDEX(OP_TotalRates_SME_2[#Data],MATCH($C192,OP_TotalRates_SME_2[Rate name],0),MATCH(K$162,OP_TotalRates_SME_2[#Headers]))))</f>
        <v>0.15329999999999999</v>
      </c>
      <c r="L192" s="209">
        <f>IF($E192="VDO 2021 - Variation Final",
IF($G192="Residential",
INDEX(OP_TotalRates_RES_1[#Data],MATCH($C192,OP_TotalRates_RES_1[Rate name],0),MATCH(L$162,OP_TotalRates_RES_1[#Headers],0)),
INDEX(OP_TotalRates_SME_1[#Data],MATCH($C192,OP_TotalRates_SME_1[Rate name],0),MATCH(L$162,OP_TotalRates_SME_1[#Headers],0))),
IF($G192="Residential",
INDEX(OP_TotalRates_RES_2[#Data],MATCH($C192,OP_TotalRates_RES_2[Rate name],0),MATCH(L$162,OP_TotalRates_RES_2[#Headers],0)),
INDEX(OP_TotalRates_SME_2[#Data],MATCH($C192,OP_TotalRates_SME_2[Rate name],0),MATCH(L$162,OP_TotalRates_SME_2[#Headers]))))</f>
        <v>0.15559999999999999</v>
      </c>
      <c r="M192" s="209">
        <f>IF($E192="VDO 2021 - Variation Final",
IF($G192="Residential",
INDEX(OP_TotalRates_RES_1[#Data],MATCH($C192,OP_TotalRates_RES_1[Rate name],0),MATCH(M$162,OP_TotalRates_RES_1[#Headers],0)),
INDEX(OP_TotalRates_SME_1[#Data],MATCH($C192,OP_TotalRates_SME_1[Rate name],0),MATCH(M$162,OP_TotalRates_SME_1[#Headers],0))),
IF($G192="Residential",
INDEX(OP_TotalRates_RES_2[#Data],MATCH($C192,OP_TotalRates_RES_2[Rate name],0),MATCH(M$162,OP_TotalRates_RES_2[#Headers],0)),
INDEX(OP_TotalRates_SME_2[#Data],MATCH($C192,OP_TotalRates_SME_2[Rate name],0),MATCH(M$162,OP_TotalRates_SME_2[#Headers]))))</f>
        <v>0.15629999999999999</v>
      </c>
      <c r="N192" s="180"/>
      <c r="O192" s="23" t="s">
        <v>691</v>
      </c>
      <c r="P192" s="23">
        <f>IF(CH_BITariff4271[[#This Row],[Usage unit]]="Days",IF(CH_BITariff4271[[#This Row],[Rate type]]="Calculated",
INDEX(Input_TU_Periods[[F-PreviousVDO_Input]:[F-CurrentVDO_Input]],1,MATCH("F-CurrentVDO_Input",Input_TU_Periods[[#Headers],[F-PreviousVDO_Input]:[F-CurrentVDO_Input]],0)),
INDEX(Input_TU_Periods[[F-PreviousVDO_Input]:[F-CurrentVDO_Input]],1,MATCH("F-NextVDO_Input",Input_TU_Periods[[#Headers],[F-PreviousVDO_Input]:[F-CurrentVDO_Input]],0))),
SUMIFS(INDEX(Input_Usage[[F-PreviousVDO_Input]:[F-CurrentVDO_Input]],0,MATCH(CH_BITariff4271[[#This Row],[Decision]],Inputs!$I$134:$M$134,0)),Input_Usage[Usage type],CH_BITariff4271[[#This Row],[Rate name]],Input_Usage[Profile name],CH_BITariff4271[[#This Row],[Customer type]]&amp;" - medium"))</f>
        <v>10200</v>
      </c>
      <c r="Q192" s="78">
        <f>CH_BITariff4232[[#This Row],[Ausnet]]*CH_BITariff4232[[#This Row],[Usage value]]</f>
        <v>1735.02</v>
      </c>
    </row>
    <row r="194" spans="3:15" ht="15.75" x14ac:dyDescent="0.25">
      <c r="C194" s="29" t="s">
        <v>318</v>
      </c>
      <c r="D194" s="130"/>
      <c r="E194" s="130"/>
      <c r="F194" s="130"/>
      <c r="G194" s="130"/>
      <c r="H194" s="130"/>
      <c r="I194" s="130"/>
      <c r="J194" s="130"/>
      <c r="K194" s="130"/>
      <c r="L194" s="130"/>
    </row>
    <row r="195" spans="3:15" ht="15.75" x14ac:dyDescent="0.25">
      <c r="C195" s="277" t="s">
        <v>331</v>
      </c>
      <c r="D195" s="277" t="s">
        <v>103</v>
      </c>
      <c r="E195" s="277" t="s">
        <v>587</v>
      </c>
      <c r="F195" s="277" t="s">
        <v>520</v>
      </c>
      <c r="G195" s="277" t="s">
        <v>91</v>
      </c>
      <c r="H195" s="277" t="s">
        <v>454</v>
      </c>
      <c r="I195" s="60" t="s">
        <v>268</v>
      </c>
      <c r="J195" s="277" t="s">
        <v>269</v>
      </c>
      <c r="K195" s="277" t="s">
        <v>270</v>
      </c>
      <c r="L195" s="277" t="s">
        <v>271</v>
      </c>
      <c r="M195" s="277" t="s">
        <v>272</v>
      </c>
    </row>
    <row r="196" spans="3:15" x14ac:dyDescent="0.25">
      <c r="C196" s="23" t="s">
        <v>550</v>
      </c>
      <c r="D196" s="23" t="s">
        <v>109</v>
      </c>
      <c r="E196" s="23" t="s">
        <v>259</v>
      </c>
      <c r="F196" s="23" t="s">
        <v>750</v>
      </c>
      <c r="G196" s="23" t="s">
        <v>92</v>
      </c>
      <c r="H196" s="23" t="s">
        <v>556</v>
      </c>
      <c r="I196"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228.06</v>
      </c>
      <c r="J196"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217.6163</v>
      </c>
      <c r="K196"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207.9871</v>
      </c>
      <c r="L196"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243.60790000000003</v>
      </c>
      <c r="M196"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192.47539999999998</v>
      </c>
      <c r="O196" s="87"/>
    </row>
    <row r="197" spans="3:15" x14ac:dyDescent="0.25">
      <c r="C197" s="23" t="s">
        <v>221</v>
      </c>
      <c r="D197" s="23" t="s">
        <v>109</v>
      </c>
      <c r="E197" s="23" t="s">
        <v>259</v>
      </c>
      <c r="F197" s="23" t="s">
        <v>750</v>
      </c>
      <c r="G197" s="23" t="s">
        <v>92</v>
      </c>
      <c r="H197" s="23" t="s">
        <v>556</v>
      </c>
      <c r="I197"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1059.6000000000001</v>
      </c>
      <c r="J197"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K197"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L197"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M197"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row>
    <row r="198" spans="3:15" x14ac:dyDescent="0.25">
      <c r="C198" s="23" t="s">
        <v>228</v>
      </c>
      <c r="D198" s="23" t="s">
        <v>109</v>
      </c>
      <c r="E198" s="23" t="s">
        <v>259</v>
      </c>
      <c r="F198" s="23" t="s">
        <v>750</v>
      </c>
      <c r="G198" s="23" t="s">
        <v>92</v>
      </c>
      <c r="H198" s="23" t="s">
        <v>556</v>
      </c>
      <c r="I198"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J198"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K198"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L198"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M198"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row>
    <row r="199" spans="3:15" x14ac:dyDescent="0.25">
      <c r="C199" s="23" t="s">
        <v>549</v>
      </c>
      <c r="D199" s="23" t="s">
        <v>109</v>
      </c>
      <c r="E199" s="23" t="s">
        <v>259</v>
      </c>
      <c r="F199" s="23" t="s">
        <v>750</v>
      </c>
      <c r="G199" s="23" t="s">
        <v>92</v>
      </c>
      <c r="H199" s="23" t="s">
        <v>556</v>
      </c>
      <c r="I199"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J199"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868.4</v>
      </c>
      <c r="K199"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922.8</v>
      </c>
      <c r="L199"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894</v>
      </c>
      <c r="M199"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896.80000000000007</v>
      </c>
    </row>
    <row r="200" spans="3:15" x14ac:dyDescent="0.25">
      <c r="C200" s="23" t="s">
        <v>551</v>
      </c>
      <c r="D200" s="23" t="s">
        <v>109</v>
      </c>
      <c r="E200" s="23" t="s">
        <v>259</v>
      </c>
      <c r="F200" s="23" t="s">
        <v>750</v>
      </c>
      <c r="G200" s="23" t="s">
        <v>92</v>
      </c>
      <c r="H200" s="23" t="s">
        <v>557</v>
      </c>
      <c r="I200"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209.72470000000001</v>
      </c>
      <c r="J200"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216.25880000000001</v>
      </c>
      <c r="K200"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190.19479999999999</v>
      </c>
      <c r="L200"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240.74810000000002</v>
      </c>
      <c r="M200"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191.0093</v>
      </c>
    </row>
    <row r="201" spans="3:15" x14ac:dyDescent="0.25">
      <c r="C201" s="23" t="s">
        <v>230</v>
      </c>
      <c r="D201" s="23" t="s">
        <v>109</v>
      </c>
      <c r="E201" s="23" t="s">
        <v>259</v>
      </c>
      <c r="F201" s="23" t="s">
        <v>750</v>
      </c>
      <c r="G201" s="23" t="s">
        <v>92</v>
      </c>
      <c r="H201" s="23" t="s">
        <v>557</v>
      </c>
      <c r="I201"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494.47199999999998</v>
      </c>
      <c r="J201"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408.012</v>
      </c>
      <c r="K201"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378.84</v>
      </c>
      <c r="L201"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413.82</v>
      </c>
      <c r="M201"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416.06399999999996</v>
      </c>
    </row>
    <row r="202" spans="3:15" x14ac:dyDescent="0.25">
      <c r="C202" s="23" t="s">
        <v>609</v>
      </c>
      <c r="D202" s="23" t="s">
        <v>109</v>
      </c>
      <c r="E202" s="23" t="s">
        <v>259</v>
      </c>
      <c r="F202" s="23" t="s">
        <v>750</v>
      </c>
      <c r="G202" s="23" t="s">
        <v>92</v>
      </c>
      <c r="H202" s="23" t="s">
        <v>557</v>
      </c>
      <c r="I202"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487.76</v>
      </c>
      <c r="J202"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454.52800000000002</v>
      </c>
      <c r="K202"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468.99999999999994</v>
      </c>
      <c r="L202"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467.928</v>
      </c>
      <c r="M202"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474.62800000000004</v>
      </c>
    </row>
    <row r="203" spans="3:15" x14ac:dyDescent="0.25">
      <c r="C203" s="23" t="s">
        <v>287</v>
      </c>
      <c r="D203" s="23" t="s">
        <v>109</v>
      </c>
      <c r="E203" s="23" t="s">
        <v>259</v>
      </c>
      <c r="F203" s="23" t="s">
        <v>750</v>
      </c>
      <c r="G203" s="23" t="s">
        <v>92</v>
      </c>
      <c r="H203" s="23" t="s">
        <v>697</v>
      </c>
      <c r="I203"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366.8</v>
      </c>
      <c r="J203"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308.40000000000003</v>
      </c>
      <c r="K203"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351.2</v>
      </c>
      <c r="L203"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315.59999999999997</v>
      </c>
      <c r="M203"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318</v>
      </c>
    </row>
    <row r="204" spans="3:15" x14ac:dyDescent="0.25">
      <c r="C204" s="23" t="s">
        <v>550</v>
      </c>
      <c r="D204" s="23" t="s">
        <v>109</v>
      </c>
      <c r="E204" s="23" t="s">
        <v>259</v>
      </c>
      <c r="F204" s="23" t="s">
        <v>750</v>
      </c>
      <c r="G204" s="23" t="s">
        <v>93</v>
      </c>
      <c r="H204" s="23" t="s">
        <v>556</v>
      </c>
      <c r="I204"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241.74359999999999</v>
      </c>
      <c r="J204"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251.15559999999999</v>
      </c>
      <c r="K204"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250.64879999999999</v>
      </c>
      <c r="L204"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264.49529999999999</v>
      </c>
      <c r="M204"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208.53009999999998</v>
      </c>
    </row>
    <row r="205" spans="3:15" x14ac:dyDescent="0.25">
      <c r="C205" s="23" t="s">
        <v>221</v>
      </c>
      <c r="D205" s="23" t="s">
        <v>109</v>
      </c>
      <c r="E205" s="23" t="s">
        <v>259</v>
      </c>
      <c r="F205" s="23" t="s">
        <v>750</v>
      </c>
      <c r="G205" s="23" t="s">
        <v>93</v>
      </c>
      <c r="H205" s="23" t="s">
        <v>556</v>
      </c>
      <c r="I205"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1230.528</v>
      </c>
      <c r="J205"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K205"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L205"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M205"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row>
    <row r="206" spans="3:15" x14ac:dyDescent="0.25">
      <c r="C206" s="23" t="s">
        <v>228</v>
      </c>
      <c r="D206" s="23" t="s">
        <v>109</v>
      </c>
      <c r="E206" s="23" t="s">
        <v>259</v>
      </c>
      <c r="F206" s="23" t="s">
        <v>750</v>
      </c>
      <c r="G206" s="23" t="s">
        <v>93</v>
      </c>
      <c r="H206" s="23" t="s">
        <v>556</v>
      </c>
      <c r="I206"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5309.3200000000006</v>
      </c>
      <c r="J206"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K206"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L206"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M206"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row>
    <row r="207" spans="3:15" x14ac:dyDescent="0.25">
      <c r="C207" s="23" t="s">
        <v>549</v>
      </c>
      <c r="D207" s="23" t="s">
        <v>109</v>
      </c>
      <c r="E207" s="23" t="s">
        <v>259</v>
      </c>
      <c r="F207" s="23" t="s">
        <v>750</v>
      </c>
      <c r="G207" s="23" t="s">
        <v>93</v>
      </c>
      <c r="H207" s="23" t="s">
        <v>556</v>
      </c>
      <c r="I207"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J207"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4282</v>
      </c>
      <c r="K207"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4914</v>
      </c>
      <c r="L207"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4514</v>
      </c>
      <c r="M207"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4450</v>
      </c>
    </row>
    <row r="208" spans="3:15" x14ac:dyDescent="0.25">
      <c r="C208" s="23" t="s">
        <v>551</v>
      </c>
      <c r="D208" s="23" t="s">
        <v>109</v>
      </c>
      <c r="E208" s="23" t="s">
        <v>259</v>
      </c>
      <c r="F208" s="23" t="s">
        <v>750</v>
      </c>
      <c r="G208" s="23" t="s">
        <v>93</v>
      </c>
      <c r="H208" s="23" t="s">
        <v>557</v>
      </c>
      <c r="I208"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156.52879999999999</v>
      </c>
      <c r="J208"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245.58080000000001</v>
      </c>
      <c r="K208"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296.74950000000001</v>
      </c>
      <c r="L208"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258.3775</v>
      </c>
      <c r="M208"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203.06389999999999</v>
      </c>
    </row>
    <row r="209" spans="3:13" x14ac:dyDescent="0.25">
      <c r="C209" s="23" t="s">
        <v>230</v>
      </c>
      <c r="D209" s="23" t="s">
        <v>109</v>
      </c>
      <c r="E209" s="23" t="s">
        <v>259</v>
      </c>
      <c r="F209" s="23" t="s">
        <v>750</v>
      </c>
      <c r="G209" s="23" t="s">
        <v>93</v>
      </c>
      <c r="H209" s="23" t="s">
        <v>557</v>
      </c>
      <c r="I209"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3181.08</v>
      </c>
      <c r="J209"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2647.96</v>
      </c>
      <c r="K209"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2792.02</v>
      </c>
      <c r="L209"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2836.12</v>
      </c>
      <c r="M209"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2775.36</v>
      </c>
    </row>
    <row r="210" spans="3:13" x14ac:dyDescent="0.25">
      <c r="C210" s="23" t="s">
        <v>609</v>
      </c>
      <c r="D210" s="23" t="s">
        <v>109</v>
      </c>
      <c r="E210" s="23" t="s">
        <v>259</v>
      </c>
      <c r="F210" s="23" t="s">
        <v>750</v>
      </c>
      <c r="G210" s="23" t="s">
        <v>93</v>
      </c>
      <c r="H210" s="23" t="s">
        <v>557</v>
      </c>
      <c r="I210"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1735.02</v>
      </c>
      <c r="J210"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1550.3999999999999</v>
      </c>
      <c r="K210"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1563.6599999999999</v>
      </c>
      <c r="L210"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1587.12</v>
      </c>
      <c r="M210"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1594.26</v>
      </c>
    </row>
    <row r="211" spans="3:13" x14ac:dyDescent="0.25">
      <c r="C211" s="23" t="s">
        <v>550</v>
      </c>
      <c r="D211" s="23" t="s">
        <v>109</v>
      </c>
      <c r="E211" s="23" t="s">
        <v>822</v>
      </c>
      <c r="F211" s="23" t="s">
        <v>750</v>
      </c>
      <c r="G211" s="23" t="s">
        <v>92</v>
      </c>
      <c r="H211" s="23" t="s">
        <v>556</v>
      </c>
      <c r="I211"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228.06</v>
      </c>
      <c r="J211"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217.6163</v>
      </c>
      <c r="K211"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207.9871</v>
      </c>
      <c r="L211"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243.60790000000003</v>
      </c>
      <c r="M211"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192.47539999999998</v>
      </c>
    </row>
    <row r="212" spans="3:13" x14ac:dyDescent="0.25">
      <c r="C212" s="23" t="s">
        <v>221</v>
      </c>
      <c r="D212" s="23" t="s">
        <v>109</v>
      </c>
      <c r="E212" s="23" t="s">
        <v>822</v>
      </c>
      <c r="F212" s="23" t="s">
        <v>750</v>
      </c>
      <c r="G212" s="23" t="s">
        <v>92</v>
      </c>
      <c r="H212" s="23" t="s">
        <v>556</v>
      </c>
      <c r="I212"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1059.6000000000001</v>
      </c>
      <c r="J212"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K212"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L212"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M212"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row>
    <row r="213" spans="3:13" x14ac:dyDescent="0.25">
      <c r="C213" s="23" t="s">
        <v>228</v>
      </c>
      <c r="D213" s="23" t="s">
        <v>109</v>
      </c>
      <c r="E213" s="23" t="s">
        <v>822</v>
      </c>
      <c r="F213" s="23" t="s">
        <v>750</v>
      </c>
      <c r="G213" s="23" t="s">
        <v>92</v>
      </c>
      <c r="H213" s="23" t="s">
        <v>556</v>
      </c>
      <c r="I213"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J213"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K213"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L213"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M213"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row>
    <row r="214" spans="3:13" x14ac:dyDescent="0.25">
      <c r="C214" s="23" t="s">
        <v>549</v>
      </c>
      <c r="D214" s="23" t="s">
        <v>109</v>
      </c>
      <c r="E214" s="23" t="s">
        <v>822</v>
      </c>
      <c r="F214" s="23" t="s">
        <v>750</v>
      </c>
      <c r="G214" s="23" t="s">
        <v>92</v>
      </c>
      <c r="H214" s="23" t="s">
        <v>556</v>
      </c>
      <c r="I214"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J214"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868.4</v>
      </c>
      <c r="K214"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922.8</v>
      </c>
      <c r="L214"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894</v>
      </c>
      <c r="M214"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896.80000000000007</v>
      </c>
    </row>
    <row r="215" spans="3:13" x14ac:dyDescent="0.25">
      <c r="C215" s="23" t="s">
        <v>551</v>
      </c>
      <c r="D215" s="23" t="s">
        <v>109</v>
      </c>
      <c r="E215" s="23" t="s">
        <v>822</v>
      </c>
      <c r="F215" s="23" t="s">
        <v>750</v>
      </c>
      <c r="G215" s="23" t="s">
        <v>92</v>
      </c>
      <c r="H215" s="23" t="s">
        <v>557</v>
      </c>
      <c r="I215"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209.72470000000001</v>
      </c>
      <c r="J215"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216.25880000000001</v>
      </c>
      <c r="K215"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190.19479999999999</v>
      </c>
      <c r="L215"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240.74810000000002</v>
      </c>
      <c r="M215"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191.0093</v>
      </c>
    </row>
    <row r="216" spans="3:13" x14ac:dyDescent="0.25">
      <c r="C216" s="23" t="s">
        <v>230</v>
      </c>
      <c r="D216" s="23" t="s">
        <v>109</v>
      </c>
      <c r="E216" s="23" t="s">
        <v>822</v>
      </c>
      <c r="F216" s="23" t="s">
        <v>750</v>
      </c>
      <c r="G216" s="23" t="s">
        <v>92</v>
      </c>
      <c r="H216" s="23" t="s">
        <v>557</v>
      </c>
      <c r="I216"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494.47199999999998</v>
      </c>
      <c r="J216"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408.012</v>
      </c>
      <c r="K216"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378.84</v>
      </c>
      <c r="L216"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413.82</v>
      </c>
      <c r="M216"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416.06399999999996</v>
      </c>
    </row>
    <row r="217" spans="3:13" x14ac:dyDescent="0.25">
      <c r="C217" s="23" t="s">
        <v>609</v>
      </c>
      <c r="D217" s="23" t="s">
        <v>109</v>
      </c>
      <c r="E217" s="23" t="s">
        <v>822</v>
      </c>
      <c r="F217" s="23" t="s">
        <v>750</v>
      </c>
      <c r="G217" s="23" t="s">
        <v>92</v>
      </c>
      <c r="H217" s="23" t="s">
        <v>557</v>
      </c>
      <c r="I217"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487.76</v>
      </c>
      <c r="J217"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454.52800000000002</v>
      </c>
      <c r="K217"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468.99999999999994</v>
      </c>
      <c r="L217"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467.928</v>
      </c>
      <c r="M217"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474.62800000000004</v>
      </c>
    </row>
    <row r="218" spans="3:13" x14ac:dyDescent="0.25">
      <c r="C218" s="23" t="s">
        <v>287</v>
      </c>
      <c r="D218" s="23" t="s">
        <v>109</v>
      </c>
      <c r="E218" s="23" t="s">
        <v>822</v>
      </c>
      <c r="F218" s="23" t="s">
        <v>750</v>
      </c>
      <c r="G218" s="23" t="s">
        <v>92</v>
      </c>
      <c r="H218" s="23" t="s">
        <v>697</v>
      </c>
      <c r="I218"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366.8</v>
      </c>
      <c r="J218"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308.40000000000003</v>
      </c>
      <c r="K218"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351.2</v>
      </c>
      <c r="L218"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315.59999999999997</v>
      </c>
      <c r="M218"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318</v>
      </c>
    </row>
    <row r="219" spans="3:13" x14ac:dyDescent="0.25">
      <c r="C219" s="23" t="s">
        <v>550</v>
      </c>
      <c r="D219" s="23" t="s">
        <v>109</v>
      </c>
      <c r="E219" s="23" t="s">
        <v>822</v>
      </c>
      <c r="F219" s="23" t="s">
        <v>750</v>
      </c>
      <c r="G219" s="23" t="s">
        <v>93</v>
      </c>
      <c r="H219" s="23" t="s">
        <v>556</v>
      </c>
      <c r="I219"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241.74359999999999</v>
      </c>
      <c r="J219"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251.15559999999999</v>
      </c>
      <c r="K219"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250.64879999999999</v>
      </c>
      <c r="L219"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264.49529999999999</v>
      </c>
      <c r="M219"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208.53009999999998</v>
      </c>
    </row>
    <row r="220" spans="3:13" x14ac:dyDescent="0.25">
      <c r="C220" s="23" t="s">
        <v>221</v>
      </c>
      <c r="D220" s="23" t="s">
        <v>109</v>
      </c>
      <c r="E220" s="23" t="s">
        <v>822</v>
      </c>
      <c r="F220" s="23" t="s">
        <v>750</v>
      </c>
      <c r="G220" s="23" t="s">
        <v>93</v>
      </c>
      <c r="H220" s="23" t="s">
        <v>556</v>
      </c>
      <c r="I220"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1230.528</v>
      </c>
      <c r="J220"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K220"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L220"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M220"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row>
    <row r="221" spans="3:13" x14ac:dyDescent="0.25">
      <c r="C221" s="23" t="s">
        <v>228</v>
      </c>
      <c r="D221" s="23" t="s">
        <v>109</v>
      </c>
      <c r="E221" s="23" t="s">
        <v>822</v>
      </c>
      <c r="F221" s="23" t="s">
        <v>750</v>
      </c>
      <c r="G221" s="23" t="s">
        <v>93</v>
      </c>
      <c r="H221" s="23" t="s">
        <v>556</v>
      </c>
      <c r="I221"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5309.3200000000006</v>
      </c>
      <c r="J221"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K221"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L221"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M221"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row>
    <row r="222" spans="3:13" x14ac:dyDescent="0.25">
      <c r="C222" s="23" t="s">
        <v>549</v>
      </c>
      <c r="D222" s="23" t="s">
        <v>109</v>
      </c>
      <c r="E222" s="23" t="s">
        <v>822</v>
      </c>
      <c r="F222" s="23" t="s">
        <v>750</v>
      </c>
      <c r="G222" s="23" t="s">
        <v>93</v>
      </c>
      <c r="H222" s="23" t="s">
        <v>556</v>
      </c>
      <c r="I222"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0</v>
      </c>
      <c r="J222"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4282</v>
      </c>
      <c r="K222"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4914</v>
      </c>
      <c r="L222"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4514</v>
      </c>
      <c r="M222"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4450</v>
      </c>
    </row>
    <row r="223" spans="3:13" x14ac:dyDescent="0.25">
      <c r="C223" s="23" t="s">
        <v>551</v>
      </c>
      <c r="D223" s="23" t="s">
        <v>109</v>
      </c>
      <c r="E223" s="23" t="s">
        <v>822</v>
      </c>
      <c r="F223" s="23" t="s">
        <v>750</v>
      </c>
      <c r="G223" s="23" t="s">
        <v>93</v>
      </c>
      <c r="H223" s="23" t="s">
        <v>557</v>
      </c>
      <c r="I223"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156.52879999999999</v>
      </c>
      <c r="J223"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245.58080000000001</v>
      </c>
      <c r="K223"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296.74950000000001</v>
      </c>
      <c r="L223"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258.3775</v>
      </c>
      <c r="M223"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203.06389999999999</v>
      </c>
    </row>
    <row r="224" spans="3:13" x14ac:dyDescent="0.25">
      <c r="C224" s="23" t="s">
        <v>230</v>
      </c>
      <c r="D224" s="23" t="s">
        <v>109</v>
      </c>
      <c r="E224" s="23" t="s">
        <v>822</v>
      </c>
      <c r="F224" s="23" t="s">
        <v>750</v>
      </c>
      <c r="G224" s="23" t="s">
        <v>93</v>
      </c>
      <c r="H224" s="23" t="s">
        <v>557</v>
      </c>
      <c r="I224"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3181.08</v>
      </c>
      <c r="J224"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2647.96</v>
      </c>
      <c r="K224"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2792.02</v>
      </c>
      <c r="L224"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2836.12</v>
      </c>
      <c r="M224"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2775.36</v>
      </c>
    </row>
    <row r="225" spans="3:13" x14ac:dyDescent="0.25">
      <c r="C225" s="44" t="s">
        <v>609</v>
      </c>
      <c r="D225" s="23" t="s">
        <v>109</v>
      </c>
      <c r="E225" s="23" t="s">
        <v>822</v>
      </c>
      <c r="F225" s="23" t="s">
        <v>750</v>
      </c>
      <c r="G225" s="44" t="s">
        <v>93</v>
      </c>
      <c r="H225" s="44" t="s">
        <v>557</v>
      </c>
      <c r="I225" s="260">
        <f>SUMIFS(INDEX(CH_BITariff4232[[Ausnet]:[United Energy]],0,MATCH(I$195,CH_BITariff4232[[#Headers],[Ausnet]:[United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1735.02</v>
      </c>
      <c r="J225" s="260">
        <f>SUMIFS(INDEX(CH_BITariff4232[[Ausnet]:[United Energy]],0,MATCH(J$195,CH_BITariff4232[[#Headers],[Ausnet]:[United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1550.3999999999999</v>
      </c>
      <c r="K225" s="260">
        <f>SUMIFS(INDEX(CH_BITariff4232[[Ausnet]:[United Energy]],0,MATCH(K$195,CH_BITariff4232[[#Headers],[Ausnet]:[United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1563.6599999999999</v>
      </c>
      <c r="L225" s="260">
        <f>SUMIFS(INDEX(CH_BITariff4232[[Ausnet]:[United Energy]],0,MATCH(L$195,CH_BITariff4232[[#Headers],[Ausnet]:[United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1587.12</v>
      </c>
      <c r="M225" s="260">
        <f>SUMIFS(INDEX(CH_BITariff4232[[Ausnet]:[United Energy]],0,MATCH(M$195,CH_BITariff4232[[#Headers],[Ausnet]:[United Energy]],0)),
CH_BITariff4232[Rate name],CH_BITariff1314341[[#This Row],[Rate name]],CH_BITariff4232[Decision],CH_BITariff1314341[[#This Row],[Decision]],CH_BITariff4232[Customer type],CH_BITariff1314341[[#This Row],[Customer type]])*
SUMIFS(CH_BITariff4232[Usage value],CH_BITariff4232[Rate name],CH_BITariff1314341[[#This Row],[Rate name]],CH_BITariff4232[Decision],CH_BITariff1314341[[#This Row],[Decision]],CH_BITariff4232[Customer type],CH_BITariff1314341[[#This Row],[Customer type]])</f>
        <v>1594.26</v>
      </c>
    </row>
  </sheetData>
  <sheetProtection algorithmName="SHA-512" hashValue="6wHARpTecqwDShjkk6Jdfhw9y1qQGsl307HcSWRI7I1VzQiwM9Q/vPX3LQ1NrqCOtHhAIy3RwsKaPwfa6QXpFw==" saltValue="SRRTjlJflx/TX6JK4QKDDQ==" spinCount="100000" sheet="1" objects="1" scenarios="1"/>
  <mergeCells count="11">
    <mergeCell ref="X138:Z138"/>
    <mergeCell ref="D152:G152"/>
    <mergeCell ref="H152:K152"/>
    <mergeCell ref="L152:O152"/>
    <mergeCell ref="P152:S152"/>
    <mergeCell ref="T138:V138"/>
    <mergeCell ref="A2:A3"/>
    <mergeCell ref="D138:F138"/>
    <mergeCell ref="H138:J138"/>
    <mergeCell ref="L138:N138"/>
    <mergeCell ref="P138:R138"/>
  </mergeCells>
  <dataValidations count="1">
    <dataValidation type="list" allowBlank="1" showInputMessage="1" showErrorMessage="1" sqref="D44:D60" xr:uid="{A1B47938-F4F2-4918-88CC-CD155CB19551}">
      <formula1>"Yes,No"</formula1>
    </dataValidation>
  </dataValidations>
  <pageMargins left="0.7" right="0.7" top="0.75" bottom="0.75" header="0.3" footer="0.3"/>
  <pageSetup paperSize="9" orientation="portrait" r:id="rId1"/>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59B9C-54D8-4CA7-9EA5-3139E3BA5210}">
  <sheetPr codeName="Sheet14">
    <tabColor rgb="FF7F7F7F"/>
  </sheetPr>
  <dimension ref="A1:Z112"/>
  <sheetViews>
    <sheetView showGridLines="0" topLeftCell="B1" zoomScale="85" zoomScaleNormal="85" workbookViewId="0">
      <pane ySplit="3" topLeftCell="A4" activePane="bottomLeft" state="frozen"/>
      <selection pane="bottomLeft" activeCell="C4" sqref="C4"/>
    </sheetView>
  </sheetViews>
  <sheetFormatPr defaultColWidth="9.42578125" defaultRowHeight="15" outlineLevelCol="1" x14ac:dyDescent="0.25"/>
  <cols>
    <col min="1" max="1" width="100.5703125" hidden="1" customWidth="1" outlineLevel="1"/>
    <col min="2" max="2" width="10.5703125" style="6" customWidth="1" collapsed="1"/>
    <col min="3" max="3" width="50.5703125" customWidth="1"/>
    <col min="4" max="26" width="25.5703125" customWidth="1"/>
  </cols>
  <sheetData>
    <row r="1" spans="1:26" ht="15" customHeight="1" x14ac:dyDescent="0.25">
      <c r="A1" s="1" t="s">
        <v>20</v>
      </c>
      <c r="B1" s="21"/>
      <c r="C1" s="22"/>
      <c r="D1" s="22"/>
      <c r="E1" s="22"/>
      <c r="F1" s="22"/>
      <c r="G1" s="22"/>
      <c r="H1" s="22"/>
      <c r="I1" s="22"/>
      <c r="J1" s="22"/>
      <c r="K1" s="22"/>
      <c r="L1" s="22"/>
      <c r="M1" s="22"/>
      <c r="N1" s="22"/>
      <c r="O1" s="22"/>
      <c r="P1" s="22"/>
      <c r="Q1" s="22"/>
      <c r="R1" s="22"/>
      <c r="S1" s="22"/>
      <c r="T1" s="22"/>
      <c r="U1" s="22"/>
      <c r="V1" s="22"/>
      <c r="W1" s="22"/>
      <c r="X1" s="22"/>
      <c r="Y1" s="22"/>
      <c r="Z1" s="22"/>
    </row>
    <row r="2" spans="1:26" s="4" customFormat="1" ht="50.1" customHeight="1" x14ac:dyDescent="0.25">
      <c r="A2" s="382" t="s">
        <v>21</v>
      </c>
      <c r="B2" s="25"/>
      <c r="C2" s="25" t="str">
        <f>Disclaimer!$B$1</f>
        <v>VDO calculation model</v>
      </c>
      <c r="D2" s="25"/>
      <c r="E2" s="25"/>
      <c r="F2" s="25"/>
      <c r="G2" s="25"/>
      <c r="H2" s="25"/>
      <c r="I2" s="25"/>
      <c r="J2" s="25"/>
      <c r="K2" s="25"/>
      <c r="L2" s="25"/>
      <c r="M2" s="25"/>
      <c r="N2" s="25"/>
      <c r="O2" s="25"/>
      <c r="P2" s="25"/>
      <c r="Q2" s="25"/>
      <c r="R2" s="25"/>
      <c r="S2" s="25"/>
      <c r="T2" s="25"/>
      <c r="U2" s="25"/>
      <c r="V2" s="25"/>
      <c r="W2" s="25"/>
      <c r="X2" s="25"/>
      <c r="Y2" s="25"/>
      <c r="Z2" s="25"/>
    </row>
    <row r="3" spans="1:26" s="4" customFormat="1" ht="30" customHeight="1" x14ac:dyDescent="0.25">
      <c r="A3" s="382"/>
      <c r="B3" s="27">
        <f ca="1">_xlfn.SHEET()</f>
        <v>3</v>
      </c>
      <c r="C3" s="26" t="s">
        <v>22</v>
      </c>
      <c r="D3" s="26"/>
      <c r="E3" s="26"/>
      <c r="F3" s="26"/>
      <c r="G3" s="26"/>
      <c r="H3" s="26"/>
      <c r="I3" s="26"/>
      <c r="J3" s="26"/>
      <c r="K3" s="26"/>
      <c r="L3" s="26"/>
      <c r="M3" s="26"/>
      <c r="N3" s="26"/>
      <c r="O3" s="26"/>
      <c r="P3" s="26"/>
      <c r="Q3" s="26"/>
      <c r="R3" s="26"/>
      <c r="S3" s="26"/>
      <c r="T3" s="26"/>
      <c r="U3" s="26"/>
      <c r="V3" s="26"/>
      <c r="W3" s="26"/>
      <c r="X3" s="26"/>
      <c r="Y3" s="26"/>
      <c r="Z3" s="26"/>
    </row>
    <row r="4" spans="1:26" x14ac:dyDescent="0.25">
      <c r="B4"/>
    </row>
    <row r="5" spans="1:26" ht="16.5" thickBot="1" x14ac:dyDescent="0.3">
      <c r="A5" s="1" t="s">
        <v>23</v>
      </c>
      <c r="B5" s="9">
        <f ca="1">MAX(B$3:B4)+0.1</f>
        <v>3.1</v>
      </c>
      <c r="C5" s="28" t="s">
        <v>24</v>
      </c>
      <c r="D5" s="28"/>
      <c r="E5" s="28"/>
      <c r="F5" s="28"/>
      <c r="G5" s="28"/>
      <c r="H5" s="28"/>
      <c r="I5" s="28"/>
      <c r="J5" s="28"/>
      <c r="K5" s="28"/>
      <c r="L5" s="28"/>
      <c r="M5" s="28"/>
      <c r="N5" s="28"/>
      <c r="O5" s="28"/>
      <c r="P5" s="28"/>
      <c r="Q5" s="28"/>
      <c r="R5" s="28"/>
      <c r="S5" s="28"/>
      <c r="T5" s="28"/>
      <c r="U5" s="28"/>
      <c r="V5" s="28"/>
      <c r="W5" s="28"/>
      <c r="X5" s="28"/>
      <c r="Y5" s="28"/>
      <c r="Z5" s="28"/>
    </row>
    <row r="6" spans="1:26" x14ac:dyDescent="0.25">
      <c r="B6"/>
    </row>
    <row r="7" spans="1:26" x14ac:dyDescent="0.25">
      <c r="B7"/>
    </row>
    <row r="8" spans="1:26" x14ac:dyDescent="0.25">
      <c r="B8"/>
    </row>
    <row r="9" spans="1:26" x14ac:dyDescent="0.25">
      <c r="B9"/>
    </row>
    <row r="10" spans="1:26" x14ac:dyDescent="0.25">
      <c r="B10"/>
    </row>
    <row r="11" spans="1:26" x14ac:dyDescent="0.25">
      <c r="B11"/>
    </row>
    <row r="12" spans="1:26" x14ac:dyDescent="0.25">
      <c r="B12"/>
    </row>
    <row r="13" spans="1:26" x14ac:dyDescent="0.25">
      <c r="B13"/>
    </row>
    <row r="14" spans="1:26" x14ac:dyDescent="0.25">
      <c r="B14"/>
    </row>
    <row r="15" spans="1:26" x14ac:dyDescent="0.25">
      <c r="B15"/>
    </row>
    <row r="16" spans="1:26" x14ac:dyDescent="0.25">
      <c r="B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B33"/>
    </row>
    <row r="34" spans="1:26" x14ac:dyDescent="0.25">
      <c r="B34"/>
    </row>
    <row r="35" spans="1:26" x14ac:dyDescent="0.25">
      <c r="B35"/>
    </row>
    <row r="36" spans="1:26" x14ac:dyDescent="0.25">
      <c r="B36"/>
    </row>
    <row r="37" spans="1:26" x14ac:dyDescent="0.25">
      <c r="B37"/>
    </row>
    <row r="38" spans="1:26" x14ac:dyDescent="0.25">
      <c r="B38"/>
    </row>
    <row r="39" spans="1:26" ht="16.5" thickBot="1" x14ac:dyDescent="0.3">
      <c r="A39" s="1" t="s">
        <v>23</v>
      </c>
      <c r="B39" s="9">
        <f ca="1">MAX(B$3:B38)+0.1</f>
        <v>3.2</v>
      </c>
      <c r="C39" s="28" t="s">
        <v>25</v>
      </c>
      <c r="D39" s="28"/>
      <c r="E39" s="28"/>
      <c r="F39" s="28"/>
      <c r="G39" s="28"/>
      <c r="H39" s="28"/>
      <c r="I39" s="28"/>
      <c r="J39" s="28"/>
      <c r="K39" s="28"/>
      <c r="L39" s="28"/>
      <c r="M39" s="28"/>
      <c r="N39" s="28"/>
      <c r="O39" s="28"/>
      <c r="P39" s="28"/>
      <c r="Q39" s="28"/>
      <c r="R39" s="28"/>
      <c r="S39" s="28"/>
      <c r="T39" s="28"/>
      <c r="U39" s="28"/>
      <c r="V39" s="28"/>
      <c r="W39" s="28"/>
      <c r="X39" s="28"/>
      <c r="Y39" s="28"/>
      <c r="Z39" s="28"/>
    </row>
    <row r="40" spans="1:26" x14ac:dyDescent="0.25">
      <c r="B40"/>
    </row>
    <row r="41" spans="1:26" x14ac:dyDescent="0.25">
      <c r="B41"/>
    </row>
    <row r="42" spans="1:26" ht="15.75" x14ac:dyDescent="0.25">
      <c r="B42"/>
      <c r="C42" s="29" t="s">
        <v>772</v>
      </c>
    </row>
    <row r="43" spans="1:26" x14ac:dyDescent="0.25">
      <c r="B43"/>
    </row>
    <row r="44" spans="1:26" x14ac:dyDescent="0.25">
      <c r="B44"/>
    </row>
    <row r="45" spans="1:26" x14ac:dyDescent="0.25">
      <c r="B45"/>
    </row>
    <row r="46" spans="1:26" x14ac:dyDescent="0.25">
      <c r="B46"/>
    </row>
    <row r="47" spans="1:26" x14ac:dyDescent="0.25">
      <c r="B47"/>
    </row>
    <row r="48" spans="1:26" x14ac:dyDescent="0.25">
      <c r="B48"/>
    </row>
    <row r="49" spans="2:3" x14ac:dyDescent="0.25">
      <c r="B49"/>
    </row>
    <row r="50" spans="2:3" x14ac:dyDescent="0.25">
      <c r="B50"/>
    </row>
    <row r="51" spans="2:3" x14ac:dyDescent="0.25">
      <c r="B51"/>
    </row>
    <row r="52" spans="2:3" x14ac:dyDescent="0.25">
      <c r="B52"/>
    </row>
    <row r="53" spans="2:3" x14ac:dyDescent="0.25">
      <c r="B53"/>
    </row>
    <row r="54" spans="2:3" x14ac:dyDescent="0.25">
      <c r="B54"/>
    </row>
    <row r="55" spans="2:3" x14ac:dyDescent="0.25">
      <c r="B55"/>
    </row>
    <row r="56" spans="2:3" x14ac:dyDescent="0.25">
      <c r="B56"/>
    </row>
    <row r="57" spans="2:3" x14ac:dyDescent="0.25">
      <c r="B57"/>
    </row>
    <row r="58" spans="2:3" x14ac:dyDescent="0.25">
      <c r="B58"/>
    </row>
    <row r="59" spans="2:3" x14ac:dyDescent="0.25">
      <c r="B59"/>
    </row>
    <row r="60" spans="2:3" x14ac:dyDescent="0.25">
      <c r="B60"/>
    </row>
    <row r="61" spans="2:3" ht="15.75" x14ac:dyDescent="0.25">
      <c r="B61"/>
      <c r="C61" s="29" t="s">
        <v>774</v>
      </c>
    </row>
    <row r="62" spans="2:3" x14ac:dyDescent="0.25">
      <c r="B62"/>
    </row>
    <row r="63" spans="2:3" x14ac:dyDescent="0.25">
      <c r="B63"/>
    </row>
    <row r="64" spans="2:3" x14ac:dyDescent="0.25">
      <c r="B64"/>
    </row>
    <row r="65" spans="2:2" x14ac:dyDescent="0.25">
      <c r="B65"/>
    </row>
    <row r="66" spans="2:2" x14ac:dyDescent="0.25">
      <c r="B66"/>
    </row>
    <row r="67" spans="2:2" x14ac:dyDescent="0.25">
      <c r="B67"/>
    </row>
    <row r="68" spans="2:2" x14ac:dyDescent="0.25">
      <c r="B68"/>
    </row>
    <row r="69" spans="2:2" x14ac:dyDescent="0.25">
      <c r="B69"/>
    </row>
    <row r="70" spans="2:2" x14ac:dyDescent="0.25">
      <c r="B70"/>
    </row>
    <row r="71" spans="2:2" x14ac:dyDescent="0.25">
      <c r="B71"/>
    </row>
    <row r="72" spans="2:2" x14ac:dyDescent="0.25">
      <c r="B72"/>
    </row>
    <row r="73" spans="2:2" x14ac:dyDescent="0.25">
      <c r="B73"/>
    </row>
    <row r="74" spans="2:2" x14ac:dyDescent="0.25">
      <c r="B74"/>
    </row>
    <row r="75" spans="2:2" x14ac:dyDescent="0.25">
      <c r="B75"/>
    </row>
    <row r="76" spans="2:2" x14ac:dyDescent="0.25">
      <c r="B76"/>
    </row>
    <row r="77" spans="2:2" x14ac:dyDescent="0.25">
      <c r="B77"/>
    </row>
    <row r="78" spans="2:2" x14ac:dyDescent="0.25">
      <c r="B78"/>
    </row>
    <row r="79" spans="2:2" x14ac:dyDescent="0.25">
      <c r="B79"/>
    </row>
    <row r="80" spans="2:2" x14ac:dyDescent="0.25">
      <c r="B80"/>
    </row>
    <row r="81" spans="2:3" x14ac:dyDescent="0.25">
      <c r="B81"/>
    </row>
    <row r="82" spans="2:3" x14ac:dyDescent="0.25">
      <c r="B82"/>
    </row>
    <row r="83" spans="2:3" x14ac:dyDescent="0.25">
      <c r="B83"/>
    </row>
    <row r="84" spans="2:3" x14ac:dyDescent="0.25">
      <c r="B84"/>
    </row>
    <row r="85" spans="2:3" x14ac:dyDescent="0.25">
      <c r="B85"/>
    </row>
    <row r="86" spans="2:3" x14ac:dyDescent="0.25">
      <c r="B86"/>
    </row>
    <row r="87" spans="2:3" x14ac:dyDescent="0.25">
      <c r="B87"/>
    </row>
    <row r="88" spans="2:3" x14ac:dyDescent="0.25">
      <c r="B88"/>
    </row>
    <row r="89" spans="2:3" x14ac:dyDescent="0.25">
      <c r="B89"/>
    </row>
    <row r="90" spans="2:3" x14ac:dyDescent="0.25">
      <c r="B90"/>
    </row>
    <row r="91" spans="2:3" x14ac:dyDescent="0.25">
      <c r="B91"/>
    </row>
    <row r="92" spans="2:3" x14ac:dyDescent="0.25">
      <c r="B92"/>
    </row>
    <row r="93" spans="2:3" x14ac:dyDescent="0.25">
      <c r="B93"/>
    </row>
    <row r="94" spans="2:3" x14ac:dyDescent="0.25">
      <c r="B94"/>
    </row>
    <row r="95" spans="2:3" x14ac:dyDescent="0.25">
      <c r="B95"/>
    </row>
    <row r="96" spans="2:3" ht="15.75" x14ac:dyDescent="0.25">
      <c r="B96"/>
      <c r="C96" s="29" t="s">
        <v>773</v>
      </c>
    </row>
    <row r="97" spans="1:26" ht="15.75" x14ac:dyDescent="0.25">
      <c r="B97"/>
      <c r="C97" s="29"/>
    </row>
    <row r="98" spans="1:26" x14ac:dyDescent="0.25">
      <c r="B98"/>
    </row>
    <row r="99" spans="1:26" x14ac:dyDescent="0.25">
      <c r="B99"/>
    </row>
    <row r="100" spans="1:26" x14ac:dyDescent="0.25">
      <c r="B100"/>
    </row>
    <row r="101" spans="1:26" x14ac:dyDescent="0.25">
      <c r="B101"/>
    </row>
    <row r="102" spans="1:26" x14ac:dyDescent="0.25">
      <c r="B102"/>
    </row>
    <row r="103" spans="1:26" x14ac:dyDescent="0.25">
      <c r="B103"/>
    </row>
    <row r="104" spans="1:26" x14ac:dyDescent="0.25">
      <c r="B104"/>
    </row>
    <row r="105" spans="1:26" x14ac:dyDescent="0.25">
      <c r="B105"/>
    </row>
    <row r="106" spans="1:26" ht="16.5" thickBot="1" x14ac:dyDescent="0.3">
      <c r="A106" s="1" t="s">
        <v>23</v>
      </c>
      <c r="B106" s="9">
        <f ca="1">MAX(B$3:B86)+0.1</f>
        <v>3.3000000000000003</v>
      </c>
      <c r="C106" s="28" t="s">
        <v>26</v>
      </c>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8" spans="1:26" ht="25.35" customHeight="1" x14ac:dyDescent="0.25">
      <c r="C108" s="89" t="s">
        <v>12</v>
      </c>
    </row>
    <row r="109" spans="1:26" ht="25.35" customHeight="1" x14ac:dyDescent="0.25">
      <c r="C109" s="91" t="s">
        <v>28</v>
      </c>
    </row>
    <row r="110" spans="1:26" ht="25.35" customHeight="1" x14ac:dyDescent="0.25">
      <c r="C110" s="90" t="s">
        <v>27</v>
      </c>
    </row>
    <row r="111" spans="1:26" ht="25.35" customHeight="1" x14ac:dyDescent="0.25">
      <c r="C111" s="88" t="s">
        <v>893</v>
      </c>
    </row>
    <row r="112" spans="1:26" ht="25.35" customHeight="1" x14ac:dyDescent="0.25">
      <c r="C112" s="92" t="s">
        <v>29</v>
      </c>
    </row>
  </sheetData>
  <sheetProtection algorithmName="SHA-512" hashValue="h6l10TiZ1T/hanJ3JY7OYVp97/nJ8W0tUhwwKZjzPugs0IpO2oYsTgrcLNYNXnXfpLiRJcOwIgy+1lNcxZ4C0Q==" saltValue="DonkKBgtdGWbd+gGfW7t1Q==" spinCount="100000" sheet="1" objects="1" scenarios="1"/>
  <mergeCells count="1">
    <mergeCell ref="A2:A3"/>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3CCAA-0D9D-4DE5-B09D-EC83EBF7C12D}">
  <sheetPr>
    <tabColor rgb="FFFFB13F"/>
  </sheetPr>
  <dimension ref="A1:AZ158"/>
  <sheetViews>
    <sheetView showGridLines="0" zoomScale="85" zoomScaleNormal="85" workbookViewId="0">
      <pane ySplit="3" topLeftCell="A4" activePane="bottomLeft" state="frozen"/>
      <selection activeCell="K40" sqref="K40"/>
      <selection pane="bottomLeft" activeCell="F9" sqref="F9"/>
    </sheetView>
  </sheetViews>
  <sheetFormatPr defaultColWidth="10.5703125" defaultRowHeight="15" outlineLevelCol="1" x14ac:dyDescent="0.25"/>
  <cols>
    <col min="1" max="1" width="100.5703125" hidden="1" customWidth="1" outlineLevel="1"/>
    <col min="2" max="2" width="10.5703125" style="6" customWidth="1" collapsed="1"/>
    <col min="3" max="3" width="42.42578125" bestFit="1" customWidth="1"/>
    <col min="4" max="4" width="16.42578125" customWidth="1"/>
    <col min="5" max="5" width="10.5703125" customWidth="1"/>
    <col min="6" max="6" width="13.5703125" customWidth="1"/>
    <col min="7" max="14" width="10.5703125" customWidth="1"/>
    <col min="15" max="15" width="12.5703125" customWidth="1"/>
    <col min="16" max="52" width="10.5703125" customWidth="1"/>
  </cols>
  <sheetData>
    <row r="1" spans="1:52" ht="15" hidden="1" customHeight="1" x14ac:dyDescent="0.25">
      <c r="A1" s="1" t="s">
        <v>20</v>
      </c>
      <c r="B1" s="21"/>
      <c r="C1" s="22"/>
      <c r="D1" s="22"/>
      <c r="E1" s="22"/>
      <c r="F1" s="123" t="s">
        <v>411</v>
      </c>
      <c r="G1" s="96"/>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row>
    <row r="2" spans="1:52" s="4" customFormat="1" ht="50.1" hidden="1" customHeight="1" x14ac:dyDescent="0.25">
      <c r="A2" s="382" t="s">
        <v>21</v>
      </c>
      <c r="B2" s="25"/>
      <c r="C2" s="25" t="str">
        <f>Disclaimer!$B$1</f>
        <v>VDO calculation model</v>
      </c>
      <c r="D2" s="25"/>
      <c r="E2" s="25"/>
      <c r="F2" s="172" t="str">
        <f>Calc_Rates!$D$5</f>
        <v>VDO 2022-23 - Draft</v>
      </c>
      <c r="G2" s="172" t="str">
        <f>Calc_Rates!$D$254</f>
        <v>VDO 2022 - Final</v>
      </c>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row>
    <row r="3" spans="1:52" s="4" customFormat="1" ht="30" hidden="1" customHeight="1" x14ac:dyDescent="0.25">
      <c r="A3" s="383"/>
      <c r="B3" s="27">
        <f ca="1">_xlfn.SHEET()</f>
        <v>30</v>
      </c>
      <c r="C3" s="26" t="s">
        <v>441</v>
      </c>
      <c r="D3" s="26"/>
      <c r="E3" s="26"/>
      <c r="F3" s="95" t="e">
        <f>SUM(#REF!,#REF!)</f>
        <v>#REF!</v>
      </c>
      <c r="G3" s="95" t="e">
        <f>SUM(#REF!,#REF!,#REF!,#REF!,#REF!,#REF!)</f>
        <v>#REF!</v>
      </c>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x14ac:dyDescent="0.25">
      <c r="B4"/>
    </row>
    <row r="5" spans="1:52" ht="16.5" thickBot="1" x14ac:dyDescent="0.3">
      <c r="A5" s="1" t="s">
        <v>23</v>
      </c>
      <c r="B5" s="9">
        <f ca="1">MAX(B$3:B4)+0.1</f>
        <v>30.1</v>
      </c>
      <c r="C5" s="28" t="s">
        <v>441</v>
      </c>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row>
    <row r="7" spans="1:52" ht="15.75" x14ac:dyDescent="0.25">
      <c r="C7" s="29" t="s">
        <v>410</v>
      </c>
    </row>
    <row r="8" spans="1:52" ht="15.75" x14ac:dyDescent="0.25">
      <c r="C8" s="271" t="s">
        <v>698</v>
      </c>
      <c r="D8" s="271" t="s">
        <v>91</v>
      </c>
      <c r="E8" s="271" t="s">
        <v>454</v>
      </c>
      <c r="F8" s="50" t="s">
        <v>268</v>
      </c>
      <c r="G8" s="271" t="s">
        <v>269</v>
      </c>
      <c r="H8" s="271" t="s">
        <v>270</v>
      </c>
      <c r="I8" s="271" t="s">
        <v>271</v>
      </c>
      <c r="J8" s="271" t="s">
        <v>272</v>
      </c>
      <c r="K8" s="271" t="s">
        <v>447</v>
      </c>
      <c r="M8" s="42" t="s">
        <v>455</v>
      </c>
      <c r="N8" s="42" t="s">
        <v>456</v>
      </c>
      <c r="O8" s="42" t="s">
        <v>457</v>
      </c>
    </row>
    <row r="9" spans="1:52" x14ac:dyDescent="0.25">
      <c r="C9" t="s">
        <v>689</v>
      </c>
      <c r="D9" t="s">
        <v>92</v>
      </c>
      <c r="E9" t="s">
        <v>556</v>
      </c>
      <c r="F9" s="261">
        <f>'CH_Bill impact annual'!F9/MiY</f>
        <v>107.33333333333333</v>
      </c>
      <c r="G9" s="261">
        <f>'CH_Bill impact annual'!G9/MiY</f>
        <v>90.583333333333329</v>
      </c>
      <c r="H9" s="261">
        <f>'CH_Bill impact annual'!H9/MiY</f>
        <v>94.25</v>
      </c>
      <c r="I9" s="261">
        <f>'CH_Bill impact annual'!I9/MiY</f>
        <v>94.833333333333329</v>
      </c>
      <c r="J9" s="261">
        <f>'CH_Bill impact annual'!J9/MiY</f>
        <v>90.833333333333329</v>
      </c>
      <c r="K9" s="261">
        <f>'CH_Bill impact annual'!K9/MiY</f>
        <v>95.566666666666663</v>
      </c>
      <c r="M9" s="261">
        <f>MIN($F9:$J9)</f>
        <v>90.583333333333329</v>
      </c>
      <c r="N9" s="261">
        <f>MAX($F9:$J9)</f>
        <v>107.33333333333333</v>
      </c>
      <c r="O9" s="261">
        <f>N9-M9</f>
        <v>16.75</v>
      </c>
    </row>
    <row r="10" spans="1:52" x14ac:dyDescent="0.25">
      <c r="C10" t="s">
        <v>690</v>
      </c>
      <c r="D10" t="s">
        <v>93</v>
      </c>
      <c r="E10" t="s">
        <v>556</v>
      </c>
      <c r="F10" s="261">
        <f>'CH_Bill impact annual'!F10/MiY</f>
        <v>565.16666666666663</v>
      </c>
      <c r="G10" s="261">
        <f>'CH_Bill impact annual'!G10/MiY</f>
        <v>377.83333333333331</v>
      </c>
      <c r="H10" s="261">
        <f>'CH_Bill impact annual'!H10/MiY</f>
        <v>430.41666666666669</v>
      </c>
      <c r="I10" s="261">
        <f>'CH_Bill impact annual'!I10/MiY</f>
        <v>398.25</v>
      </c>
      <c r="J10" s="261">
        <f>'CH_Bill impact annual'!J10/MiY</f>
        <v>388.25</v>
      </c>
      <c r="K10" s="261">
        <f>'CH_Bill impact annual'!K10/MiY</f>
        <v>431.98333333333335</v>
      </c>
      <c r="M10" s="261">
        <f>MIN($F10:$J10)</f>
        <v>377.83333333333331</v>
      </c>
      <c r="N10" s="261">
        <f>MAX($F10:$J10)</f>
        <v>565.16666666666663</v>
      </c>
      <c r="O10" s="261">
        <f>N10-M10</f>
        <v>187.33333333333331</v>
      </c>
    </row>
    <row r="11" spans="1:52" x14ac:dyDescent="0.25">
      <c r="C11" t="s">
        <v>686</v>
      </c>
      <c r="D11" t="s">
        <v>92</v>
      </c>
      <c r="E11" t="s">
        <v>557</v>
      </c>
      <c r="F11" s="261">
        <f>'CH_Bill impact annual'!F11/MiY</f>
        <v>99.333333333333329</v>
      </c>
      <c r="G11" s="261">
        <f>'CH_Bill impact annual'!G11/MiY</f>
        <v>89.916666666666671</v>
      </c>
      <c r="H11" s="261">
        <f>'CH_Bill impact annual'!H11/MiY</f>
        <v>86.583333333333329</v>
      </c>
      <c r="I11" s="261">
        <f>'CH_Bill impact annual'!I11/MiY</f>
        <v>93.583333333333329</v>
      </c>
      <c r="J11" s="261">
        <f>'CH_Bill impact annual'!J11/MiY</f>
        <v>90.166666666666671</v>
      </c>
      <c r="K11" s="261">
        <f>'CH_Bill impact annual'!K11/MiY</f>
        <v>91.916666666666671</v>
      </c>
      <c r="M11" s="261">
        <f>MIN($F11:$J11)</f>
        <v>86.583333333333329</v>
      </c>
      <c r="N11" s="261">
        <f>MAX($F11:$J11)</f>
        <v>99.333333333333329</v>
      </c>
      <c r="O11" s="261">
        <f>N11-M11</f>
        <v>12.75</v>
      </c>
    </row>
    <row r="12" spans="1:52" x14ac:dyDescent="0.25">
      <c r="C12" t="s">
        <v>687</v>
      </c>
      <c r="D12" t="s">
        <v>93</v>
      </c>
      <c r="E12" t="s">
        <v>557</v>
      </c>
      <c r="F12" s="261">
        <f>'CH_Bill impact annual'!F12/MiY</f>
        <v>422.75</v>
      </c>
      <c r="G12" s="261">
        <f>'CH_Bill impact annual'!G12/MiY</f>
        <v>370.33333333333331</v>
      </c>
      <c r="H12" s="261">
        <f>'CH_Bill impact annual'!H12/MiY</f>
        <v>387.75</v>
      </c>
      <c r="I12" s="261">
        <f>'CH_Bill impact annual'!I12/MiY</f>
        <v>390.16666666666669</v>
      </c>
      <c r="J12" s="261">
        <f>'CH_Bill impact annual'!J12/MiY</f>
        <v>381.08333333333331</v>
      </c>
      <c r="K12" s="261">
        <f>'CH_Bill impact annual'!K12/MiY</f>
        <v>390.41666666666669</v>
      </c>
      <c r="M12" s="261">
        <f>MIN($F12:$J12)</f>
        <v>370.33333333333331</v>
      </c>
      <c r="N12" s="261">
        <f>MAX($F12:$J12)</f>
        <v>422.75</v>
      </c>
      <c r="O12" s="261">
        <f>N12-M12</f>
        <v>52.416666666666686</v>
      </c>
    </row>
    <row r="13" spans="1:52" x14ac:dyDescent="0.25">
      <c r="C13" t="s">
        <v>696</v>
      </c>
      <c r="D13" t="s">
        <v>92</v>
      </c>
      <c r="E13" t="s">
        <v>697</v>
      </c>
      <c r="F13" s="261">
        <f>'CH_Bill impact annual'!F13/MiY</f>
        <v>137.91666666666666</v>
      </c>
      <c r="G13" s="261">
        <f>'CH_Bill impact annual'!G13/MiY</f>
        <v>116.33333333333333</v>
      </c>
      <c r="H13" s="261">
        <f>'CH_Bill impact annual'!H13/MiY</f>
        <v>123.58333333333333</v>
      </c>
      <c r="I13" s="261">
        <f>'CH_Bill impact annual'!I13/MiY</f>
        <v>121.16666666666667</v>
      </c>
      <c r="J13" s="261">
        <f>'CH_Bill impact annual'!J13/MiY</f>
        <v>117.33333333333333</v>
      </c>
      <c r="K13" s="261">
        <f>'CH_Bill impact annual'!K13/MiY</f>
        <v>123.26666666666667</v>
      </c>
      <c r="M13" s="261">
        <f>MIN($F13:$J13)</f>
        <v>116.33333333333333</v>
      </c>
      <c r="N13" s="261">
        <f>MAX($F13:$J13)</f>
        <v>137.91666666666666</v>
      </c>
      <c r="O13" s="261">
        <f>N13-M13</f>
        <v>21.583333333333329</v>
      </c>
    </row>
    <row r="15" spans="1:52" ht="15.75" x14ac:dyDescent="0.25">
      <c r="C15" s="29" t="s">
        <v>259</v>
      </c>
    </row>
    <row r="16" spans="1:52" ht="15.75" x14ac:dyDescent="0.25">
      <c r="C16" s="271" t="s">
        <v>698</v>
      </c>
      <c r="D16" s="271" t="s">
        <v>91</v>
      </c>
      <c r="E16" s="271" t="s">
        <v>454</v>
      </c>
      <c r="F16" s="50" t="s">
        <v>268</v>
      </c>
      <c r="G16" s="271" t="s">
        <v>269</v>
      </c>
      <c r="H16" s="271" t="s">
        <v>270</v>
      </c>
      <c r="I16" s="271" t="s">
        <v>271</v>
      </c>
      <c r="J16" s="271" t="s">
        <v>272</v>
      </c>
      <c r="K16" s="271" t="s">
        <v>447</v>
      </c>
      <c r="M16" s="42" t="s">
        <v>455</v>
      </c>
      <c r="N16" s="42" t="s">
        <v>456</v>
      </c>
      <c r="O16" s="42" t="s">
        <v>457</v>
      </c>
    </row>
    <row r="17" spans="3:23" x14ac:dyDescent="0.25">
      <c r="C17" t="s">
        <v>689</v>
      </c>
      <c r="D17" t="s">
        <v>92</v>
      </c>
      <c r="E17" t="s">
        <v>556</v>
      </c>
      <c r="F17" s="261">
        <f>'CH_Bill impact annual'!F17/MiY</f>
        <v>107.33333333333333</v>
      </c>
      <c r="G17" s="261">
        <f>'CH_Bill impact annual'!G17/MiY</f>
        <v>90.583333333333329</v>
      </c>
      <c r="H17" s="261">
        <f>'CH_Bill impact annual'!H17/MiY</f>
        <v>94.25</v>
      </c>
      <c r="I17" s="261">
        <f>'CH_Bill impact annual'!I17/MiY</f>
        <v>94.833333333333329</v>
      </c>
      <c r="J17" s="261">
        <f>'CH_Bill impact annual'!J17/MiY</f>
        <v>90.833333333333329</v>
      </c>
      <c r="K17" s="261">
        <f>'CH_Bill impact annual'!K17/MiY</f>
        <v>95.566666666666663</v>
      </c>
      <c r="M17" s="261">
        <f>MIN($F17:$J17)</f>
        <v>90.583333333333329</v>
      </c>
      <c r="N17" s="261">
        <f>MAX($F17:$J17)</f>
        <v>107.33333333333333</v>
      </c>
      <c r="O17" s="261">
        <f>N17-M17</f>
        <v>16.75</v>
      </c>
    </row>
    <row r="18" spans="3:23" x14ac:dyDescent="0.25">
      <c r="C18" t="s">
        <v>690</v>
      </c>
      <c r="D18" t="s">
        <v>93</v>
      </c>
      <c r="E18" t="s">
        <v>556</v>
      </c>
      <c r="F18" s="261">
        <f>'CH_Bill impact annual'!F18/MiY</f>
        <v>565.16666666666663</v>
      </c>
      <c r="G18" s="261">
        <f>'CH_Bill impact annual'!G18/MiY</f>
        <v>377.83333333333331</v>
      </c>
      <c r="H18" s="261">
        <f>'CH_Bill impact annual'!H18/MiY</f>
        <v>430.41666666666669</v>
      </c>
      <c r="I18" s="261">
        <f>'CH_Bill impact annual'!I18/MiY</f>
        <v>398.25</v>
      </c>
      <c r="J18" s="261">
        <f>'CH_Bill impact annual'!J18/MiY</f>
        <v>388.25</v>
      </c>
      <c r="K18" s="261">
        <f>'CH_Bill impact annual'!K18/MiY</f>
        <v>431.98333333333335</v>
      </c>
      <c r="M18" s="261">
        <f>MIN($F18:$J18)</f>
        <v>377.83333333333331</v>
      </c>
      <c r="N18" s="261">
        <f>MAX($F18:$J18)</f>
        <v>565.16666666666663</v>
      </c>
      <c r="O18" s="261">
        <f>N18-M18</f>
        <v>187.33333333333331</v>
      </c>
    </row>
    <row r="19" spans="3:23" x14ac:dyDescent="0.25">
      <c r="C19" t="s">
        <v>686</v>
      </c>
      <c r="D19" t="s">
        <v>92</v>
      </c>
      <c r="E19" t="s">
        <v>557</v>
      </c>
      <c r="F19" s="261">
        <f>'CH_Bill impact annual'!F19/MiY</f>
        <v>99.333333333333329</v>
      </c>
      <c r="G19" s="261">
        <f>'CH_Bill impact annual'!G19/MiY</f>
        <v>89.916666666666671</v>
      </c>
      <c r="H19" s="261">
        <f>'CH_Bill impact annual'!H19/MiY</f>
        <v>86.583333333333329</v>
      </c>
      <c r="I19" s="261">
        <f>'CH_Bill impact annual'!I19/MiY</f>
        <v>93.583333333333329</v>
      </c>
      <c r="J19" s="261">
        <f>'CH_Bill impact annual'!J19/MiY</f>
        <v>90.166666666666671</v>
      </c>
      <c r="K19" s="261">
        <f>'CH_Bill impact annual'!K19/MiY</f>
        <v>91.916666666666671</v>
      </c>
      <c r="M19" s="261">
        <f>MIN($F19:$J19)</f>
        <v>86.583333333333329</v>
      </c>
      <c r="N19" s="261">
        <f>MAX($F19:$J19)</f>
        <v>99.333333333333329</v>
      </c>
      <c r="O19" s="261">
        <f>N19-M19</f>
        <v>12.75</v>
      </c>
    </row>
    <row r="20" spans="3:23" x14ac:dyDescent="0.25">
      <c r="C20" t="s">
        <v>687</v>
      </c>
      <c r="D20" t="s">
        <v>93</v>
      </c>
      <c r="E20" t="s">
        <v>557</v>
      </c>
      <c r="F20" s="261">
        <f>'CH_Bill impact annual'!F20/MiY</f>
        <v>422.75</v>
      </c>
      <c r="G20" s="261">
        <f>'CH_Bill impact annual'!G20/MiY</f>
        <v>370.33333333333331</v>
      </c>
      <c r="H20" s="261">
        <f>'CH_Bill impact annual'!H20/MiY</f>
        <v>387.75</v>
      </c>
      <c r="I20" s="261">
        <f>'CH_Bill impact annual'!I20/MiY</f>
        <v>390.16666666666669</v>
      </c>
      <c r="J20" s="261">
        <f>'CH_Bill impact annual'!J20/MiY</f>
        <v>381.08333333333331</v>
      </c>
      <c r="K20" s="261">
        <f>'CH_Bill impact annual'!K20/MiY</f>
        <v>390.41666666666669</v>
      </c>
      <c r="M20" s="261">
        <f>MIN($F20:$J20)</f>
        <v>370.33333333333331</v>
      </c>
      <c r="N20" s="261">
        <f>MAX($F20:$J20)</f>
        <v>422.75</v>
      </c>
      <c r="O20" s="261">
        <f>N20-M20</f>
        <v>52.416666666666686</v>
      </c>
    </row>
    <row r="21" spans="3:23" x14ac:dyDescent="0.25">
      <c r="C21" t="s">
        <v>696</v>
      </c>
      <c r="D21" t="s">
        <v>92</v>
      </c>
      <c r="E21" t="s">
        <v>697</v>
      </c>
      <c r="F21" s="261">
        <f>'CH_Bill impact annual'!F21/MiY</f>
        <v>137.91666666666666</v>
      </c>
      <c r="G21" s="261">
        <f>'CH_Bill impact annual'!G21/MiY</f>
        <v>116.33333333333333</v>
      </c>
      <c r="H21" s="261">
        <f>'CH_Bill impact annual'!H21/MiY</f>
        <v>123.58333333333333</v>
      </c>
      <c r="I21" s="261">
        <f>'CH_Bill impact annual'!I21/MiY</f>
        <v>121.16666666666667</v>
      </c>
      <c r="J21" s="261">
        <f>'CH_Bill impact annual'!J21/MiY</f>
        <v>117.33333333333333</v>
      </c>
      <c r="K21" s="261">
        <f>'CH_Bill impact annual'!K21/MiY</f>
        <v>123.26666666666667</v>
      </c>
      <c r="M21" s="261">
        <f>MIN($F21:$J21)</f>
        <v>116.33333333333333</v>
      </c>
      <c r="N21" s="261">
        <f>MAX($F21:$J21)</f>
        <v>137.91666666666666</v>
      </c>
      <c r="O21" s="261">
        <f>N21-M21</f>
        <v>21.583333333333329</v>
      </c>
    </row>
    <row r="22" spans="3:23" x14ac:dyDescent="0.25">
      <c r="C22" s="130"/>
      <c r="D22" s="130"/>
      <c r="E22" s="130"/>
      <c r="F22" s="130"/>
      <c r="G22" s="130"/>
      <c r="H22" s="130"/>
      <c r="I22" s="130"/>
      <c r="J22" s="130"/>
      <c r="K22" s="130"/>
      <c r="L22" s="130"/>
      <c r="M22" s="130"/>
      <c r="N22" s="130"/>
      <c r="O22" s="130"/>
      <c r="P22" s="130"/>
      <c r="Q22" s="130"/>
      <c r="R22" s="130"/>
      <c r="S22" s="130"/>
      <c r="T22" s="130"/>
      <c r="U22" s="130"/>
      <c r="V22" s="130"/>
      <c r="W22" s="130"/>
    </row>
    <row r="23" spans="3:23" ht="15.75" x14ac:dyDescent="0.25">
      <c r="C23" s="29" t="s">
        <v>688</v>
      </c>
      <c r="L23" s="130"/>
      <c r="M23" s="130" t="s">
        <v>458</v>
      </c>
      <c r="N23" s="130"/>
      <c r="O23" s="130"/>
      <c r="P23" s="130" t="s">
        <v>700</v>
      </c>
      <c r="Q23" s="130"/>
      <c r="R23" s="130"/>
      <c r="S23" s="130" t="s">
        <v>701</v>
      </c>
      <c r="T23" s="130"/>
      <c r="U23" s="130"/>
      <c r="V23" s="130"/>
      <c r="W23" s="130"/>
    </row>
    <row r="24" spans="3:23" ht="15.75" x14ac:dyDescent="0.25">
      <c r="C24" s="271" t="s">
        <v>698</v>
      </c>
      <c r="D24" s="271" t="s">
        <v>91</v>
      </c>
      <c r="E24" s="271" t="s">
        <v>454</v>
      </c>
      <c r="F24" s="50" t="s">
        <v>268</v>
      </c>
      <c r="G24" s="271" t="s">
        <v>269</v>
      </c>
      <c r="H24" s="271" t="s">
        <v>270</v>
      </c>
      <c r="I24" s="271" t="s">
        <v>271</v>
      </c>
      <c r="J24" s="271" t="s">
        <v>272</v>
      </c>
      <c r="K24" s="271" t="s">
        <v>447</v>
      </c>
      <c r="L24" s="130"/>
      <c r="M24" s="42" t="s">
        <v>455</v>
      </c>
      <c r="N24" s="42" t="s">
        <v>456</v>
      </c>
      <c r="P24" s="42" t="s">
        <v>455</v>
      </c>
      <c r="Q24" s="42" t="s">
        <v>456</v>
      </c>
      <c r="R24" s="130"/>
      <c r="S24" s="42" t="s">
        <v>455</v>
      </c>
      <c r="T24" s="42" t="s">
        <v>456</v>
      </c>
      <c r="U24" s="130"/>
      <c r="V24" s="130"/>
      <c r="W24" s="130"/>
    </row>
    <row r="25" spans="3:23" x14ac:dyDescent="0.25">
      <c r="C25" t="s">
        <v>689</v>
      </c>
      <c r="D25" t="s">
        <v>92</v>
      </c>
      <c r="E25" t="s">
        <v>556</v>
      </c>
      <c r="F25" s="121">
        <f>F17-F9</f>
        <v>0</v>
      </c>
      <c r="G25" s="121">
        <f t="shared" ref="G25:K25" si="0">G17-G9</f>
        <v>0</v>
      </c>
      <c r="H25" s="121">
        <f t="shared" si="0"/>
        <v>0</v>
      </c>
      <c r="I25" s="121">
        <f t="shared" si="0"/>
        <v>0</v>
      </c>
      <c r="J25" s="121">
        <f t="shared" si="0"/>
        <v>0</v>
      </c>
      <c r="K25" s="121">
        <f t="shared" si="0"/>
        <v>0</v>
      </c>
      <c r="L25" s="130"/>
      <c r="M25" s="261">
        <f>MIN($F25:$K25)</f>
        <v>0</v>
      </c>
      <c r="N25" s="261">
        <f>MAX($F25:$K25)</f>
        <v>0</v>
      </c>
      <c r="P25" s="261">
        <f>_xlfn.MINIFS($F25:$K25,$F25:$K25,"&lt;0")</f>
        <v>0</v>
      </c>
      <c r="Q25" s="261">
        <f>_xlfn.MAXIFS($F25:$K25,$F25:$K25,"&lt;0")</f>
        <v>0</v>
      </c>
      <c r="R25" s="261"/>
      <c r="S25" s="261">
        <f>_xlfn.MINIFS($F25:$K25,$F25:$K25,"&gt;0")</f>
        <v>0</v>
      </c>
      <c r="T25" s="261">
        <f>_xlfn.MAXIFS($F25:$K25,$F25:$K25,"&gt;0")</f>
        <v>0</v>
      </c>
      <c r="U25" s="130"/>
      <c r="V25" s="130"/>
      <c r="W25" s="130"/>
    </row>
    <row r="26" spans="3:23" x14ac:dyDescent="0.25">
      <c r="C26" t="s">
        <v>690</v>
      </c>
      <c r="D26" t="s">
        <v>93</v>
      </c>
      <c r="E26" t="s">
        <v>556</v>
      </c>
      <c r="F26" s="121">
        <f t="shared" ref="F26:K29" si="1">F18-F10</f>
        <v>0</v>
      </c>
      <c r="G26" s="121">
        <f t="shared" si="1"/>
        <v>0</v>
      </c>
      <c r="H26" s="121">
        <f t="shared" si="1"/>
        <v>0</v>
      </c>
      <c r="I26" s="121">
        <f t="shared" si="1"/>
        <v>0</v>
      </c>
      <c r="J26" s="121">
        <f t="shared" si="1"/>
        <v>0</v>
      </c>
      <c r="K26" s="121">
        <f t="shared" si="1"/>
        <v>0</v>
      </c>
      <c r="L26" s="130"/>
      <c r="M26" s="261">
        <f>MIN($F26:$K26)</f>
        <v>0</v>
      </c>
      <c r="N26" s="261">
        <f>MAX($F26:$K26)</f>
        <v>0</v>
      </c>
      <c r="P26" s="261">
        <f>_xlfn.MINIFS($F26:$K26,$F26:$K26,"&lt;0")</f>
        <v>0</v>
      </c>
      <c r="Q26" s="261">
        <f>_xlfn.MAXIFS($F26:$K26,$F26:$K26,"&lt;0")</f>
        <v>0</v>
      </c>
      <c r="R26" s="261"/>
      <c r="S26" s="261">
        <f>_xlfn.MINIFS($F26:$K26,$F26:$K26,"&gt;0")</f>
        <v>0</v>
      </c>
      <c r="T26" s="261">
        <f>_xlfn.MAXIFS($F26:$K26,$F26:$K26,"&gt;0")</f>
        <v>0</v>
      </c>
      <c r="U26" s="130"/>
      <c r="V26" s="130"/>
      <c r="W26" s="130"/>
    </row>
    <row r="27" spans="3:23" x14ac:dyDescent="0.25">
      <c r="C27" t="s">
        <v>686</v>
      </c>
      <c r="D27" t="s">
        <v>92</v>
      </c>
      <c r="E27" t="s">
        <v>556</v>
      </c>
      <c r="F27" s="121">
        <f t="shared" si="1"/>
        <v>0</v>
      </c>
      <c r="G27" s="121">
        <f t="shared" si="1"/>
        <v>0</v>
      </c>
      <c r="H27" s="121">
        <f t="shared" si="1"/>
        <v>0</v>
      </c>
      <c r="I27" s="121">
        <f t="shared" si="1"/>
        <v>0</v>
      </c>
      <c r="J27" s="121">
        <f t="shared" si="1"/>
        <v>0</v>
      </c>
      <c r="K27" s="121">
        <f t="shared" si="1"/>
        <v>0</v>
      </c>
      <c r="L27" s="130"/>
      <c r="M27" s="261">
        <f>MIN($F27:$K27)</f>
        <v>0</v>
      </c>
      <c r="N27" s="261">
        <f>MAX($F27:$K27)</f>
        <v>0</v>
      </c>
      <c r="P27" s="261">
        <f>_xlfn.MINIFS($F27:$K27,$F27:$K27,"&lt;0")</f>
        <v>0</v>
      </c>
      <c r="Q27" s="261">
        <f>_xlfn.MAXIFS($F27:$K27,$F27:$K27,"&lt;0")</f>
        <v>0</v>
      </c>
      <c r="R27" s="261"/>
      <c r="S27" s="261">
        <f>_xlfn.MINIFS($F27:$K27,$F27:$K27,"&gt;0")</f>
        <v>0</v>
      </c>
      <c r="T27" s="261">
        <f>_xlfn.MAXIFS($F27:$K27,$F27:$K27,"&gt;0")</f>
        <v>0</v>
      </c>
      <c r="U27" s="130"/>
      <c r="V27" s="130"/>
      <c r="W27" s="130"/>
    </row>
    <row r="28" spans="3:23" x14ac:dyDescent="0.25">
      <c r="C28" t="s">
        <v>687</v>
      </c>
      <c r="D28" t="s">
        <v>93</v>
      </c>
      <c r="E28" t="s">
        <v>556</v>
      </c>
      <c r="F28" s="121">
        <f t="shared" si="1"/>
        <v>0</v>
      </c>
      <c r="G28" s="121">
        <f t="shared" si="1"/>
        <v>0</v>
      </c>
      <c r="H28" s="121">
        <f t="shared" si="1"/>
        <v>0</v>
      </c>
      <c r="I28" s="121">
        <f t="shared" si="1"/>
        <v>0</v>
      </c>
      <c r="J28" s="121">
        <f t="shared" si="1"/>
        <v>0</v>
      </c>
      <c r="K28" s="121">
        <f t="shared" si="1"/>
        <v>0</v>
      </c>
      <c r="L28" s="130"/>
      <c r="M28" s="261">
        <f>MIN($F28:$K28)</f>
        <v>0</v>
      </c>
      <c r="N28" s="261">
        <f>MAX($F28:$K28)</f>
        <v>0</v>
      </c>
      <c r="P28" s="261">
        <f>_xlfn.MINIFS($F28:$K28,$F28:$K28,"&lt;0")</f>
        <v>0</v>
      </c>
      <c r="Q28" s="261">
        <f>_xlfn.MAXIFS($F28:$K28,$F28:$K28,"&lt;0")</f>
        <v>0</v>
      </c>
      <c r="R28" s="261"/>
      <c r="S28" s="261">
        <f>_xlfn.MINIFS($F28:$K28,$F28:$K28,"&gt;0")</f>
        <v>0</v>
      </c>
      <c r="T28" s="261">
        <f>_xlfn.MAXIFS($F28:$K28,$F28:$K28,"&gt;0")</f>
        <v>0</v>
      </c>
      <c r="U28" s="130"/>
      <c r="V28" s="130"/>
      <c r="W28" s="130"/>
    </row>
    <row r="29" spans="3:23" x14ac:dyDescent="0.25">
      <c r="C29" t="s">
        <v>696</v>
      </c>
      <c r="D29" t="s">
        <v>92</v>
      </c>
      <c r="E29" t="s">
        <v>697</v>
      </c>
      <c r="F29" s="121">
        <f t="shared" si="1"/>
        <v>0</v>
      </c>
      <c r="G29" s="121">
        <f t="shared" si="1"/>
        <v>0</v>
      </c>
      <c r="H29" s="121">
        <f t="shared" si="1"/>
        <v>0</v>
      </c>
      <c r="I29" s="121">
        <f t="shared" si="1"/>
        <v>0</v>
      </c>
      <c r="J29" s="121">
        <f t="shared" si="1"/>
        <v>0</v>
      </c>
      <c r="K29" s="121">
        <f t="shared" si="1"/>
        <v>0</v>
      </c>
      <c r="L29" s="130"/>
      <c r="M29" s="261">
        <f>MIN($F29:$K29)</f>
        <v>0</v>
      </c>
      <c r="N29" s="261">
        <f>MAX($F29:$K29)</f>
        <v>0</v>
      </c>
      <c r="P29" s="261">
        <f>_xlfn.MINIFS($F29:$K29,$F29:$K29,"&lt;0")</f>
        <v>0</v>
      </c>
      <c r="Q29" s="261">
        <f>_xlfn.MAXIFS($F29:$K29,$F29:$K29,"&lt;0")</f>
        <v>0</v>
      </c>
      <c r="R29" s="261"/>
      <c r="S29" s="261">
        <f>_xlfn.MINIFS($F29:$K29,$F29:$K29,"&gt;0")</f>
        <v>0</v>
      </c>
      <c r="T29" s="261">
        <f>_xlfn.MAXIFS($F29:$K29,$F29:$K29,"&gt;0")</f>
        <v>0</v>
      </c>
      <c r="U29" s="130"/>
      <c r="V29" s="130"/>
      <c r="W29" s="130"/>
    </row>
    <row r="30" spans="3:23" x14ac:dyDescent="0.25">
      <c r="C30" s="130"/>
      <c r="D30" s="130"/>
      <c r="E30" s="130"/>
      <c r="F30" s="130"/>
      <c r="G30" s="130"/>
      <c r="H30" s="130"/>
      <c r="I30" s="130"/>
      <c r="J30" s="130"/>
      <c r="K30" s="130"/>
      <c r="L30" s="130"/>
      <c r="M30" s="130"/>
      <c r="N30" s="130"/>
      <c r="O30" s="130"/>
      <c r="P30" s="130"/>
      <c r="Q30" s="130"/>
      <c r="R30" s="130"/>
      <c r="S30" s="130"/>
      <c r="T30" s="130"/>
      <c r="U30" s="130"/>
      <c r="V30" s="130"/>
      <c r="W30" s="130"/>
    </row>
    <row r="31" spans="3:23" ht="15.75" x14ac:dyDescent="0.25">
      <c r="C31" s="29" t="s">
        <v>699</v>
      </c>
      <c r="L31" s="130"/>
      <c r="M31" s="130" t="s">
        <v>458</v>
      </c>
      <c r="N31" s="130"/>
      <c r="O31" s="130"/>
      <c r="P31" s="130" t="s">
        <v>700</v>
      </c>
      <c r="Q31" s="130"/>
      <c r="R31" s="130"/>
      <c r="S31" s="130" t="s">
        <v>701</v>
      </c>
      <c r="T31" s="130"/>
      <c r="U31" s="130"/>
      <c r="V31" s="130"/>
      <c r="W31" s="130"/>
    </row>
    <row r="32" spans="3:23" ht="15.75" x14ac:dyDescent="0.25">
      <c r="C32" s="271" t="s">
        <v>698</v>
      </c>
      <c r="D32" s="271" t="s">
        <v>91</v>
      </c>
      <c r="E32" s="271" t="s">
        <v>454</v>
      </c>
      <c r="F32" s="50" t="s">
        <v>268</v>
      </c>
      <c r="G32" s="271" t="s">
        <v>269</v>
      </c>
      <c r="H32" s="271" t="s">
        <v>270</v>
      </c>
      <c r="I32" s="271" t="s">
        <v>271</v>
      </c>
      <c r="J32" s="271" t="s">
        <v>272</v>
      </c>
      <c r="K32" s="271" t="s">
        <v>447</v>
      </c>
      <c r="L32" s="130"/>
      <c r="M32" s="42" t="s">
        <v>455</v>
      </c>
      <c r="N32" s="42" t="s">
        <v>456</v>
      </c>
      <c r="P32" s="42" t="s">
        <v>455</v>
      </c>
      <c r="Q32" s="42" t="s">
        <v>456</v>
      </c>
      <c r="R32" s="130"/>
      <c r="S32" s="42" t="s">
        <v>455</v>
      </c>
      <c r="T32" s="42" t="s">
        <v>456</v>
      </c>
      <c r="U32" s="130"/>
      <c r="V32" s="130"/>
      <c r="W32" s="130"/>
    </row>
    <row r="33" spans="1:52" x14ac:dyDescent="0.25">
      <c r="C33" t="s">
        <v>689</v>
      </c>
      <c r="D33" t="s">
        <v>92</v>
      </c>
      <c r="E33" t="s">
        <v>556</v>
      </c>
      <c r="F33" s="263">
        <f>F25/F9</f>
        <v>0</v>
      </c>
      <c r="G33" s="263">
        <f t="shared" ref="G33:K33" si="2">G25/G9</f>
        <v>0</v>
      </c>
      <c r="H33" s="263">
        <f t="shared" si="2"/>
        <v>0</v>
      </c>
      <c r="I33" s="263">
        <f t="shared" si="2"/>
        <v>0</v>
      </c>
      <c r="J33" s="263">
        <f t="shared" si="2"/>
        <v>0</v>
      </c>
      <c r="K33" s="263">
        <f t="shared" si="2"/>
        <v>0</v>
      </c>
      <c r="L33" s="264"/>
      <c r="M33" s="262">
        <f>MIN($F33:$K33)</f>
        <v>0</v>
      </c>
      <c r="N33" s="262">
        <f>MAX($F33:$K33)</f>
        <v>0</v>
      </c>
      <c r="O33" s="262"/>
      <c r="P33" s="262">
        <f>_xlfn.MINIFS($F33:$K33,$F33:$K33,"&lt;0")</f>
        <v>0</v>
      </c>
      <c r="Q33" s="262">
        <f>_xlfn.MAXIFS($F33:$K33,$F33:$K33,"&lt;0")</f>
        <v>0</v>
      </c>
      <c r="R33" s="262"/>
      <c r="S33" s="262">
        <f>_xlfn.MINIFS($F33:$K33,$F33:$K33,"&gt;0")</f>
        <v>0</v>
      </c>
      <c r="T33" s="262">
        <f>_xlfn.MAXIFS($F33:$K33,$F33:$K33,"&gt;0")</f>
        <v>0</v>
      </c>
      <c r="U33" s="264"/>
      <c r="V33" s="264"/>
      <c r="W33" s="130"/>
    </row>
    <row r="34" spans="1:52" x14ac:dyDescent="0.25">
      <c r="C34" t="s">
        <v>690</v>
      </c>
      <c r="D34" t="s">
        <v>93</v>
      </c>
      <c r="E34" t="s">
        <v>556</v>
      </c>
      <c r="F34" s="263">
        <f t="shared" ref="F34:K37" si="3">F26/F10</f>
        <v>0</v>
      </c>
      <c r="G34" s="263">
        <f t="shared" si="3"/>
        <v>0</v>
      </c>
      <c r="H34" s="263">
        <f t="shared" si="3"/>
        <v>0</v>
      </c>
      <c r="I34" s="263">
        <f t="shared" si="3"/>
        <v>0</v>
      </c>
      <c r="J34" s="263">
        <f t="shared" si="3"/>
        <v>0</v>
      </c>
      <c r="K34" s="263">
        <f t="shared" si="3"/>
        <v>0</v>
      </c>
      <c r="L34" s="264"/>
      <c r="M34" s="262">
        <f>MIN($F34:$K34)</f>
        <v>0</v>
      </c>
      <c r="N34" s="262">
        <f>MAX($F34:$K34)</f>
        <v>0</v>
      </c>
      <c r="O34" s="262"/>
      <c r="P34" s="262">
        <f>_xlfn.MINIFS($F34:$K34,$F34:$K34,"&lt;0")</f>
        <v>0</v>
      </c>
      <c r="Q34" s="262">
        <f>_xlfn.MAXIFS($F34:$K34,$F34:$K34,"&lt;0")</f>
        <v>0</v>
      </c>
      <c r="R34" s="262"/>
      <c r="S34" s="262">
        <f>_xlfn.MINIFS($F34:$K34,$F34:$K34,"&gt;0")</f>
        <v>0</v>
      </c>
      <c r="T34" s="262">
        <f>_xlfn.MAXIFS($F34:$K34,$F34:$K34,"&gt;0")</f>
        <v>0</v>
      </c>
      <c r="U34" s="264"/>
      <c r="V34" s="264"/>
      <c r="W34" s="130"/>
    </row>
    <row r="35" spans="1:52" x14ac:dyDescent="0.25">
      <c r="C35" t="s">
        <v>686</v>
      </c>
      <c r="D35" t="s">
        <v>92</v>
      </c>
      <c r="E35" t="s">
        <v>556</v>
      </c>
      <c r="F35" s="263">
        <f t="shared" si="3"/>
        <v>0</v>
      </c>
      <c r="G35" s="263">
        <f t="shared" si="3"/>
        <v>0</v>
      </c>
      <c r="H35" s="263">
        <f t="shared" si="3"/>
        <v>0</v>
      </c>
      <c r="I35" s="263">
        <f t="shared" si="3"/>
        <v>0</v>
      </c>
      <c r="J35" s="263">
        <f t="shared" si="3"/>
        <v>0</v>
      </c>
      <c r="K35" s="263">
        <f t="shared" si="3"/>
        <v>0</v>
      </c>
      <c r="L35" s="264"/>
      <c r="M35" s="262">
        <f>MIN($F35:$K35)</f>
        <v>0</v>
      </c>
      <c r="N35" s="262">
        <f>MAX($F35:$K35)</f>
        <v>0</v>
      </c>
      <c r="O35" s="262"/>
      <c r="P35" s="262">
        <f>_xlfn.MINIFS($F35:$K35,$F35:$K35,"&lt;0")</f>
        <v>0</v>
      </c>
      <c r="Q35" s="262">
        <f>_xlfn.MAXIFS($F35:$K35,$F35:$K35,"&lt;0")</f>
        <v>0</v>
      </c>
      <c r="R35" s="262"/>
      <c r="S35" s="262">
        <f>_xlfn.MINIFS($F35:$K35,$F35:$K35,"&gt;0")</f>
        <v>0</v>
      </c>
      <c r="T35" s="262">
        <f>_xlfn.MAXIFS($F35:$K35,$F35:$K35,"&gt;0")</f>
        <v>0</v>
      </c>
      <c r="U35" s="264"/>
      <c r="V35" s="264"/>
      <c r="W35" s="130"/>
    </row>
    <row r="36" spans="1:52" x14ac:dyDescent="0.25">
      <c r="C36" t="s">
        <v>687</v>
      </c>
      <c r="D36" t="s">
        <v>93</v>
      </c>
      <c r="E36" t="s">
        <v>556</v>
      </c>
      <c r="F36" s="263">
        <f t="shared" si="3"/>
        <v>0</v>
      </c>
      <c r="G36" s="263">
        <f t="shared" si="3"/>
        <v>0</v>
      </c>
      <c r="H36" s="263">
        <f t="shared" si="3"/>
        <v>0</v>
      </c>
      <c r="I36" s="263">
        <f t="shared" si="3"/>
        <v>0</v>
      </c>
      <c r="J36" s="263">
        <f t="shared" si="3"/>
        <v>0</v>
      </c>
      <c r="K36" s="263">
        <f t="shared" si="3"/>
        <v>0</v>
      </c>
      <c r="L36" s="264"/>
      <c r="M36" s="262">
        <f>MIN($F36:$K36)</f>
        <v>0</v>
      </c>
      <c r="N36" s="262">
        <f>MAX($F36:$K36)</f>
        <v>0</v>
      </c>
      <c r="O36" s="262"/>
      <c r="P36" s="262">
        <f>_xlfn.MINIFS($F36:$K36,$F36:$K36,"&lt;0")</f>
        <v>0</v>
      </c>
      <c r="Q36" s="262">
        <f>_xlfn.MAXIFS($F36:$K36,$F36:$K36,"&lt;0")</f>
        <v>0</v>
      </c>
      <c r="R36" s="262"/>
      <c r="S36" s="262">
        <f>_xlfn.MINIFS($F36:$K36,$F36:$K36,"&gt;0")</f>
        <v>0</v>
      </c>
      <c r="T36" s="262">
        <f>_xlfn.MAXIFS($F36:$K36,$F36:$K36,"&gt;0")</f>
        <v>0</v>
      </c>
      <c r="U36" s="264"/>
      <c r="V36" s="264"/>
      <c r="W36" s="130"/>
    </row>
    <row r="37" spans="1:52" x14ac:dyDescent="0.25">
      <c r="C37" t="s">
        <v>696</v>
      </c>
      <c r="D37" t="s">
        <v>92</v>
      </c>
      <c r="E37" t="s">
        <v>697</v>
      </c>
      <c r="F37" s="263">
        <f t="shared" si="3"/>
        <v>0</v>
      </c>
      <c r="G37" s="263">
        <f t="shared" si="3"/>
        <v>0</v>
      </c>
      <c r="H37" s="263">
        <f t="shared" si="3"/>
        <v>0</v>
      </c>
      <c r="I37" s="263">
        <f t="shared" si="3"/>
        <v>0</v>
      </c>
      <c r="J37" s="263">
        <f t="shared" si="3"/>
        <v>0</v>
      </c>
      <c r="K37" s="263">
        <f t="shared" si="3"/>
        <v>0</v>
      </c>
      <c r="L37" s="264"/>
      <c r="M37" s="262">
        <f>MIN($F37:$K37)</f>
        <v>0</v>
      </c>
      <c r="N37" s="262">
        <f>MAX($F37:$K37)</f>
        <v>0</v>
      </c>
      <c r="O37" s="262"/>
      <c r="P37" s="262">
        <f>_xlfn.MINIFS($F37:$K37,$F37:$K37,"&lt;0")</f>
        <v>0</v>
      </c>
      <c r="Q37" s="262">
        <f>_xlfn.MAXIFS($F37:$K37,$F37:$K37,"&lt;0")</f>
        <v>0</v>
      </c>
      <c r="R37" s="262"/>
      <c r="S37" s="262">
        <f>_xlfn.MINIFS($F37:$K37,$F37:$K37,"&gt;0")</f>
        <v>0</v>
      </c>
      <c r="T37" s="262">
        <f>_xlfn.MAXIFS($F37:$K37,$F37:$K37,"&gt;0")</f>
        <v>0</v>
      </c>
      <c r="U37" s="264"/>
      <c r="V37" s="264"/>
      <c r="W37" s="130"/>
    </row>
    <row r="38" spans="1:52" x14ac:dyDescent="0.25">
      <c r="C38" s="130"/>
      <c r="D38" s="130"/>
      <c r="E38" s="130"/>
      <c r="F38" s="130"/>
      <c r="G38" s="130"/>
      <c r="H38" s="130"/>
      <c r="I38" s="130"/>
      <c r="J38" s="130"/>
      <c r="K38" s="130"/>
      <c r="L38" s="130"/>
      <c r="M38" s="130"/>
      <c r="N38" s="130"/>
      <c r="O38" s="130"/>
      <c r="P38" s="130"/>
      <c r="Q38" s="130"/>
      <c r="R38" s="130"/>
      <c r="S38" s="130"/>
      <c r="T38" s="130"/>
      <c r="U38" s="130"/>
      <c r="V38" s="130"/>
      <c r="W38" s="130"/>
    </row>
    <row r="39" spans="1:52" x14ac:dyDescent="0.25">
      <c r="C39" s="130"/>
      <c r="D39" s="130"/>
      <c r="E39" s="130"/>
      <c r="F39" s="130"/>
      <c r="G39" s="130"/>
      <c r="H39" s="130"/>
      <c r="I39" s="130"/>
      <c r="J39" s="130"/>
      <c r="K39" s="130"/>
      <c r="L39" s="130"/>
      <c r="M39" s="130"/>
      <c r="N39" s="130"/>
      <c r="O39" s="130"/>
      <c r="P39" s="130"/>
      <c r="Q39" s="130"/>
      <c r="R39" s="130"/>
      <c r="S39" s="130"/>
      <c r="T39" s="130"/>
      <c r="U39" s="130"/>
      <c r="V39" s="130"/>
      <c r="W39" s="130"/>
    </row>
    <row r="40" spans="1:52" x14ac:dyDescent="0.25">
      <c r="C40" s="130"/>
      <c r="D40" s="130"/>
      <c r="E40" s="130"/>
      <c r="F40" s="130"/>
      <c r="G40" s="130"/>
      <c r="H40" s="130"/>
      <c r="I40" s="130"/>
      <c r="J40" s="130"/>
      <c r="K40" s="130"/>
      <c r="L40" s="130"/>
      <c r="M40" s="130"/>
      <c r="N40" s="130"/>
      <c r="O40" s="130"/>
      <c r="P40" s="130"/>
      <c r="Q40" s="130"/>
      <c r="R40" s="130"/>
      <c r="S40" s="130"/>
      <c r="T40" s="130"/>
      <c r="U40" s="130"/>
      <c r="V40" s="130"/>
      <c r="W40" s="130"/>
    </row>
    <row r="41" spans="1:52" x14ac:dyDescent="0.25">
      <c r="C41" s="130"/>
      <c r="D41" s="130"/>
      <c r="E41" s="130"/>
      <c r="F41" s="130"/>
      <c r="G41" s="130"/>
      <c r="H41" s="130"/>
      <c r="I41" s="130"/>
      <c r="J41" s="130"/>
      <c r="K41" s="130"/>
      <c r="L41" s="130"/>
      <c r="M41" s="130"/>
      <c r="N41" s="130"/>
      <c r="O41" s="130"/>
      <c r="P41" s="130"/>
      <c r="Q41" s="130"/>
      <c r="R41" s="130"/>
      <c r="S41" s="130"/>
      <c r="T41" s="130"/>
      <c r="U41" s="130"/>
      <c r="V41" s="130"/>
      <c r="W41" s="130"/>
    </row>
    <row r="42" spans="1:52" ht="16.5" thickBot="1" x14ac:dyDescent="0.3">
      <c r="A42" s="1" t="s">
        <v>23</v>
      </c>
      <c r="B42" s="9">
        <f ca="1">MAX(B$3:B6)+0.1</f>
        <v>30.200000000000003</v>
      </c>
      <c r="C42" s="28" t="s">
        <v>437</v>
      </c>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row>
    <row r="43" spans="1:52" x14ac:dyDescent="0.25">
      <c r="C43" s="130"/>
      <c r="D43" s="130"/>
      <c r="E43" s="130"/>
      <c r="F43" s="130"/>
      <c r="G43" s="130"/>
      <c r="H43" s="130"/>
      <c r="I43" s="130"/>
      <c r="J43" s="130"/>
      <c r="K43" s="130"/>
      <c r="L43" s="130"/>
      <c r="M43" s="130"/>
      <c r="N43" s="130"/>
      <c r="O43" s="130"/>
      <c r="P43" s="130"/>
      <c r="Q43" s="130"/>
      <c r="R43" s="130"/>
      <c r="S43" s="130"/>
      <c r="T43" s="130"/>
      <c r="U43" s="130"/>
      <c r="V43" s="130"/>
      <c r="W43" s="130"/>
    </row>
    <row r="44" spans="1:52" x14ac:dyDescent="0.25">
      <c r="C44" s="130" t="s">
        <v>716</v>
      </c>
      <c r="D44" s="130" t="s">
        <v>317</v>
      </c>
      <c r="E44" s="130"/>
      <c r="F44" s="130"/>
      <c r="G44" s="130"/>
      <c r="H44" s="130"/>
      <c r="I44" s="130"/>
      <c r="J44" s="130"/>
      <c r="K44" s="130"/>
      <c r="L44" s="130"/>
      <c r="M44" s="130"/>
      <c r="N44" s="130"/>
      <c r="O44" s="130"/>
      <c r="P44" s="130"/>
      <c r="Q44" s="130"/>
      <c r="R44" s="130"/>
      <c r="S44" s="130"/>
      <c r="T44" s="130"/>
      <c r="U44" s="130"/>
      <c r="V44" s="130"/>
      <c r="W44" s="130"/>
    </row>
    <row r="45" spans="1:52" x14ac:dyDescent="0.25">
      <c r="C45" s="130"/>
      <c r="D45" s="130"/>
      <c r="E45" s="130"/>
      <c r="F45" s="130"/>
      <c r="G45" s="130"/>
      <c r="H45" s="130"/>
      <c r="I45" s="130"/>
      <c r="J45" s="130"/>
      <c r="K45" s="130"/>
      <c r="L45" s="130"/>
      <c r="M45" s="130"/>
      <c r="N45" s="130"/>
      <c r="O45" s="130"/>
      <c r="P45" s="130"/>
      <c r="Q45" s="130"/>
      <c r="R45" s="130"/>
      <c r="S45" s="130"/>
      <c r="T45" s="130"/>
      <c r="U45" s="130"/>
      <c r="V45" s="130"/>
      <c r="W45" s="130"/>
    </row>
    <row r="46" spans="1:52" x14ac:dyDescent="0.25">
      <c r="C46" s="130"/>
      <c r="D46" s="130"/>
      <c r="E46" s="130"/>
      <c r="F46" s="130"/>
      <c r="G46" s="130"/>
      <c r="H46" s="130"/>
      <c r="I46" s="130"/>
      <c r="J46" s="130"/>
      <c r="K46" s="130"/>
      <c r="L46" s="130"/>
      <c r="M46" s="130"/>
      <c r="N46" s="130"/>
      <c r="O46" s="130"/>
      <c r="P46" s="130"/>
      <c r="Q46" s="130"/>
      <c r="R46" s="130"/>
      <c r="S46" s="130"/>
      <c r="T46" s="130"/>
      <c r="U46" s="130"/>
      <c r="V46" s="130"/>
      <c r="W46" s="130"/>
    </row>
    <row r="47" spans="1:52" x14ac:dyDescent="0.25">
      <c r="C47" s="130"/>
      <c r="D47" s="130"/>
      <c r="E47" s="130"/>
      <c r="F47" s="130"/>
      <c r="G47" s="130"/>
      <c r="H47" s="130"/>
      <c r="I47" s="130"/>
      <c r="J47" s="130"/>
      <c r="K47" s="130"/>
      <c r="L47" s="130"/>
      <c r="M47" s="130"/>
      <c r="N47" s="130"/>
      <c r="O47" s="130"/>
      <c r="P47" s="130"/>
      <c r="Q47" s="130"/>
      <c r="R47" s="130"/>
      <c r="S47" s="130"/>
      <c r="T47" s="130"/>
      <c r="U47" s="130"/>
      <c r="V47" s="130"/>
      <c r="W47" s="130"/>
    </row>
    <row r="48" spans="1:52" x14ac:dyDescent="0.25">
      <c r="C48" s="130"/>
      <c r="D48" s="130"/>
      <c r="E48" s="130"/>
      <c r="F48" s="130"/>
      <c r="G48" s="130"/>
      <c r="H48" s="130"/>
      <c r="I48" s="130"/>
      <c r="J48" s="130"/>
      <c r="K48" s="130"/>
      <c r="L48" s="130"/>
      <c r="M48" s="130"/>
      <c r="N48" s="130"/>
      <c r="O48" s="130"/>
      <c r="P48" s="130"/>
      <c r="Q48" s="130"/>
      <c r="R48" s="130"/>
      <c r="S48" s="130"/>
      <c r="T48" s="130"/>
      <c r="U48" s="130"/>
      <c r="V48" s="130"/>
      <c r="W48" s="130"/>
    </row>
    <row r="49" spans="3:23" x14ac:dyDescent="0.25">
      <c r="C49" s="130"/>
      <c r="D49" s="130"/>
      <c r="E49" s="130"/>
      <c r="F49" s="130"/>
      <c r="G49" s="130"/>
      <c r="H49" s="130"/>
      <c r="I49" s="130"/>
      <c r="J49" s="130"/>
      <c r="K49" s="130"/>
      <c r="L49" s="130"/>
      <c r="M49" s="130"/>
      <c r="N49" s="130"/>
      <c r="O49" s="130"/>
      <c r="P49" s="130"/>
      <c r="Q49" s="130"/>
      <c r="R49" s="130"/>
      <c r="S49" s="130"/>
      <c r="T49" s="130"/>
      <c r="U49" s="130"/>
      <c r="V49" s="130"/>
      <c r="W49" s="130"/>
    </row>
    <row r="50" spans="3:23" x14ac:dyDescent="0.25">
      <c r="C50" s="130"/>
      <c r="D50" s="130"/>
      <c r="E50" s="130"/>
      <c r="F50" s="130"/>
      <c r="G50" s="130"/>
      <c r="H50" s="130"/>
      <c r="I50" s="130"/>
      <c r="J50" s="130"/>
      <c r="K50" s="130"/>
      <c r="L50" s="130"/>
      <c r="M50" s="130"/>
      <c r="N50" s="130"/>
      <c r="O50" s="130"/>
      <c r="P50" s="130"/>
      <c r="Q50" s="130"/>
      <c r="R50" s="130"/>
      <c r="S50" s="130"/>
      <c r="T50" s="130"/>
      <c r="U50" s="130"/>
      <c r="V50" s="130"/>
      <c r="W50" s="130"/>
    </row>
    <row r="51" spans="3:23" x14ac:dyDescent="0.25">
      <c r="C51" s="130"/>
      <c r="D51" s="130"/>
      <c r="E51" s="130"/>
      <c r="F51" s="130"/>
      <c r="G51" s="130"/>
      <c r="H51" s="130"/>
      <c r="I51" s="130"/>
      <c r="J51" s="130"/>
      <c r="K51" s="130"/>
      <c r="L51" s="130"/>
      <c r="M51" s="130"/>
      <c r="N51" s="130"/>
      <c r="O51" s="130"/>
      <c r="P51" s="130"/>
      <c r="Q51" s="130"/>
      <c r="R51" s="130"/>
      <c r="S51" s="130"/>
      <c r="T51" s="130"/>
      <c r="U51" s="130"/>
      <c r="V51" s="130"/>
      <c r="W51" s="130"/>
    </row>
    <row r="52" spans="3:23" x14ac:dyDescent="0.25">
      <c r="C52" s="130"/>
      <c r="D52" s="130"/>
      <c r="E52" s="130"/>
      <c r="F52" s="130"/>
      <c r="G52" s="130"/>
      <c r="H52" s="130"/>
      <c r="I52" s="130"/>
      <c r="J52" s="130"/>
      <c r="K52" s="130"/>
      <c r="L52" s="130"/>
      <c r="M52" s="130"/>
      <c r="N52" s="130"/>
      <c r="O52" s="130"/>
      <c r="P52" s="130"/>
      <c r="Q52" s="130"/>
      <c r="R52" s="130"/>
      <c r="S52" s="130"/>
      <c r="T52" s="130"/>
      <c r="U52" s="130"/>
      <c r="V52" s="130"/>
      <c r="W52" s="130"/>
    </row>
    <row r="53" spans="3:23" x14ac:dyDescent="0.25">
      <c r="C53" s="130"/>
      <c r="D53" s="130"/>
      <c r="E53" s="130"/>
      <c r="F53" s="130"/>
      <c r="G53" s="130"/>
      <c r="H53" s="130"/>
      <c r="I53" s="130"/>
      <c r="J53" s="130"/>
      <c r="K53" s="130"/>
      <c r="L53" s="130"/>
      <c r="M53" s="130"/>
      <c r="N53" s="130"/>
      <c r="O53" s="130"/>
      <c r="P53" s="130"/>
      <c r="Q53" s="130"/>
      <c r="R53" s="130"/>
      <c r="S53" s="130"/>
      <c r="T53" s="130"/>
      <c r="U53" s="130"/>
      <c r="V53" s="130"/>
      <c r="W53" s="130"/>
    </row>
    <row r="54" spans="3:23" x14ac:dyDescent="0.25">
      <c r="C54" s="130"/>
      <c r="D54" s="130"/>
      <c r="E54" s="130"/>
      <c r="F54" s="130"/>
      <c r="G54" s="130"/>
      <c r="H54" s="130"/>
      <c r="I54" s="130"/>
      <c r="J54" s="130"/>
      <c r="K54" s="130"/>
      <c r="L54" s="130"/>
      <c r="M54" s="130"/>
      <c r="N54" s="130"/>
      <c r="O54" s="130"/>
      <c r="P54" s="130"/>
      <c r="Q54" s="130"/>
      <c r="R54" s="130"/>
      <c r="S54" s="130"/>
      <c r="T54" s="130"/>
      <c r="U54" s="130"/>
      <c r="V54" s="130"/>
      <c r="W54" s="130"/>
    </row>
    <row r="55" spans="3:23" x14ac:dyDescent="0.25">
      <c r="C55" s="130"/>
      <c r="D55" s="130"/>
      <c r="E55" s="130"/>
      <c r="F55" s="130"/>
      <c r="G55" s="130"/>
      <c r="H55" s="130"/>
      <c r="I55" s="130"/>
      <c r="J55" s="130"/>
      <c r="K55" s="130"/>
      <c r="L55" s="130"/>
      <c r="M55" s="130"/>
      <c r="N55" s="130"/>
      <c r="O55" s="130"/>
      <c r="P55" s="130"/>
      <c r="Q55" s="130"/>
      <c r="R55" s="130"/>
      <c r="S55" s="130"/>
      <c r="T55" s="130"/>
      <c r="U55" s="130"/>
      <c r="V55" s="130"/>
      <c r="W55" s="130"/>
    </row>
    <row r="56" spans="3:23" x14ac:dyDescent="0.25">
      <c r="C56" s="130"/>
      <c r="D56" s="130"/>
      <c r="E56" s="130"/>
      <c r="F56" s="130"/>
      <c r="G56" s="130"/>
      <c r="H56" s="130"/>
      <c r="I56" s="130"/>
      <c r="J56" s="130"/>
      <c r="K56" s="130"/>
      <c r="L56" s="130"/>
      <c r="M56" s="130"/>
      <c r="N56" s="130"/>
      <c r="O56" s="130"/>
      <c r="P56" s="130"/>
      <c r="Q56" s="130"/>
      <c r="R56" s="130"/>
      <c r="S56" s="130"/>
      <c r="T56" s="130"/>
      <c r="U56" s="130"/>
      <c r="V56" s="130"/>
      <c r="W56" s="130"/>
    </row>
    <row r="57" spans="3:23" x14ac:dyDescent="0.25">
      <c r="C57" s="130"/>
      <c r="D57" s="130"/>
      <c r="E57" s="130"/>
      <c r="F57" s="130"/>
      <c r="G57" s="130"/>
      <c r="H57" s="130"/>
      <c r="I57" s="130"/>
      <c r="J57" s="130"/>
      <c r="K57" s="130"/>
      <c r="L57" s="130"/>
      <c r="M57" s="130"/>
      <c r="N57" s="130"/>
      <c r="O57" s="130"/>
      <c r="P57" s="130"/>
      <c r="Q57" s="130"/>
      <c r="R57" s="130"/>
      <c r="S57" s="130"/>
      <c r="T57" s="130"/>
      <c r="U57" s="130"/>
      <c r="V57" s="130"/>
      <c r="W57" s="130"/>
    </row>
    <row r="58" spans="3:23" x14ac:dyDescent="0.25">
      <c r="C58" s="130"/>
      <c r="D58" s="130"/>
      <c r="E58" s="130"/>
      <c r="F58" s="130"/>
      <c r="G58" s="130"/>
      <c r="H58" s="130"/>
      <c r="I58" s="130"/>
      <c r="J58" s="130"/>
      <c r="K58" s="130"/>
      <c r="L58" s="130"/>
      <c r="M58" s="130"/>
      <c r="N58" s="130"/>
      <c r="O58" s="130"/>
      <c r="P58" s="130"/>
      <c r="Q58" s="130"/>
      <c r="R58" s="130"/>
      <c r="S58" s="130"/>
      <c r="T58" s="130"/>
      <c r="U58" s="130"/>
      <c r="V58" s="130"/>
      <c r="W58" s="130"/>
    </row>
    <row r="59" spans="3:23" x14ac:dyDescent="0.25">
      <c r="C59" s="130"/>
      <c r="D59" s="130"/>
      <c r="E59" s="130"/>
      <c r="F59" s="130"/>
      <c r="G59" s="130"/>
      <c r="H59" s="130"/>
      <c r="I59" s="130"/>
      <c r="J59" s="130"/>
      <c r="K59" s="130"/>
      <c r="L59" s="130"/>
      <c r="M59" s="130"/>
      <c r="N59" s="130"/>
      <c r="O59" s="130"/>
      <c r="P59" s="130"/>
      <c r="Q59" s="130"/>
      <c r="R59" s="130"/>
      <c r="S59" s="130"/>
      <c r="T59" s="130"/>
      <c r="U59" s="130"/>
      <c r="V59" s="130"/>
      <c r="W59" s="130"/>
    </row>
    <row r="60" spans="3:23" x14ac:dyDescent="0.25">
      <c r="C60" s="130"/>
      <c r="D60" s="130"/>
      <c r="E60" s="130"/>
      <c r="F60" s="130"/>
      <c r="G60" s="130"/>
      <c r="H60" s="130"/>
      <c r="I60" s="130"/>
      <c r="J60" s="130"/>
      <c r="K60" s="130"/>
      <c r="L60" s="130"/>
      <c r="M60" s="130"/>
      <c r="N60" s="130"/>
      <c r="O60" s="130"/>
      <c r="P60" s="130"/>
      <c r="Q60" s="130"/>
      <c r="R60" s="130"/>
      <c r="S60" s="130"/>
      <c r="T60" s="130"/>
      <c r="U60" s="130"/>
      <c r="V60" s="130"/>
      <c r="W60" s="130"/>
    </row>
    <row r="61" spans="3:23" x14ac:dyDescent="0.25">
      <c r="C61" s="130"/>
      <c r="D61" s="130"/>
      <c r="E61" s="130"/>
      <c r="F61" s="130"/>
      <c r="G61" s="130"/>
      <c r="H61" s="130"/>
      <c r="I61" s="130"/>
      <c r="J61" s="130"/>
      <c r="K61" s="130"/>
      <c r="L61" s="130"/>
      <c r="M61" s="130"/>
      <c r="N61" s="130"/>
      <c r="O61" s="130"/>
      <c r="P61" s="130"/>
      <c r="Q61" s="130"/>
      <c r="R61" s="130"/>
      <c r="S61" s="130"/>
      <c r="T61" s="130"/>
      <c r="U61" s="130"/>
      <c r="V61" s="130"/>
      <c r="W61" s="130"/>
    </row>
    <row r="62" spans="3:23" x14ac:dyDescent="0.25">
      <c r="C62" s="130"/>
      <c r="D62" s="130"/>
      <c r="E62" s="130"/>
      <c r="F62" s="130"/>
      <c r="G62" s="130"/>
      <c r="H62" s="130"/>
      <c r="I62" s="130"/>
      <c r="J62" s="130"/>
      <c r="K62" s="130"/>
      <c r="L62" s="130"/>
      <c r="M62" s="130"/>
      <c r="N62" s="130"/>
      <c r="O62" s="130"/>
      <c r="P62" s="130"/>
      <c r="Q62" s="130"/>
      <c r="R62" s="130"/>
      <c r="S62" s="130"/>
      <c r="T62" s="130"/>
      <c r="U62" s="130"/>
      <c r="V62" s="130"/>
      <c r="W62" s="130"/>
    </row>
    <row r="63" spans="3:23" x14ac:dyDescent="0.25">
      <c r="C63" s="130"/>
      <c r="D63" s="130"/>
      <c r="E63" s="130"/>
      <c r="F63" s="130"/>
      <c r="G63" s="130"/>
      <c r="H63" s="130"/>
      <c r="I63" s="130"/>
      <c r="J63" s="130"/>
      <c r="K63" s="130"/>
      <c r="L63" s="130"/>
      <c r="M63" s="130"/>
      <c r="N63" s="130"/>
      <c r="O63" s="130"/>
      <c r="P63" s="130"/>
      <c r="Q63" s="130"/>
      <c r="R63" s="130"/>
      <c r="S63" s="130"/>
      <c r="T63" s="130"/>
      <c r="U63" s="130"/>
      <c r="V63" s="130"/>
      <c r="W63" s="130"/>
    </row>
    <row r="64" spans="3:23" x14ac:dyDescent="0.25">
      <c r="C64" s="130"/>
      <c r="D64" s="130"/>
      <c r="E64" s="130"/>
      <c r="F64" s="130"/>
      <c r="G64" s="130"/>
      <c r="H64" s="130"/>
      <c r="I64" s="130"/>
      <c r="J64" s="130"/>
      <c r="K64" s="130"/>
      <c r="L64" s="130"/>
      <c r="M64" s="130"/>
      <c r="N64" s="130"/>
      <c r="O64" s="130"/>
      <c r="P64" s="130"/>
      <c r="Q64" s="130"/>
      <c r="R64" s="130"/>
      <c r="S64" s="130"/>
      <c r="T64" s="130"/>
      <c r="U64" s="130"/>
      <c r="V64" s="130"/>
      <c r="W64" s="130"/>
    </row>
    <row r="65" spans="3:23" x14ac:dyDescent="0.25">
      <c r="C65" s="130"/>
      <c r="D65" s="130"/>
      <c r="E65" s="130"/>
      <c r="F65" s="130"/>
      <c r="G65" s="130"/>
      <c r="H65" s="130"/>
      <c r="I65" s="130"/>
      <c r="J65" s="130"/>
      <c r="K65" s="130"/>
      <c r="L65" s="130"/>
      <c r="M65" s="130"/>
      <c r="N65" s="130"/>
      <c r="O65" s="130"/>
      <c r="P65" s="130"/>
      <c r="Q65" s="130"/>
      <c r="R65" s="130"/>
      <c r="S65" s="130"/>
      <c r="T65" s="130"/>
      <c r="U65" s="130"/>
      <c r="V65" s="130"/>
      <c r="W65" s="130"/>
    </row>
    <row r="66" spans="3:23" x14ac:dyDescent="0.25">
      <c r="C66" s="130"/>
      <c r="D66" s="130"/>
      <c r="E66" s="130"/>
      <c r="F66" s="130"/>
      <c r="G66" s="130"/>
      <c r="H66" s="130"/>
      <c r="I66" s="130"/>
      <c r="J66" s="130"/>
      <c r="K66" s="130"/>
      <c r="L66" s="130"/>
      <c r="M66" s="130"/>
      <c r="N66" s="130"/>
      <c r="O66" s="130"/>
      <c r="P66" s="130"/>
      <c r="Q66" s="130"/>
      <c r="R66" s="130"/>
      <c r="S66" s="130"/>
      <c r="T66" s="130"/>
      <c r="U66" s="130"/>
      <c r="V66" s="130"/>
      <c r="W66" s="130"/>
    </row>
    <row r="67" spans="3:23" x14ac:dyDescent="0.25">
      <c r="C67" s="130"/>
      <c r="D67" s="130"/>
      <c r="E67" s="130"/>
      <c r="F67" s="130"/>
      <c r="G67" s="130"/>
      <c r="H67" s="130"/>
      <c r="I67" s="130"/>
      <c r="J67" s="130"/>
      <c r="K67" s="130"/>
      <c r="L67" s="130"/>
      <c r="M67" s="130"/>
      <c r="N67" s="130"/>
      <c r="O67" s="130"/>
      <c r="P67" s="130"/>
      <c r="Q67" s="130"/>
      <c r="R67" s="130"/>
      <c r="S67" s="130"/>
      <c r="T67" s="130"/>
      <c r="U67" s="130"/>
      <c r="V67" s="130"/>
      <c r="W67" s="130"/>
    </row>
    <row r="68" spans="3:23" x14ac:dyDescent="0.25">
      <c r="C68" s="130"/>
      <c r="D68" s="130"/>
      <c r="E68" s="130"/>
      <c r="F68" s="130"/>
      <c r="G68" s="130"/>
      <c r="H68" s="130"/>
      <c r="I68" s="130"/>
      <c r="J68" s="130"/>
      <c r="K68" s="130"/>
      <c r="L68" s="130"/>
      <c r="M68" s="130"/>
      <c r="N68" s="130"/>
      <c r="O68" s="130"/>
      <c r="P68" s="130"/>
      <c r="Q68" s="130"/>
      <c r="R68" s="130"/>
      <c r="S68" s="130"/>
      <c r="T68" s="130"/>
      <c r="U68" s="130"/>
      <c r="V68" s="130"/>
      <c r="W68" s="130"/>
    </row>
    <row r="69" spans="3:23" x14ac:dyDescent="0.25">
      <c r="C69" s="130"/>
      <c r="D69" s="130"/>
      <c r="E69" s="130"/>
      <c r="F69" s="130"/>
      <c r="G69" s="130"/>
      <c r="H69" s="130"/>
      <c r="I69" s="130"/>
      <c r="J69" s="130"/>
      <c r="K69" s="130"/>
      <c r="L69" s="130"/>
      <c r="M69" s="130"/>
      <c r="N69" s="130"/>
      <c r="O69" s="130"/>
      <c r="P69" s="130"/>
      <c r="Q69" s="130"/>
      <c r="R69" s="130"/>
      <c r="S69" s="130"/>
      <c r="T69" s="130"/>
      <c r="U69" s="130"/>
      <c r="V69" s="130"/>
      <c r="W69" s="130"/>
    </row>
    <row r="70" spans="3:23" x14ac:dyDescent="0.25">
      <c r="C70" s="130"/>
      <c r="D70" s="130"/>
      <c r="E70" s="130"/>
      <c r="F70" s="130"/>
      <c r="G70" s="130"/>
      <c r="H70" s="130"/>
      <c r="I70" s="130"/>
      <c r="J70" s="130"/>
      <c r="K70" s="130"/>
      <c r="L70" s="130"/>
      <c r="M70" s="130"/>
      <c r="N70" s="130"/>
      <c r="O70" s="130"/>
      <c r="P70" s="130"/>
      <c r="Q70" s="130"/>
      <c r="R70" s="130"/>
      <c r="S70" s="130"/>
      <c r="T70" s="130"/>
      <c r="U70" s="130"/>
      <c r="V70" s="130"/>
      <c r="W70" s="130"/>
    </row>
    <row r="71" spans="3:23" x14ac:dyDescent="0.25">
      <c r="C71" s="130"/>
      <c r="D71" s="130"/>
      <c r="E71" s="130"/>
      <c r="F71" s="130"/>
      <c r="G71" s="130"/>
      <c r="H71" s="130"/>
      <c r="I71" s="130"/>
      <c r="J71" s="130"/>
      <c r="K71" s="130"/>
      <c r="L71" s="130"/>
      <c r="M71" s="130"/>
      <c r="N71" s="130"/>
      <c r="O71" s="130"/>
      <c r="P71" s="130"/>
      <c r="Q71" s="130"/>
      <c r="R71" s="130"/>
      <c r="S71" s="130"/>
      <c r="T71" s="130"/>
      <c r="U71" s="130"/>
      <c r="V71" s="130"/>
      <c r="W71" s="130"/>
    </row>
    <row r="72" spans="3:23" x14ac:dyDescent="0.25">
      <c r="C72" s="130"/>
      <c r="D72" s="130"/>
      <c r="E72" s="130"/>
      <c r="F72" s="130"/>
      <c r="G72" s="130"/>
      <c r="H72" s="130"/>
      <c r="I72" s="130"/>
      <c r="J72" s="130"/>
      <c r="K72" s="130"/>
      <c r="L72" s="130"/>
      <c r="M72" s="130"/>
      <c r="N72" s="130"/>
      <c r="O72" s="130"/>
      <c r="P72" s="130"/>
      <c r="Q72" s="130"/>
      <c r="R72" s="130"/>
      <c r="S72" s="130"/>
      <c r="T72" s="130"/>
      <c r="U72" s="130"/>
      <c r="V72" s="130"/>
      <c r="W72" s="130"/>
    </row>
    <row r="73" spans="3:23" x14ac:dyDescent="0.25">
      <c r="C73" s="130"/>
      <c r="D73" s="130"/>
      <c r="E73" s="130"/>
      <c r="F73" s="130"/>
      <c r="G73" s="130"/>
      <c r="H73" s="130"/>
      <c r="I73" s="130"/>
      <c r="J73" s="130"/>
      <c r="K73" s="130"/>
      <c r="L73" s="130"/>
      <c r="M73" s="130"/>
      <c r="N73" s="130"/>
      <c r="O73" s="130"/>
      <c r="P73" s="130"/>
      <c r="Q73" s="130"/>
      <c r="R73" s="130"/>
      <c r="S73" s="130"/>
      <c r="T73" s="130"/>
      <c r="U73" s="130"/>
      <c r="V73" s="130"/>
      <c r="W73" s="130"/>
    </row>
    <row r="74" spans="3:23" x14ac:dyDescent="0.25">
      <c r="C74" s="130"/>
      <c r="D74" s="130"/>
      <c r="E74" s="130"/>
      <c r="F74" s="130"/>
      <c r="G74" s="130"/>
      <c r="H74" s="130"/>
      <c r="I74" s="130"/>
      <c r="J74" s="130"/>
      <c r="K74" s="130"/>
      <c r="L74" s="130"/>
      <c r="M74" s="130"/>
      <c r="N74" s="130"/>
      <c r="O74" s="130"/>
      <c r="P74" s="130"/>
      <c r="Q74" s="130"/>
      <c r="R74" s="130"/>
      <c r="S74" s="130"/>
      <c r="T74" s="130"/>
      <c r="U74" s="130"/>
      <c r="V74" s="130"/>
      <c r="W74" s="130"/>
    </row>
    <row r="75" spans="3:23" x14ac:dyDescent="0.25">
      <c r="C75" s="130"/>
      <c r="D75" s="130"/>
      <c r="E75" s="130"/>
      <c r="F75" s="130"/>
      <c r="G75" s="130"/>
      <c r="H75" s="130"/>
      <c r="I75" s="130"/>
      <c r="J75" s="130"/>
      <c r="K75" s="130"/>
      <c r="L75" s="130"/>
      <c r="M75" s="130"/>
      <c r="N75" s="130"/>
      <c r="O75" s="130"/>
      <c r="P75" s="130"/>
      <c r="Q75" s="130"/>
      <c r="R75" s="130"/>
      <c r="S75" s="130"/>
      <c r="T75" s="130"/>
      <c r="U75" s="130"/>
      <c r="V75" s="130"/>
      <c r="W75" s="130"/>
    </row>
    <row r="76" spans="3:23" x14ac:dyDescent="0.25">
      <c r="C76" s="130"/>
      <c r="D76" s="130"/>
      <c r="E76" s="130"/>
      <c r="F76" s="130"/>
      <c r="G76" s="130"/>
      <c r="H76" s="130"/>
      <c r="I76" s="130"/>
      <c r="J76" s="130"/>
      <c r="K76" s="130"/>
      <c r="L76" s="130"/>
      <c r="M76" s="130"/>
      <c r="N76" s="130"/>
      <c r="O76" s="130"/>
      <c r="P76" s="130"/>
      <c r="Q76" s="130"/>
      <c r="R76" s="130"/>
      <c r="S76" s="130"/>
      <c r="T76" s="130"/>
      <c r="U76" s="130"/>
      <c r="V76" s="130"/>
      <c r="W76" s="130"/>
    </row>
    <row r="77" spans="3:23" x14ac:dyDescent="0.25">
      <c r="C77" s="130"/>
      <c r="D77" s="130"/>
      <c r="E77" s="130"/>
      <c r="F77" s="130"/>
      <c r="G77" s="130"/>
      <c r="H77" s="130"/>
      <c r="I77" s="130"/>
      <c r="J77" s="130"/>
      <c r="K77" s="130"/>
      <c r="L77" s="130"/>
      <c r="M77" s="130"/>
      <c r="N77" s="130"/>
      <c r="O77" s="130"/>
      <c r="P77" s="130"/>
      <c r="Q77" s="130"/>
      <c r="R77" s="130"/>
      <c r="S77" s="130"/>
      <c r="T77" s="130"/>
      <c r="U77" s="130"/>
      <c r="V77" s="130"/>
      <c r="W77" s="130"/>
    </row>
    <row r="78" spans="3:23" x14ac:dyDescent="0.25">
      <c r="C78" s="130"/>
      <c r="D78" s="130"/>
      <c r="E78" s="130"/>
      <c r="F78" s="130"/>
      <c r="G78" s="130"/>
      <c r="H78" s="130"/>
      <c r="I78" s="130"/>
      <c r="J78" s="130"/>
      <c r="K78" s="130"/>
      <c r="L78" s="130"/>
      <c r="M78" s="130"/>
      <c r="N78" s="130"/>
      <c r="O78" s="130"/>
      <c r="P78" s="130"/>
      <c r="Q78" s="130"/>
      <c r="R78" s="130"/>
      <c r="S78" s="130"/>
      <c r="T78" s="130"/>
      <c r="U78" s="130"/>
      <c r="V78" s="130"/>
      <c r="W78" s="130"/>
    </row>
    <row r="79" spans="3:23" x14ac:dyDescent="0.25">
      <c r="C79" s="130"/>
      <c r="D79" s="130"/>
      <c r="E79" s="130"/>
      <c r="F79" s="130"/>
      <c r="G79" s="130"/>
      <c r="H79" s="130"/>
      <c r="I79" s="130"/>
      <c r="J79" s="130"/>
      <c r="K79" s="130"/>
      <c r="L79" s="130"/>
      <c r="M79" s="130"/>
      <c r="N79" s="130"/>
      <c r="O79" s="130"/>
      <c r="P79" s="130"/>
      <c r="Q79" s="130"/>
      <c r="R79" s="130"/>
      <c r="S79" s="130"/>
      <c r="T79" s="130"/>
      <c r="U79" s="130"/>
      <c r="V79" s="130"/>
      <c r="W79" s="130"/>
    </row>
    <row r="80" spans="3:23" x14ac:dyDescent="0.25">
      <c r="C80" s="130"/>
      <c r="D80" s="130"/>
      <c r="E80" s="130"/>
      <c r="F80" s="130"/>
      <c r="G80" s="130"/>
      <c r="H80" s="130"/>
      <c r="I80" s="130"/>
      <c r="J80" s="130"/>
      <c r="K80" s="130"/>
      <c r="L80" s="130"/>
      <c r="M80" s="130"/>
      <c r="N80" s="130"/>
      <c r="O80" s="130"/>
      <c r="P80" s="130"/>
      <c r="Q80" s="130"/>
      <c r="R80" s="130"/>
      <c r="S80" s="130"/>
      <c r="T80" s="130"/>
      <c r="U80" s="130"/>
      <c r="V80" s="130"/>
      <c r="W80" s="130"/>
    </row>
    <row r="81" spans="3:23" x14ac:dyDescent="0.25">
      <c r="C81" s="130"/>
      <c r="D81" s="130"/>
      <c r="E81" s="130"/>
      <c r="F81" s="130"/>
      <c r="G81" s="130"/>
      <c r="H81" s="130"/>
      <c r="I81" s="130"/>
      <c r="J81" s="130"/>
      <c r="K81" s="130"/>
      <c r="L81" s="130"/>
      <c r="M81" s="130"/>
      <c r="N81" s="130"/>
      <c r="O81" s="130"/>
      <c r="P81" s="130"/>
      <c r="Q81" s="130"/>
      <c r="R81" s="130"/>
      <c r="S81" s="130"/>
      <c r="T81" s="130"/>
      <c r="U81" s="130"/>
      <c r="V81" s="130"/>
      <c r="W81" s="130"/>
    </row>
    <row r="82" spans="3:23" x14ac:dyDescent="0.25">
      <c r="C82" s="130"/>
      <c r="D82" s="130"/>
      <c r="E82" s="130"/>
      <c r="F82" s="130"/>
      <c r="G82" s="130"/>
      <c r="H82" s="130"/>
      <c r="I82" s="130"/>
      <c r="J82" s="130"/>
      <c r="K82" s="130"/>
      <c r="L82" s="130"/>
      <c r="M82" s="130"/>
      <c r="N82" s="130"/>
      <c r="O82" s="130"/>
      <c r="P82" s="130"/>
      <c r="Q82" s="130"/>
      <c r="R82" s="130"/>
      <c r="S82" s="130"/>
      <c r="T82" s="130"/>
      <c r="U82" s="130"/>
      <c r="V82" s="130"/>
      <c r="W82" s="130"/>
    </row>
    <row r="83" spans="3:23" x14ac:dyDescent="0.25">
      <c r="C83" s="130"/>
      <c r="D83" s="130"/>
      <c r="E83" s="130"/>
      <c r="F83" s="130"/>
      <c r="G83" s="130"/>
      <c r="H83" s="130"/>
      <c r="I83" s="130"/>
      <c r="J83" s="130"/>
      <c r="K83" s="130"/>
      <c r="L83" s="130"/>
      <c r="M83" s="130"/>
      <c r="N83" s="130"/>
      <c r="O83" s="130"/>
      <c r="P83" s="130"/>
      <c r="Q83" s="130"/>
      <c r="R83" s="130"/>
      <c r="S83" s="130"/>
      <c r="T83" s="130"/>
      <c r="U83" s="130"/>
      <c r="V83" s="130"/>
      <c r="W83" s="130"/>
    </row>
    <row r="84" spans="3:23" x14ac:dyDescent="0.25">
      <c r="C84" s="130"/>
      <c r="D84" s="130"/>
      <c r="E84" s="130"/>
      <c r="F84" s="130"/>
      <c r="G84" s="130"/>
      <c r="H84" s="130"/>
      <c r="I84" s="130"/>
      <c r="J84" s="130"/>
      <c r="K84" s="130"/>
      <c r="L84" s="130"/>
      <c r="M84" s="130"/>
      <c r="N84" s="130"/>
      <c r="O84" s="130"/>
      <c r="P84" s="130"/>
      <c r="Q84" s="130"/>
      <c r="R84" s="130"/>
      <c r="S84" s="130"/>
      <c r="T84" s="130"/>
      <c r="U84" s="130"/>
      <c r="V84" s="130"/>
      <c r="W84" s="130"/>
    </row>
    <row r="85" spans="3:23" x14ac:dyDescent="0.25">
      <c r="C85" s="130"/>
      <c r="D85" s="130"/>
      <c r="E85" s="130"/>
      <c r="F85" s="130"/>
      <c r="G85" s="130"/>
      <c r="H85" s="130"/>
      <c r="I85" s="130"/>
      <c r="J85" s="130"/>
      <c r="K85" s="130"/>
      <c r="L85" s="130"/>
      <c r="M85" s="130"/>
      <c r="N85" s="130"/>
      <c r="O85" s="130"/>
      <c r="P85" s="130"/>
      <c r="Q85" s="130"/>
      <c r="R85" s="130"/>
      <c r="S85" s="130"/>
      <c r="T85" s="130"/>
      <c r="U85" s="130"/>
      <c r="V85" s="130"/>
      <c r="W85" s="130"/>
    </row>
    <row r="86" spans="3:23" x14ac:dyDescent="0.25">
      <c r="C86" s="130"/>
      <c r="D86" s="130"/>
      <c r="E86" s="130"/>
      <c r="F86" s="130"/>
      <c r="G86" s="130"/>
      <c r="H86" s="130"/>
      <c r="I86" s="130"/>
      <c r="J86" s="130"/>
      <c r="K86" s="130"/>
      <c r="L86" s="130"/>
      <c r="M86" s="130"/>
      <c r="N86" s="130"/>
      <c r="O86" s="130"/>
      <c r="P86" s="130"/>
      <c r="Q86" s="130"/>
      <c r="R86" s="130"/>
      <c r="S86" s="130"/>
      <c r="T86" s="130"/>
      <c r="U86" s="130"/>
      <c r="V86" s="130"/>
      <c r="W86" s="130"/>
    </row>
    <row r="87" spans="3:23" x14ac:dyDescent="0.25">
      <c r="C87" s="130"/>
      <c r="D87" s="130"/>
      <c r="E87" s="130"/>
      <c r="F87" s="130"/>
      <c r="G87" s="130"/>
      <c r="H87" s="130"/>
      <c r="I87" s="130"/>
      <c r="J87" s="130"/>
      <c r="K87" s="130"/>
      <c r="L87" s="130"/>
      <c r="M87" s="130"/>
      <c r="N87" s="130"/>
      <c r="O87" s="130"/>
      <c r="P87" s="130"/>
      <c r="Q87" s="130"/>
      <c r="R87" s="130"/>
      <c r="S87" s="130"/>
      <c r="T87" s="130"/>
      <c r="U87" s="130"/>
      <c r="V87" s="130"/>
      <c r="W87" s="130"/>
    </row>
    <row r="88" spans="3:23" x14ac:dyDescent="0.25">
      <c r="C88" s="130"/>
      <c r="D88" s="130"/>
      <c r="E88" s="130"/>
      <c r="F88" s="130"/>
      <c r="G88" s="130"/>
      <c r="H88" s="130"/>
      <c r="I88" s="130"/>
      <c r="J88" s="130"/>
      <c r="K88" s="130"/>
      <c r="L88" s="130"/>
      <c r="M88" s="130"/>
      <c r="N88" s="130"/>
      <c r="O88" s="130"/>
      <c r="P88" s="130"/>
      <c r="Q88" s="130"/>
      <c r="R88" s="130"/>
      <c r="S88" s="130"/>
      <c r="T88" s="130"/>
      <c r="U88" s="130"/>
      <c r="V88" s="130"/>
      <c r="W88" s="130"/>
    </row>
    <row r="89" spans="3:23" x14ac:dyDescent="0.25">
      <c r="C89" s="130"/>
      <c r="D89" s="130"/>
      <c r="E89" s="130"/>
      <c r="F89" s="130"/>
      <c r="G89" s="130"/>
      <c r="H89" s="130"/>
      <c r="I89" s="130"/>
      <c r="J89" s="130"/>
      <c r="K89" s="130"/>
      <c r="L89" s="130"/>
      <c r="M89" s="130"/>
      <c r="N89" s="130"/>
      <c r="O89" s="130"/>
      <c r="P89" s="130"/>
      <c r="Q89" s="130"/>
      <c r="R89" s="130"/>
      <c r="S89" s="130"/>
      <c r="T89" s="130"/>
      <c r="U89" s="130"/>
      <c r="V89" s="130"/>
      <c r="W89" s="130"/>
    </row>
    <row r="90" spans="3:23" x14ac:dyDescent="0.25">
      <c r="C90" s="130"/>
      <c r="D90" s="130"/>
      <c r="E90" s="130"/>
      <c r="F90" s="130"/>
      <c r="G90" s="130"/>
      <c r="H90" s="130"/>
      <c r="I90" s="130"/>
      <c r="J90" s="130"/>
      <c r="K90" s="130"/>
      <c r="L90" s="130"/>
      <c r="M90" s="130"/>
      <c r="N90" s="130"/>
      <c r="O90" s="130"/>
      <c r="P90" s="130"/>
      <c r="Q90" s="130"/>
      <c r="R90" s="130"/>
      <c r="S90" s="130"/>
      <c r="T90" s="130"/>
      <c r="U90" s="130"/>
      <c r="V90" s="130"/>
      <c r="W90" s="130"/>
    </row>
    <row r="91" spans="3:23" x14ac:dyDescent="0.25">
      <c r="C91" s="130"/>
      <c r="D91" s="130"/>
      <c r="E91" s="130"/>
      <c r="F91" s="130"/>
      <c r="G91" s="130"/>
      <c r="H91" s="130"/>
      <c r="I91" s="130"/>
      <c r="J91" s="130"/>
      <c r="K91" s="130"/>
      <c r="L91" s="130"/>
      <c r="M91" s="130"/>
      <c r="N91" s="130"/>
      <c r="O91" s="130"/>
      <c r="P91" s="130"/>
      <c r="Q91" s="130"/>
      <c r="R91" s="130"/>
      <c r="S91" s="130"/>
      <c r="T91" s="130"/>
      <c r="U91" s="130"/>
      <c r="V91" s="130"/>
      <c r="W91" s="130"/>
    </row>
    <row r="92" spans="3:23" x14ac:dyDescent="0.25">
      <c r="C92" s="130"/>
      <c r="D92" s="130"/>
      <c r="E92" s="130"/>
      <c r="F92" s="130"/>
      <c r="G92" s="130"/>
      <c r="H92" s="130"/>
      <c r="I92" s="130"/>
      <c r="J92" s="130"/>
      <c r="K92" s="130"/>
      <c r="L92" s="130"/>
      <c r="M92" s="130"/>
      <c r="N92" s="130"/>
      <c r="O92" s="130"/>
      <c r="P92" s="130"/>
      <c r="Q92" s="130"/>
      <c r="R92" s="130"/>
      <c r="S92" s="130"/>
      <c r="T92" s="130"/>
      <c r="U92" s="130"/>
      <c r="V92" s="130"/>
      <c r="W92" s="130"/>
    </row>
    <row r="93" spans="3:23" x14ac:dyDescent="0.25">
      <c r="C93" s="130"/>
      <c r="D93" s="130"/>
      <c r="E93" s="130"/>
      <c r="F93" s="130"/>
      <c r="G93" s="130"/>
      <c r="H93" s="130"/>
      <c r="I93" s="130"/>
      <c r="J93" s="130"/>
      <c r="K93" s="130"/>
      <c r="L93" s="130"/>
      <c r="M93" s="130"/>
      <c r="N93" s="130"/>
      <c r="O93" s="130"/>
      <c r="P93" s="130"/>
      <c r="Q93" s="130"/>
      <c r="R93" s="130"/>
      <c r="S93" s="130"/>
      <c r="T93" s="130"/>
      <c r="U93" s="130"/>
      <c r="V93" s="130"/>
      <c r="W93" s="130"/>
    </row>
    <row r="94" spans="3:23" x14ac:dyDescent="0.25">
      <c r="C94" s="130"/>
      <c r="D94" s="130"/>
      <c r="E94" s="130"/>
      <c r="F94" s="130"/>
      <c r="G94" s="130"/>
      <c r="H94" s="130"/>
      <c r="I94" s="130"/>
      <c r="J94" s="130"/>
      <c r="K94" s="130"/>
      <c r="L94" s="130"/>
      <c r="M94" s="130"/>
      <c r="N94" s="130"/>
      <c r="O94" s="130"/>
      <c r="P94" s="130"/>
      <c r="Q94" s="130"/>
      <c r="R94" s="130"/>
      <c r="S94" s="130"/>
      <c r="T94" s="130"/>
      <c r="U94" s="130"/>
      <c r="V94" s="130"/>
      <c r="W94" s="130"/>
    </row>
    <row r="95" spans="3:23" x14ac:dyDescent="0.25">
      <c r="C95" s="130"/>
      <c r="D95" s="130"/>
      <c r="E95" s="130"/>
      <c r="F95" s="130"/>
      <c r="G95" s="130"/>
      <c r="H95" s="130"/>
      <c r="I95" s="130"/>
      <c r="J95" s="130"/>
      <c r="K95" s="130"/>
      <c r="L95" s="130"/>
      <c r="M95" s="130"/>
      <c r="N95" s="130"/>
      <c r="O95" s="130"/>
      <c r="P95" s="130"/>
      <c r="Q95" s="130"/>
      <c r="R95" s="130"/>
      <c r="S95" s="130"/>
      <c r="T95" s="130"/>
      <c r="U95" s="130"/>
      <c r="V95" s="130"/>
      <c r="W95" s="130"/>
    </row>
    <row r="96" spans="3:23" x14ac:dyDescent="0.25">
      <c r="C96" s="130"/>
      <c r="D96" s="130"/>
      <c r="E96" s="130"/>
      <c r="F96" s="130"/>
      <c r="G96" s="130"/>
      <c r="H96" s="130"/>
      <c r="I96" s="130"/>
      <c r="J96" s="130"/>
      <c r="K96" s="130"/>
      <c r="L96" s="130"/>
      <c r="M96" s="130"/>
      <c r="N96" s="130"/>
      <c r="O96" s="130"/>
      <c r="P96" s="130"/>
      <c r="Q96" s="130"/>
      <c r="R96" s="130"/>
      <c r="S96" s="130"/>
      <c r="T96" s="130"/>
      <c r="U96" s="130"/>
      <c r="V96" s="130"/>
      <c r="W96" s="130"/>
    </row>
    <row r="97" spans="3:23" x14ac:dyDescent="0.25">
      <c r="C97" s="130"/>
      <c r="D97" s="130"/>
      <c r="E97" s="130"/>
      <c r="F97" s="130"/>
      <c r="G97" s="130"/>
      <c r="H97" s="130"/>
      <c r="I97" s="130"/>
      <c r="J97" s="130"/>
      <c r="K97" s="130"/>
      <c r="L97" s="130"/>
      <c r="M97" s="130"/>
      <c r="N97" s="130"/>
      <c r="O97" s="130"/>
      <c r="P97" s="130"/>
      <c r="Q97" s="130"/>
      <c r="R97" s="130"/>
      <c r="S97" s="130"/>
      <c r="T97" s="130"/>
      <c r="U97" s="130"/>
      <c r="V97" s="130"/>
      <c r="W97" s="130"/>
    </row>
    <row r="98" spans="3:23" x14ac:dyDescent="0.25">
      <c r="C98" s="130"/>
      <c r="D98" s="130"/>
      <c r="E98" s="130"/>
      <c r="F98" s="130"/>
      <c r="G98" s="130"/>
      <c r="H98" s="130"/>
      <c r="I98" s="130"/>
      <c r="J98" s="130"/>
      <c r="K98" s="130"/>
      <c r="L98" s="130"/>
      <c r="M98" s="130"/>
      <c r="N98" s="130"/>
      <c r="O98" s="130"/>
      <c r="P98" s="130"/>
      <c r="Q98" s="130"/>
      <c r="R98" s="130"/>
      <c r="S98" s="130"/>
      <c r="T98" s="130"/>
      <c r="U98" s="130"/>
      <c r="V98" s="130"/>
      <c r="W98" s="130"/>
    </row>
    <row r="99" spans="3:23" x14ac:dyDescent="0.25">
      <c r="C99" s="130"/>
      <c r="D99" s="130"/>
      <c r="E99" s="130"/>
      <c r="F99" s="130"/>
      <c r="G99" s="130"/>
      <c r="H99" s="130"/>
      <c r="I99" s="130"/>
      <c r="J99" s="130"/>
      <c r="K99" s="130"/>
      <c r="L99" s="130"/>
      <c r="M99" s="130"/>
      <c r="N99" s="130"/>
      <c r="O99" s="130"/>
      <c r="P99" s="130"/>
      <c r="Q99" s="130"/>
      <c r="R99" s="130"/>
      <c r="S99" s="130"/>
      <c r="T99" s="130"/>
      <c r="U99" s="130"/>
      <c r="V99" s="130"/>
      <c r="W99" s="130"/>
    </row>
    <row r="100" spans="3:23" x14ac:dyDescent="0.25">
      <c r="C100" s="130"/>
      <c r="D100" s="130"/>
      <c r="H100" s="130"/>
      <c r="L100" s="130"/>
      <c r="P100" s="130"/>
      <c r="R100" s="130"/>
      <c r="S100" s="130"/>
      <c r="T100" s="130"/>
      <c r="V100" s="130"/>
      <c r="W100" s="130"/>
    </row>
    <row r="101" spans="3:23" x14ac:dyDescent="0.25">
      <c r="C101" s="130"/>
      <c r="D101" s="130"/>
      <c r="H101" s="130"/>
      <c r="L101" s="130"/>
      <c r="P101" s="130"/>
      <c r="R101" s="130"/>
      <c r="S101" s="130"/>
      <c r="T101" s="130"/>
      <c r="V101" s="130"/>
      <c r="W101" s="130"/>
    </row>
    <row r="102" spans="3:23" x14ac:dyDescent="0.25">
      <c r="C102" s="130"/>
      <c r="D102" s="130"/>
      <c r="H102" s="130"/>
      <c r="L102" s="130"/>
      <c r="P102" s="130"/>
      <c r="R102" s="130"/>
      <c r="S102" s="130"/>
      <c r="T102" s="130"/>
      <c r="V102" s="130"/>
      <c r="W102" s="130"/>
    </row>
    <row r="103" spans="3:23" x14ac:dyDescent="0.25">
      <c r="C103" s="130"/>
      <c r="D103" s="130"/>
      <c r="H103" s="130"/>
      <c r="L103" s="130"/>
      <c r="P103" s="130"/>
      <c r="R103" s="130"/>
      <c r="S103" s="130"/>
      <c r="T103" s="130"/>
      <c r="V103" s="130"/>
      <c r="W103" s="130"/>
    </row>
    <row r="104" spans="3:23" x14ac:dyDescent="0.25">
      <c r="C104" s="130"/>
      <c r="D104" s="130"/>
      <c r="H104" s="130"/>
      <c r="L104" s="130"/>
      <c r="P104" s="130"/>
      <c r="R104" s="130"/>
      <c r="S104" s="130"/>
      <c r="T104" s="130"/>
      <c r="V104" s="130"/>
      <c r="W104" s="130"/>
    </row>
    <row r="105" spans="3:23" x14ac:dyDescent="0.25">
      <c r="C105" s="130"/>
      <c r="D105" s="130"/>
      <c r="H105" s="130"/>
      <c r="L105" s="130"/>
      <c r="P105" s="130"/>
      <c r="R105" s="130"/>
      <c r="S105" s="130"/>
      <c r="T105" s="130"/>
      <c r="V105" s="130"/>
      <c r="W105" s="130"/>
    </row>
    <row r="106" spans="3:23" x14ac:dyDescent="0.25">
      <c r="C106" s="130"/>
      <c r="D106" s="130"/>
      <c r="H106" s="130"/>
      <c r="L106" s="130"/>
      <c r="P106" s="130"/>
      <c r="R106" s="130"/>
      <c r="S106" s="130"/>
      <c r="T106" s="130"/>
      <c r="V106" s="130"/>
      <c r="W106" s="130"/>
    </row>
    <row r="107" spans="3:23" x14ac:dyDescent="0.25">
      <c r="C107" s="130"/>
      <c r="D107" s="130"/>
      <c r="H107" s="130"/>
      <c r="L107" s="130"/>
      <c r="P107" s="130"/>
      <c r="R107" s="130"/>
      <c r="S107" s="130"/>
      <c r="T107" s="130"/>
      <c r="V107" s="130"/>
      <c r="W107" s="130"/>
    </row>
    <row r="108" spans="3:23" x14ac:dyDescent="0.25">
      <c r="C108" s="130"/>
      <c r="D108" s="130"/>
      <c r="H108" s="130"/>
      <c r="L108" s="130"/>
      <c r="P108" s="130"/>
      <c r="R108" s="130"/>
      <c r="S108" s="130"/>
      <c r="T108" s="130"/>
      <c r="V108" s="130"/>
      <c r="W108" s="130"/>
    </row>
    <row r="109" spans="3:23" x14ac:dyDescent="0.25">
      <c r="C109" s="130"/>
      <c r="D109" s="130"/>
      <c r="H109" s="130"/>
      <c r="L109" s="130"/>
      <c r="P109" s="130"/>
      <c r="R109" s="130"/>
      <c r="S109" s="130"/>
      <c r="T109" s="130"/>
      <c r="V109" s="130"/>
      <c r="W109" s="130"/>
    </row>
    <row r="110" spans="3:23" x14ac:dyDescent="0.25">
      <c r="C110" s="130"/>
      <c r="D110" s="130"/>
      <c r="H110" s="130"/>
      <c r="L110" s="130"/>
      <c r="P110" s="130"/>
      <c r="R110" s="130"/>
      <c r="S110" s="130"/>
      <c r="T110" s="130"/>
      <c r="V110" s="130"/>
      <c r="W110" s="130"/>
    </row>
    <row r="111" spans="3:23" x14ac:dyDescent="0.25">
      <c r="C111" s="130"/>
      <c r="D111" s="130"/>
      <c r="H111" s="130"/>
      <c r="L111" s="130"/>
      <c r="P111" s="130"/>
      <c r="R111" s="130"/>
      <c r="S111" s="130"/>
      <c r="T111" s="130"/>
      <c r="V111" s="130"/>
      <c r="W111" s="130"/>
    </row>
    <row r="112" spans="3:23" x14ac:dyDescent="0.25">
      <c r="C112" s="130"/>
      <c r="D112" s="130"/>
      <c r="H112" s="130"/>
      <c r="L112" s="130"/>
      <c r="P112" s="130"/>
      <c r="R112" s="130"/>
      <c r="S112" s="130"/>
      <c r="T112" s="130"/>
      <c r="V112" s="130"/>
      <c r="W112" s="130"/>
    </row>
    <row r="113" spans="3:23" x14ac:dyDescent="0.25">
      <c r="C113" s="130"/>
      <c r="D113" s="130"/>
      <c r="H113" s="130"/>
      <c r="L113" s="130"/>
      <c r="P113" s="130"/>
      <c r="R113" s="130"/>
      <c r="S113" s="130"/>
      <c r="T113" s="130"/>
      <c r="V113" s="130"/>
      <c r="W113" s="130"/>
    </row>
    <row r="114" spans="3:23" x14ac:dyDescent="0.25">
      <c r="C114" s="130"/>
      <c r="D114" s="130"/>
      <c r="H114" s="130"/>
      <c r="L114" s="130"/>
      <c r="P114" s="130"/>
      <c r="R114" s="130"/>
      <c r="S114" s="130"/>
      <c r="T114" s="130"/>
      <c r="V114" s="130"/>
      <c r="W114" s="130"/>
    </row>
    <row r="115" spans="3:23" x14ac:dyDescent="0.25">
      <c r="C115" s="130"/>
      <c r="D115" s="130"/>
      <c r="H115" s="130"/>
      <c r="L115" s="130"/>
      <c r="P115" s="130"/>
      <c r="R115" s="130"/>
      <c r="S115" s="130"/>
      <c r="T115" s="130"/>
      <c r="V115" s="130"/>
      <c r="W115" s="130"/>
    </row>
    <row r="116" spans="3:23" x14ac:dyDescent="0.25">
      <c r="C116" s="130"/>
      <c r="D116" s="130"/>
      <c r="H116" s="130"/>
      <c r="L116" s="130"/>
      <c r="P116" s="130"/>
      <c r="R116" s="130"/>
      <c r="S116" s="130"/>
      <c r="T116" s="130"/>
      <c r="V116" s="130"/>
      <c r="W116" s="130"/>
    </row>
    <row r="117" spans="3:23" x14ac:dyDescent="0.25">
      <c r="C117" s="130"/>
      <c r="D117" s="130"/>
      <c r="H117" s="130"/>
      <c r="L117" s="130"/>
      <c r="P117" s="130"/>
      <c r="R117" s="130"/>
      <c r="S117" s="130"/>
      <c r="T117" s="130"/>
      <c r="V117" s="130"/>
      <c r="W117" s="130"/>
    </row>
    <row r="118" spans="3:23" x14ac:dyDescent="0.25">
      <c r="C118" s="130"/>
      <c r="D118" s="130"/>
      <c r="H118" s="130"/>
      <c r="L118" s="130"/>
      <c r="P118" s="130"/>
      <c r="R118" s="130"/>
      <c r="S118" s="130"/>
      <c r="T118" s="130"/>
      <c r="V118" s="130"/>
      <c r="W118" s="130"/>
    </row>
    <row r="119" spans="3:23" x14ac:dyDescent="0.25">
      <c r="C119" s="130"/>
      <c r="D119" s="130"/>
      <c r="H119" s="130"/>
      <c r="L119" s="130"/>
      <c r="P119" s="130"/>
      <c r="R119" s="130"/>
      <c r="S119" s="130"/>
      <c r="T119" s="130"/>
      <c r="V119" s="130"/>
      <c r="W119" s="130"/>
    </row>
    <row r="120" spans="3:23" x14ac:dyDescent="0.25">
      <c r="C120" s="130"/>
      <c r="D120" s="130"/>
      <c r="H120" s="130"/>
      <c r="L120" s="130"/>
      <c r="P120" s="130"/>
      <c r="R120" s="130"/>
      <c r="S120" s="130"/>
      <c r="T120" s="130"/>
      <c r="V120" s="130"/>
      <c r="W120" s="130"/>
    </row>
    <row r="121" spans="3:23" x14ac:dyDescent="0.25">
      <c r="C121" s="130"/>
      <c r="D121" s="130"/>
      <c r="H121" s="130"/>
      <c r="L121" s="130"/>
      <c r="P121" s="130"/>
      <c r="R121" s="130"/>
      <c r="S121" s="130"/>
      <c r="T121" s="130"/>
      <c r="V121" s="130"/>
      <c r="W121" s="130"/>
    </row>
    <row r="122" spans="3:23" x14ac:dyDescent="0.25">
      <c r="C122" s="130"/>
      <c r="D122" s="130"/>
      <c r="H122" s="130"/>
      <c r="L122" s="130"/>
      <c r="P122" s="130"/>
      <c r="R122" s="130"/>
      <c r="S122" s="130"/>
      <c r="T122" s="130"/>
      <c r="V122" s="130"/>
      <c r="W122" s="130"/>
    </row>
    <row r="123" spans="3:23" x14ac:dyDescent="0.25">
      <c r="C123" s="130"/>
      <c r="D123" s="130"/>
      <c r="H123" s="130"/>
      <c r="L123" s="130"/>
      <c r="P123" s="130"/>
      <c r="R123" s="130"/>
      <c r="S123" s="130"/>
      <c r="T123" s="130"/>
      <c r="V123" s="130"/>
      <c r="W123" s="130"/>
    </row>
    <row r="124" spans="3:23" x14ac:dyDescent="0.25">
      <c r="C124" s="130"/>
      <c r="D124" s="130"/>
      <c r="H124" s="130"/>
      <c r="L124" s="130"/>
      <c r="P124" s="130"/>
      <c r="R124" s="130"/>
      <c r="S124" s="130"/>
      <c r="T124" s="130"/>
      <c r="V124" s="130"/>
      <c r="W124" s="130"/>
    </row>
    <row r="125" spans="3:23" x14ac:dyDescent="0.25">
      <c r="C125" s="130"/>
      <c r="D125" s="130"/>
      <c r="H125" s="130"/>
      <c r="L125" s="130"/>
      <c r="P125" s="130"/>
      <c r="R125" s="130"/>
      <c r="S125" s="130"/>
      <c r="T125" s="130"/>
      <c r="V125" s="130"/>
      <c r="W125" s="130"/>
    </row>
    <row r="126" spans="3:23" x14ac:dyDescent="0.25">
      <c r="C126" s="130"/>
      <c r="D126" s="130"/>
      <c r="H126" s="130"/>
      <c r="L126" s="130"/>
      <c r="P126" s="130"/>
      <c r="R126" s="130"/>
      <c r="S126" s="130"/>
      <c r="T126" s="130"/>
      <c r="V126" s="130"/>
      <c r="W126" s="130"/>
    </row>
    <row r="127" spans="3:23" x14ac:dyDescent="0.25">
      <c r="C127" s="130"/>
      <c r="D127" s="130"/>
      <c r="H127" s="130"/>
      <c r="L127" s="130"/>
      <c r="P127" s="130"/>
      <c r="R127" s="130"/>
      <c r="S127" s="130"/>
      <c r="T127" s="130"/>
      <c r="V127" s="130"/>
      <c r="W127" s="130"/>
    </row>
    <row r="128" spans="3:23" x14ac:dyDescent="0.25">
      <c r="C128" s="130"/>
      <c r="D128" s="130"/>
      <c r="H128" s="130"/>
      <c r="L128" s="130"/>
      <c r="P128" s="130"/>
      <c r="R128" s="130"/>
      <c r="S128" s="130"/>
      <c r="T128" s="130"/>
      <c r="V128" s="130"/>
      <c r="W128" s="130"/>
    </row>
    <row r="129" spans="2:52" x14ac:dyDescent="0.25">
      <c r="C129" s="130"/>
      <c r="D129" s="130"/>
      <c r="H129" s="130"/>
      <c r="L129" s="130"/>
      <c r="P129" s="130"/>
      <c r="R129" s="130"/>
      <c r="S129" s="130"/>
      <c r="T129" s="130"/>
      <c r="V129" s="130"/>
      <c r="W129" s="130"/>
    </row>
    <row r="130" spans="2:52" x14ac:dyDescent="0.25">
      <c r="C130" s="130"/>
      <c r="D130" s="130"/>
      <c r="H130" s="130"/>
      <c r="L130" s="130"/>
      <c r="P130" s="130"/>
      <c r="R130" s="130"/>
      <c r="S130" s="130"/>
      <c r="T130" s="130"/>
      <c r="V130" s="130"/>
      <c r="W130" s="130"/>
    </row>
    <row r="131" spans="2:52" x14ac:dyDescent="0.25">
      <c r="C131" s="130"/>
      <c r="D131" s="130"/>
      <c r="H131" s="130"/>
      <c r="L131" s="130"/>
      <c r="P131" s="130"/>
      <c r="R131" s="130"/>
      <c r="S131" s="130"/>
      <c r="T131" s="130"/>
      <c r="V131" s="130"/>
      <c r="W131" s="130"/>
    </row>
    <row r="132" spans="2:52" x14ac:dyDescent="0.25">
      <c r="C132" s="130"/>
      <c r="D132" s="130"/>
      <c r="H132" s="130"/>
      <c r="L132" s="130"/>
      <c r="P132" s="130"/>
      <c r="R132" s="130"/>
      <c r="S132" s="130"/>
      <c r="T132" s="130"/>
      <c r="V132" s="130"/>
      <c r="W132" s="130"/>
    </row>
    <row r="133" spans="2:52" x14ac:dyDescent="0.25">
      <c r="C133" s="130"/>
      <c r="D133" s="130"/>
      <c r="H133" s="130"/>
      <c r="L133" s="130"/>
      <c r="P133" s="130"/>
      <c r="R133" s="130"/>
      <c r="S133" s="130"/>
      <c r="T133" s="130"/>
      <c r="V133" s="130"/>
      <c r="W133" s="130"/>
    </row>
    <row r="134" spans="2:52" x14ac:dyDescent="0.25">
      <c r="C134" s="130"/>
      <c r="D134" s="130"/>
      <c r="H134" s="130"/>
      <c r="L134" s="130"/>
      <c r="P134" s="130"/>
      <c r="R134" s="130"/>
      <c r="S134" s="130"/>
      <c r="T134" s="130"/>
      <c r="V134" s="130"/>
      <c r="W134" s="130"/>
    </row>
    <row r="135" spans="2:52" x14ac:dyDescent="0.25">
      <c r="C135" s="130"/>
      <c r="D135" s="130"/>
      <c r="H135" s="130"/>
      <c r="L135" s="130"/>
      <c r="P135" s="130"/>
      <c r="R135" s="130"/>
      <c r="S135" s="130"/>
      <c r="T135" s="130"/>
      <c r="V135" s="130"/>
      <c r="W135" s="130"/>
    </row>
    <row r="136" spans="2:52" x14ac:dyDescent="0.25">
      <c r="C136" s="130"/>
      <c r="D136" s="130"/>
      <c r="H136" s="130"/>
      <c r="L136" s="130"/>
      <c r="P136" s="130"/>
      <c r="R136" s="130"/>
      <c r="S136" s="130"/>
      <c r="T136" s="130"/>
      <c r="V136" s="130"/>
      <c r="W136" s="130"/>
    </row>
    <row r="137" spans="2:52" ht="15.75" x14ac:dyDescent="0.25">
      <c r="C137" s="149" t="s">
        <v>423</v>
      </c>
      <c r="D137" s="130"/>
      <c r="E137" s="130"/>
      <c r="F137" s="130"/>
      <c r="G137" s="130"/>
      <c r="H137" s="130"/>
      <c r="I137" s="130"/>
      <c r="J137" s="130"/>
      <c r="K137" s="130"/>
      <c r="L137" s="130"/>
      <c r="M137" s="130"/>
      <c r="N137" s="130"/>
      <c r="O137" s="130"/>
      <c r="P137" s="130"/>
      <c r="Q137" s="130"/>
      <c r="R137" s="130"/>
      <c r="T137" s="130"/>
      <c r="U137" s="130"/>
      <c r="V137" s="130"/>
      <c r="W137" s="130"/>
    </row>
    <row r="138" spans="2:52" s="252" customFormat="1" x14ac:dyDescent="0.25">
      <c r="B138" s="272"/>
      <c r="C138" s="273"/>
      <c r="D138" s="385" t="s">
        <v>448</v>
      </c>
      <c r="E138" s="385"/>
      <c r="F138" s="385"/>
      <c r="G138" s="294"/>
      <c r="H138" s="385" t="s">
        <v>269</v>
      </c>
      <c r="I138" s="385"/>
      <c r="J138" s="385"/>
      <c r="K138" s="294"/>
      <c r="L138" s="385" t="s">
        <v>270</v>
      </c>
      <c r="M138" s="385"/>
      <c r="N138" s="385"/>
      <c r="O138" s="294"/>
      <c r="P138" s="385" t="s">
        <v>271</v>
      </c>
      <c r="Q138" s="385"/>
      <c r="R138" s="385"/>
      <c r="T138" s="385" t="s">
        <v>272</v>
      </c>
      <c r="U138" s="385"/>
      <c r="V138" s="385"/>
      <c r="X138" s="385" t="s">
        <v>447</v>
      </c>
      <c r="Y138" s="385"/>
      <c r="Z138" s="385"/>
    </row>
    <row r="139" spans="2:52" s="276" customFormat="1" x14ac:dyDescent="0.25">
      <c r="B139" s="274"/>
      <c r="C139" s="275"/>
      <c r="D139" s="275" t="str">
        <f>IF($D$44="Yes","2021 VDO","")</f>
        <v/>
      </c>
      <c r="E139" s="275" t="s">
        <v>506</v>
      </c>
      <c r="F139" s="275" t="s">
        <v>809</v>
      </c>
      <c r="G139" s="275"/>
      <c r="H139" s="275" t="str">
        <f>IF($D$44="Yes","2021 VDO","")</f>
        <v/>
      </c>
      <c r="I139" s="275" t="s">
        <v>506</v>
      </c>
      <c r="J139" s="275" t="s">
        <v>809</v>
      </c>
      <c r="K139" s="275"/>
      <c r="L139" s="275" t="str">
        <f>IF($D$44="Yes","2021 VDO","")</f>
        <v/>
      </c>
      <c r="M139" s="275" t="s">
        <v>506</v>
      </c>
      <c r="N139" s="275" t="s">
        <v>809</v>
      </c>
      <c r="O139" s="275"/>
      <c r="P139" s="275" t="str">
        <f>IF($D$44="Yes","2021 VDO","")</f>
        <v/>
      </c>
      <c r="Q139" s="275" t="s">
        <v>506</v>
      </c>
      <c r="R139" s="275" t="s">
        <v>809</v>
      </c>
      <c r="T139" s="275" t="str">
        <f>IF($D$44="Yes","2021 VDO","")</f>
        <v/>
      </c>
      <c r="U139" s="275" t="s">
        <v>506</v>
      </c>
      <c r="V139" s="275" t="s">
        <v>809</v>
      </c>
      <c r="X139" s="275" t="str">
        <f>IF($D$44="Yes","2021 VDO","")</f>
        <v/>
      </c>
      <c r="Y139" s="275" t="s">
        <v>506</v>
      </c>
      <c r="Z139" s="275" t="s">
        <v>809</v>
      </c>
      <c r="AA139" s="275"/>
      <c r="AB139" s="275"/>
      <c r="AC139" s="275"/>
      <c r="AD139" s="275"/>
      <c r="AE139" s="275"/>
      <c r="AF139" s="275"/>
      <c r="AG139" s="275"/>
      <c r="AH139" s="275"/>
      <c r="AI139" s="275"/>
      <c r="AJ139" s="275"/>
      <c r="AK139" s="275"/>
      <c r="AL139" s="275"/>
      <c r="AM139" s="275"/>
      <c r="AN139" s="275"/>
      <c r="AO139" s="275"/>
      <c r="AP139" s="275"/>
      <c r="AQ139" s="275"/>
      <c r="AR139" s="275"/>
      <c r="AS139" s="275"/>
      <c r="AT139" s="275"/>
      <c r="AU139" s="275"/>
      <c r="AV139" s="275"/>
      <c r="AW139" s="275"/>
      <c r="AX139" s="275"/>
      <c r="AY139" s="275"/>
      <c r="AZ139" s="275"/>
    </row>
    <row r="140" spans="2:52" x14ac:dyDescent="0.25">
      <c r="C140" s="130" t="s">
        <v>712</v>
      </c>
      <c r="D140" s="279" t="str">
        <f>IF($D$44="Yes",'CH_Bill impact full year'!D140/MiY,"")</f>
        <v/>
      </c>
      <c r="E140" s="279">
        <f>F9</f>
        <v>107.33333333333333</v>
      </c>
      <c r="F140" s="279">
        <f>F17</f>
        <v>107.33333333333333</v>
      </c>
      <c r="G140" s="131"/>
      <c r="H140" s="279" t="str">
        <f>IF($D$44="Yes",'CH_Bill impact full year'!H140/MiY,"")</f>
        <v/>
      </c>
      <c r="I140" s="279">
        <f>G9</f>
        <v>90.583333333333329</v>
      </c>
      <c r="J140" s="279">
        <f>G17</f>
        <v>90.583333333333329</v>
      </c>
      <c r="K140" s="279"/>
      <c r="L140" s="279" t="str">
        <f>IF($D$44="Yes",'CH_Bill impact full year'!L140/MiY,"")</f>
        <v/>
      </c>
      <c r="M140" s="279">
        <f>H9</f>
        <v>94.25</v>
      </c>
      <c r="N140" s="279">
        <f>H17</f>
        <v>94.25</v>
      </c>
      <c r="O140" s="279"/>
      <c r="P140" s="279" t="str">
        <f>IF($D$44="Yes",'CH_Bill impact full year'!P140/MiY,"")</f>
        <v/>
      </c>
      <c r="Q140" s="279">
        <f>I9</f>
        <v>94.833333333333329</v>
      </c>
      <c r="R140" s="279">
        <f>I17</f>
        <v>94.833333333333329</v>
      </c>
      <c r="S140" s="261"/>
      <c r="T140" s="279" t="str">
        <f>IF($D$44="Yes",'CH_Bill impact full year'!T140/MiY,"")</f>
        <v/>
      </c>
      <c r="U140" s="279">
        <f>J9</f>
        <v>90.833333333333329</v>
      </c>
      <c r="V140" s="279">
        <f>J17</f>
        <v>90.833333333333329</v>
      </c>
      <c r="W140" s="261"/>
      <c r="X140" s="279" t="str">
        <f>IF($D$44="Yes",'CH_Bill impact full year'!X140/MiY,"")</f>
        <v/>
      </c>
      <c r="Y140" s="279">
        <f>K9</f>
        <v>95.566666666666663</v>
      </c>
      <c r="Z140" s="279">
        <f>K17</f>
        <v>95.566666666666663</v>
      </c>
      <c r="AA140" s="131"/>
      <c r="AB140" s="131"/>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row>
    <row r="141" spans="2:52" x14ac:dyDescent="0.25">
      <c r="C141" s="130"/>
      <c r="D141" s="279"/>
      <c r="E141" s="279" t="str">
        <f>IF($D$44="Yes",ABS(E140-D140),"")</f>
        <v/>
      </c>
      <c r="F141" s="279">
        <f>ABS(F140-E140)</f>
        <v>0</v>
      </c>
      <c r="G141" s="132"/>
      <c r="H141" s="279"/>
      <c r="I141" s="279" t="str">
        <f>IF($D$44="Yes",ABS(I140-H140),"")</f>
        <v/>
      </c>
      <c r="J141" s="279">
        <f>ABS(J140-I140)</f>
        <v>0</v>
      </c>
      <c r="K141" s="279"/>
      <c r="L141" s="279"/>
      <c r="M141" s="279" t="str">
        <f>IF($D$44="Yes",ABS(M140-L140),"")</f>
        <v/>
      </c>
      <c r="N141" s="279">
        <f>ABS(N140-M140)</f>
        <v>0</v>
      </c>
      <c r="O141" s="279"/>
      <c r="P141" s="279"/>
      <c r="Q141" s="279" t="str">
        <f>IF($D$44="Yes",ABS(Q140-P140),"")</f>
        <v/>
      </c>
      <c r="R141" s="279">
        <f>ABS(R140-Q140)</f>
        <v>0</v>
      </c>
      <c r="S141" s="261"/>
      <c r="T141" s="279"/>
      <c r="U141" s="279" t="str">
        <f>IF($D$44="Yes",ABS(U140-T140),"")</f>
        <v/>
      </c>
      <c r="V141" s="279">
        <f>ABS(V140-U140)</f>
        <v>0</v>
      </c>
      <c r="W141" s="261"/>
      <c r="X141" s="279"/>
      <c r="Y141" s="279" t="str">
        <f>IF($D$44="Yes",ABS(Y140-X140),"")</f>
        <v/>
      </c>
      <c r="Z141" s="279">
        <f>ABS(Z140-Y140)</f>
        <v>0</v>
      </c>
      <c r="AA141" s="132"/>
      <c r="AB141" s="132"/>
      <c r="AC141" s="132"/>
      <c r="AD141" s="132"/>
      <c r="AE141" s="132"/>
      <c r="AF141" s="132"/>
      <c r="AG141" s="132"/>
      <c r="AH141" s="132"/>
      <c r="AI141" s="132"/>
      <c r="AJ141" s="132"/>
      <c r="AK141" s="132"/>
      <c r="AL141" s="132"/>
      <c r="AM141" s="132"/>
      <c r="AN141" s="132"/>
      <c r="AO141" s="132"/>
      <c r="AP141" s="132"/>
      <c r="AQ141" s="132"/>
      <c r="AR141" s="132"/>
      <c r="AS141" s="132"/>
      <c r="AT141" s="132"/>
      <c r="AU141" s="132"/>
      <c r="AV141" s="132"/>
      <c r="AW141" s="132"/>
      <c r="AX141" s="132"/>
      <c r="AY141" s="132"/>
      <c r="AZ141" s="132"/>
    </row>
    <row r="142" spans="2:52" x14ac:dyDescent="0.25">
      <c r="C142" s="130"/>
      <c r="D142" s="279"/>
      <c r="E142" s="279" t="str">
        <f>IF($D$44="Yes",E140-D140,"")</f>
        <v/>
      </c>
      <c r="F142" s="279">
        <f>F140-E140</f>
        <v>0</v>
      </c>
      <c r="G142" s="133"/>
      <c r="H142" s="279"/>
      <c r="I142" s="279" t="str">
        <f>IF($D$44="Yes",I140-H140,"")</f>
        <v/>
      </c>
      <c r="J142" s="279">
        <f>J140-I140</f>
        <v>0</v>
      </c>
      <c r="K142" s="279"/>
      <c r="L142" s="279"/>
      <c r="M142" s="279" t="str">
        <f>IF($D$44="Yes",M140-L140,"")</f>
        <v/>
      </c>
      <c r="N142" s="279">
        <f>N140-M140</f>
        <v>0</v>
      </c>
      <c r="O142" s="279"/>
      <c r="P142" s="279"/>
      <c r="Q142" s="279" t="str">
        <f>IF($D$44="Yes",Q140-P140,"")</f>
        <v/>
      </c>
      <c r="R142" s="279">
        <f>R140-Q140</f>
        <v>0</v>
      </c>
      <c r="S142" s="261"/>
      <c r="T142" s="279"/>
      <c r="U142" s="279" t="str">
        <f>IF($D$44="Yes",U140-T140,"")</f>
        <v/>
      </c>
      <c r="V142" s="279">
        <f>V140-U140</f>
        <v>0</v>
      </c>
      <c r="W142" s="261"/>
      <c r="X142" s="279"/>
      <c r="Y142" s="279" t="str">
        <f>IF($D$44="Yes",Y140-X140,"")</f>
        <v/>
      </c>
      <c r="Z142" s="279">
        <f>Z140-Y140</f>
        <v>0</v>
      </c>
      <c r="AA142" s="133"/>
      <c r="AB142" s="133"/>
      <c r="AC142" s="133"/>
      <c r="AD142" s="133"/>
      <c r="AE142" s="133"/>
      <c r="AF142" s="133"/>
      <c r="AG142" s="133"/>
      <c r="AH142" s="133"/>
      <c r="AI142" s="133"/>
      <c r="AJ142" s="133"/>
      <c r="AK142" s="133"/>
      <c r="AL142" s="133"/>
      <c r="AM142" s="133"/>
      <c r="AN142" s="133"/>
      <c r="AO142" s="133"/>
      <c r="AP142" s="133"/>
      <c r="AQ142" s="133"/>
      <c r="AR142" s="133"/>
      <c r="AS142" s="133"/>
      <c r="AT142" s="133"/>
      <c r="AU142" s="133"/>
      <c r="AV142" s="133"/>
      <c r="AW142" s="133"/>
      <c r="AX142" s="133"/>
      <c r="AY142" s="133"/>
      <c r="AZ142" s="133"/>
    </row>
    <row r="143" spans="2:52" x14ac:dyDescent="0.25">
      <c r="C143" s="130" t="s">
        <v>713</v>
      </c>
      <c r="D143" s="279" t="str">
        <f>IF($D$44="Yes",'CH_Bill impact full year'!D143/MiY,"")</f>
        <v/>
      </c>
      <c r="E143" s="279">
        <f>F10</f>
        <v>565.16666666666663</v>
      </c>
      <c r="F143" s="279">
        <f>F18</f>
        <v>565.16666666666663</v>
      </c>
      <c r="G143" s="131"/>
      <c r="H143" s="279" t="str">
        <f>IF($D$44="Yes",'CH_Bill impact full year'!H143/MiY,"")</f>
        <v/>
      </c>
      <c r="I143" s="279">
        <f>G10</f>
        <v>377.83333333333331</v>
      </c>
      <c r="J143" s="279">
        <f>G18</f>
        <v>377.83333333333331</v>
      </c>
      <c r="K143" s="279"/>
      <c r="L143" s="279" t="str">
        <f>IF($D$44="Yes",'CH_Bill impact full year'!L143/MiY,"")</f>
        <v/>
      </c>
      <c r="M143" s="279">
        <f>H10</f>
        <v>430.41666666666669</v>
      </c>
      <c r="N143" s="279">
        <f>H18</f>
        <v>430.41666666666669</v>
      </c>
      <c r="O143" s="279"/>
      <c r="P143" s="279" t="str">
        <f>IF($D$44="Yes",'CH_Bill impact full year'!P143/MiY,"")</f>
        <v/>
      </c>
      <c r="Q143" s="279">
        <f>I10</f>
        <v>398.25</v>
      </c>
      <c r="R143" s="279">
        <f>I18</f>
        <v>398.25</v>
      </c>
      <c r="S143" s="261"/>
      <c r="T143" s="279" t="str">
        <f>IF($D$44="Yes",'CH_Bill impact full year'!T143/MiY,"")</f>
        <v/>
      </c>
      <c r="U143" s="279">
        <f>J10</f>
        <v>388.25</v>
      </c>
      <c r="V143" s="279">
        <f>J18</f>
        <v>388.25</v>
      </c>
      <c r="W143" s="261"/>
      <c r="X143" s="279" t="str">
        <f>IF($D$44="Yes",'CH_Bill impact full year'!X143/MiY,"")</f>
        <v/>
      </c>
      <c r="Y143" s="279">
        <f>K10</f>
        <v>431.98333333333335</v>
      </c>
      <c r="Z143" s="279">
        <f>K18</f>
        <v>431.98333333333335</v>
      </c>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row>
    <row r="144" spans="2:52" x14ac:dyDescent="0.25">
      <c r="C144" s="130"/>
      <c r="D144" s="279"/>
      <c r="E144" s="279" t="str">
        <f>IF($D$44="Yes",ABS(E143-D143),"")</f>
        <v/>
      </c>
      <c r="F144" s="279">
        <f>ABS(F143-E143)</f>
        <v>0</v>
      </c>
      <c r="G144" s="132"/>
      <c r="H144" s="279"/>
      <c r="I144" s="279" t="str">
        <f>IF($D$44="Yes",ABS(I143-H143),"")</f>
        <v/>
      </c>
      <c r="J144" s="279">
        <f>ABS(J143-I143)</f>
        <v>0</v>
      </c>
      <c r="K144" s="279"/>
      <c r="L144" s="279"/>
      <c r="M144" s="279" t="str">
        <f>IF($D$44="Yes",ABS(M143-L143),"")</f>
        <v/>
      </c>
      <c r="N144" s="279">
        <f>ABS(N143-M143)</f>
        <v>0</v>
      </c>
      <c r="O144" s="279"/>
      <c r="P144" s="279"/>
      <c r="Q144" s="279" t="str">
        <f>IF($D$44="Yes",ABS(Q143-P143),"")</f>
        <v/>
      </c>
      <c r="R144" s="279">
        <f>ABS(R143-Q143)</f>
        <v>0</v>
      </c>
      <c r="S144" s="261"/>
      <c r="T144" s="279"/>
      <c r="U144" s="279" t="str">
        <f>IF($D$44="Yes",ABS(U143-T143),"")</f>
        <v/>
      </c>
      <c r="V144" s="279">
        <f>ABS(V143-U143)</f>
        <v>0</v>
      </c>
      <c r="W144" s="261"/>
      <c r="X144" s="279"/>
      <c r="Y144" s="279" t="str">
        <f>IF($D$44="Yes",ABS(Y143-X143),"")</f>
        <v/>
      </c>
      <c r="Z144" s="279">
        <f>ABS(Z143-Y143)</f>
        <v>0</v>
      </c>
      <c r="AA144" s="132"/>
      <c r="AB144" s="132"/>
      <c r="AC144" s="132"/>
      <c r="AD144" s="132"/>
      <c r="AE144" s="132"/>
      <c r="AF144" s="132"/>
      <c r="AG144" s="132"/>
      <c r="AH144" s="132"/>
      <c r="AI144" s="132"/>
      <c r="AJ144" s="132"/>
      <c r="AK144" s="132"/>
      <c r="AL144" s="132"/>
      <c r="AM144" s="132"/>
      <c r="AN144" s="132"/>
      <c r="AO144" s="132"/>
      <c r="AP144" s="132"/>
      <c r="AQ144" s="132"/>
      <c r="AR144" s="132"/>
      <c r="AS144" s="132"/>
      <c r="AT144" s="132"/>
      <c r="AU144" s="132"/>
      <c r="AV144" s="132"/>
      <c r="AW144" s="132"/>
      <c r="AX144" s="132"/>
      <c r="AY144" s="132"/>
      <c r="AZ144" s="132"/>
    </row>
    <row r="145" spans="3:52" x14ac:dyDescent="0.25">
      <c r="C145" s="130"/>
      <c r="D145" s="279"/>
      <c r="E145" s="279" t="str">
        <f>IF($D$44="Yes",E143-D143,"")</f>
        <v/>
      </c>
      <c r="F145" s="279">
        <f>F143-E143</f>
        <v>0</v>
      </c>
      <c r="G145" s="133"/>
      <c r="H145" s="279"/>
      <c r="I145" s="279" t="str">
        <f>IF($D$44="Yes",I143-H143,"")</f>
        <v/>
      </c>
      <c r="J145" s="279">
        <f>J143-I143</f>
        <v>0</v>
      </c>
      <c r="K145" s="279"/>
      <c r="L145" s="279"/>
      <c r="M145" s="279" t="str">
        <f>IF($D$44="Yes",M143-L143,"")</f>
        <v/>
      </c>
      <c r="N145" s="279">
        <f>N143-M143</f>
        <v>0</v>
      </c>
      <c r="O145" s="279"/>
      <c r="P145" s="279"/>
      <c r="Q145" s="279" t="str">
        <f>IF($D$44="Yes",Q143-P143,"")</f>
        <v/>
      </c>
      <c r="R145" s="279">
        <f>R143-Q143</f>
        <v>0</v>
      </c>
      <c r="S145" s="261"/>
      <c r="T145" s="279"/>
      <c r="U145" s="279" t="str">
        <f>IF($D$44="Yes",U143-T143,"")</f>
        <v/>
      </c>
      <c r="V145" s="279">
        <f>V143-U143</f>
        <v>0</v>
      </c>
      <c r="W145" s="261"/>
      <c r="X145" s="279"/>
      <c r="Y145" s="279" t="str">
        <f>IF($D$44="Yes",Y143-X143,"")</f>
        <v/>
      </c>
      <c r="Z145" s="279">
        <f>Z143-Y143</f>
        <v>0</v>
      </c>
      <c r="AA145" s="133"/>
      <c r="AB145" s="133"/>
      <c r="AC145" s="133"/>
      <c r="AD145" s="133"/>
      <c r="AE145" s="133"/>
      <c r="AF145" s="133"/>
      <c r="AG145" s="133"/>
      <c r="AH145" s="133"/>
      <c r="AI145" s="133"/>
      <c r="AJ145" s="133"/>
      <c r="AK145" s="133"/>
      <c r="AL145" s="133"/>
      <c r="AM145" s="133"/>
      <c r="AN145" s="133"/>
      <c r="AO145" s="133"/>
      <c r="AP145" s="133"/>
      <c r="AQ145" s="133"/>
      <c r="AR145" s="133"/>
      <c r="AS145" s="133"/>
      <c r="AT145" s="133"/>
      <c r="AU145" s="133"/>
      <c r="AV145" s="133"/>
      <c r="AW145" s="133"/>
      <c r="AX145" s="133"/>
      <c r="AY145" s="133"/>
      <c r="AZ145" s="133"/>
    </row>
    <row r="146" spans="3:52" x14ac:dyDescent="0.25">
      <c r="C146" s="130" t="s">
        <v>714</v>
      </c>
      <c r="D146" s="279" t="str">
        <f>D140</f>
        <v/>
      </c>
      <c r="E146" s="279">
        <f>F11</f>
        <v>99.333333333333329</v>
      </c>
      <c r="F146" s="279">
        <f>F19</f>
        <v>99.333333333333329</v>
      </c>
      <c r="G146" s="131"/>
      <c r="H146" s="279" t="str">
        <f>H140</f>
        <v/>
      </c>
      <c r="I146" s="279">
        <f>G11</f>
        <v>89.916666666666671</v>
      </c>
      <c r="J146" s="279">
        <f>G19</f>
        <v>89.916666666666671</v>
      </c>
      <c r="K146" s="279"/>
      <c r="L146" s="279" t="str">
        <f>L140</f>
        <v/>
      </c>
      <c r="M146" s="279">
        <f>H11</f>
        <v>86.583333333333329</v>
      </c>
      <c r="N146" s="279">
        <f>H19</f>
        <v>86.583333333333329</v>
      </c>
      <c r="O146" s="279"/>
      <c r="P146" s="279" t="str">
        <f>P140</f>
        <v/>
      </c>
      <c r="Q146" s="279">
        <f>I11</f>
        <v>93.583333333333329</v>
      </c>
      <c r="R146" s="279">
        <f>I19</f>
        <v>93.583333333333329</v>
      </c>
      <c r="S146" s="261"/>
      <c r="T146" s="279" t="str">
        <f>T140</f>
        <v/>
      </c>
      <c r="U146" s="279">
        <f>J11</f>
        <v>90.166666666666671</v>
      </c>
      <c r="V146" s="279">
        <f>J19</f>
        <v>90.166666666666671</v>
      </c>
      <c r="W146" s="261"/>
      <c r="X146" s="279" t="str">
        <f>X140</f>
        <v/>
      </c>
      <c r="Y146" s="279">
        <f>K11</f>
        <v>91.916666666666671</v>
      </c>
      <c r="Z146" s="279">
        <f>K19</f>
        <v>91.916666666666671</v>
      </c>
    </row>
    <row r="147" spans="3:52" x14ac:dyDescent="0.25">
      <c r="C147" s="130"/>
      <c r="D147" s="279"/>
      <c r="E147" s="279" t="str">
        <f>IF($D$44="Yes",ABS(E146-D146),"")</f>
        <v/>
      </c>
      <c r="F147" s="279">
        <f>ABS(F146-E146)</f>
        <v>0</v>
      </c>
      <c r="G147" s="132"/>
      <c r="H147" s="279"/>
      <c r="I147" s="279" t="str">
        <f>IF($D$44="Yes",ABS(I146-H146),"")</f>
        <v/>
      </c>
      <c r="J147" s="279">
        <f>ABS(J146-I146)</f>
        <v>0</v>
      </c>
      <c r="K147" s="279"/>
      <c r="L147" s="279"/>
      <c r="M147" s="279" t="str">
        <f>IF($D$44="Yes",ABS(M146-L146),"")</f>
        <v/>
      </c>
      <c r="N147" s="279">
        <f>ABS(N146-M146)</f>
        <v>0</v>
      </c>
      <c r="O147" s="279"/>
      <c r="P147" s="279"/>
      <c r="Q147" s="279" t="str">
        <f>IF($D$44="Yes",ABS(Q146-P146),"")</f>
        <v/>
      </c>
      <c r="R147" s="279">
        <f>ABS(R146-Q146)</f>
        <v>0</v>
      </c>
      <c r="S147" s="261"/>
      <c r="T147" s="279"/>
      <c r="U147" s="279" t="str">
        <f>IF($D$44="Yes",ABS(U146-T146),"")</f>
        <v/>
      </c>
      <c r="V147" s="279">
        <f>ABS(V146-U146)</f>
        <v>0</v>
      </c>
      <c r="W147" s="261"/>
      <c r="X147" s="279"/>
      <c r="Y147" s="279" t="str">
        <f>IF($D$44="Yes",ABS(Y146-X146),"")</f>
        <v/>
      </c>
      <c r="Z147" s="279">
        <f>ABS(Z146-Y146)</f>
        <v>0</v>
      </c>
    </row>
    <row r="148" spans="3:52" x14ac:dyDescent="0.25">
      <c r="C148" s="130"/>
      <c r="D148" s="279"/>
      <c r="E148" s="279" t="str">
        <f>IF($D$44="Yes",E146-D146,"")</f>
        <v/>
      </c>
      <c r="F148" s="279">
        <f>F146-E146</f>
        <v>0</v>
      </c>
      <c r="G148" s="133"/>
      <c r="H148" s="279"/>
      <c r="I148" s="279" t="str">
        <f>IF($D$44="Yes",I146-H146,"")</f>
        <v/>
      </c>
      <c r="J148" s="279">
        <f>J146-I146</f>
        <v>0</v>
      </c>
      <c r="K148" s="279"/>
      <c r="L148" s="279"/>
      <c r="M148" s="279" t="str">
        <f>IF($D$44="Yes",M146-L146,"")</f>
        <v/>
      </c>
      <c r="N148" s="279">
        <f>N146-M146</f>
        <v>0</v>
      </c>
      <c r="O148" s="279"/>
      <c r="P148" s="279"/>
      <c r="Q148" s="279" t="str">
        <f>IF($D$44="Yes",Q146-P146,"")</f>
        <v/>
      </c>
      <c r="R148" s="279">
        <f>R146-Q146</f>
        <v>0</v>
      </c>
      <c r="S148" s="261"/>
      <c r="T148" s="279"/>
      <c r="U148" s="279" t="str">
        <f>IF($D$44="Yes",U146-T146,"")</f>
        <v/>
      </c>
      <c r="V148" s="279">
        <f>V146-U146</f>
        <v>0</v>
      </c>
      <c r="W148" s="261"/>
      <c r="X148" s="279"/>
      <c r="Y148" s="279" t="str">
        <f>IF($D$44="Yes",Y146-X146,"")</f>
        <v/>
      </c>
      <c r="Z148" s="279">
        <f>Z146-Y146</f>
        <v>0</v>
      </c>
    </row>
    <row r="149" spans="3:52" x14ac:dyDescent="0.25">
      <c r="C149" s="130" t="s">
        <v>713</v>
      </c>
      <c r="D149" s="279" t="str">
        <f>D143</f>
        <v/>
      </c>
      <c r="E149" s="279">
        <f>F12</f>
        <v>422.75</v>
      </c>
      <c r="F149" s="279">
        <f>F20</f>
        <v>422.75</v>
      </c>
      <c r="G149" s="131"/>
      <c r="H149" s="279" t="str">
        <f>H143</f>
        <v/>
      </c>
      <c r="I149" s="279">
        <f>G12</f>
        <v>370.33333333333331</v>
      </c>
      <c r="J149" s="279">
        <f>G20</f>
        <v>370.33333333333331</v>
      </c>
      <c r="K149" s="279"/>
      <c r="L149" s="279" t="str">
        <f>L143</f>
        <v/>
      </c>
      <c r="M149" s="279">
        <f>H12</f>
        <v>387.75</v>
      </c>
      <c r="N149" s="279">
        <f>H20</f>
        <v>387.75</v>
      </c>
      <c r="O149" s="279"/>
      <c r="P149" s="279" t="str">
        <f>P143</f>
        <v/>
      </c>
      <c r="Q149" s="279">
        <f>I12</f>
        <v>390.16666666666669</v>
      </c>
      <c r="R149" s="279">
        <f>I20</f>
        <v>390.16666666666669</v>
      </c>
      <c r="S149" s="261"/>
      <c r="T149" s="279" t="str">
        <f>T143</f>
        <v/>
      </c>
      <c r="U149" s="279">
        <f>J12</f>
        <v>381.08333333333331</v>
      </c>
      <c r="V149" s="279">
        <f>J20</f>
        <v>381.08333333333331</v>
      </c>
      <c r="W149" s="261"/>
      <c r="X149" s="279"/>
      <c r="Y149" s="279">
        <f>K12</f>
        <v>390.41666666666669</v>
      </c>
      <c r="Z149" s="279">
        <f>K20</f>
        <v>390.41666666666669</v>
      </c>
    </row>
    <row r="150" spans="3:52" x14ac:dyDescent="0.25">
      <c r="C150" s="130"/>
      <c r="D150" s="279"/>
      <c r="E150" s="279" t="str">
        <f>IF($D$44="Yes",ABS(E149-D149),"")</f>
        <v/>
      </c>
      <c r="F150" s="279">
        <f>ABS(F149-E149)</f>
        <v>0</v>
      </c>
      <c r="G150" s="132"/>
      <c r="H150" s="279"/>
      <c r="I150" s="279" t="str">
        <f>IF($D$44="Yes",ABS(I149-H149),"")</f>
        <v/>
      </c>
      <c r="J150" s="279">
        <f>ABS(J149-I149)</f>
        <v>0</v>
      </c>
      <c r="K150" s="279"/>
      <c r="L150" s="279"/>
      <c r="M150" s="279" t="str">
        <f>IF($D$44="Yes",ABS(M149-L149),"")</f>
        <v/>
      </c>
      <c r="N150" s="279">
        <f>ABS(N149-M149)</f>
        <v>0</v>
      </c>
      <c r="O150" s="279"/>
      <c r="P150" s="279"/>
      <c r="Q150" s="279" t="str">
        <f>IF($D$44="Yes",ABS(Q149-P149),"")</f>
        <v/>
      </c>
      <c r="R150" s="279">
        <f>ABS(R149-Q149)</f>
        <v>0</v>
      </c>
      <c r="S150" s="261"/>
      <c r="T150" s="279"/>
      <c r="U150" s="279" t="str">
        <f>IF($D$44="Yes",ABS(U149-T149),"")</f>
        <v/>
      </c>
      <c r="V150" s="279">
        <f>ABS(V149-U149)</f>
        <v>0</v>
      </c>
      <c r="W150" s="261"/>
      <c r="X150" s="279"/>
      <c r="Y150" s="279" t="str">
        <f>IF($D$44="Yes",ABS(Y149-X149),"")</f>
        <v/>
      </c>
      <c r="Z150" s="279">
        <f>ABS(Z151)</f>
        <v>390.41666666666669</v>
      </c>
    </row>
    <row r="151" spans="3:52" x14ac:dyDescent="0.25">
      <c r="C151" s="130"/>
      <c r="D151" s="279"/>
      <c r="E151" s="279" t="str">
        <f>IF($D$44="Yes",E149-D149,"")</f>
        <v/>
      </c>
      <c r="F151" s="279">
        <f>F149-E149</f>
        <v>0</v>
      </c>
      <c r="G151" s="133"/>
      <c r="H151" s="279"/>
      <c r="I151" s="279" t="str">
        <f>IF($D$44="Yes",I149-H149,"")</f>
        <v/>
      </c>
      <c r="J151" s="279">
        <f>J149-I149</f>
        <v>0</v>
      </c>
      <c r="K151" s="279"/>
      <c r="L151" s="279"/>
      <c r="M151" s="279" t="str">
        <f>IF($D$44="Yes",M149-L149,"")</f>
        <v/>
      </c>
      <c r="N151" s="279">
        <f>N149-M149</f>
        <v>0</v>
      </c>
      <c r="O151" s="279"/>
      <c r="P151" s="279"/>
      <c r="Q151" s="279" t="str">
        <f>IF($D$44="Yes",Q149-P149,"")</f>
        <v/>
      </c>
      <c r="R151" s="279">
        <f>R149-Q149</f>
        <v>0</v>
      </c>
      <c r="S151" s="261"/>
      <c r="T151" s="279"/>
      <c r="U151" s="279" t="str">
        <f>IF($D$44="Yes",U149-T149,"")</f>
        <v/>
      </c>
      <c r="V151" s="279">
        <f>V149-U149</f>
        <v>0</v>
      </c>
      <c r="W151" s="261"/>
      <c r="X151" s="279"/>
      <c r="Y151" s="279" t="str">
        <f>IF($D$44="Yes",Y149-X149,"")</f>
        <v/>
      </c>
      <c r="Z151" s="279">
        <f>Z149-X149</f>
        <v>390.41666666666669</v>
      </c>
    </row>
    <row r="152" spans="3:52" x14ac:dyDescent="0.25">
      <c r="C152" s="130"/>
      <c r="D152" s="387" t="s">
        <v>745</v>
      </c>
      <c r="E152" s="387"/>
      <c r="F152" s="387"/>
      <c r="G152" s="387"/>
      <c r="H152" s="387" t="s">
        <v>746</v>
      </c>
      <c r="I152" s="387"/>
      <c r="J152" s="387"/>
      <c r="K152" s="387"/>
      <c r="L152" s="387" t="s">
        <v>747</v>
      </c>
      <c r="M152" s="387"/>
      <c r="N152" s="387"/>
      <c r="O152" s="387"/>
      <c r="P152" s="387" t="s">
        <v>687</v>
      </c>
      <c r="Q152" s="387"/>
      <c r="R152" s="387"/>
      <c r="S152" s="387"/>
      <c r="T152" s="279"/>
      <c r="U152" s="279"/>
      <c r="V152" s="279"/>
      <c r="W152" s="261"/>
      <c r="X152" s="279"/>
      <c r="Y152" s="279"/>
      <c r="Z152" s="279"/>
    </row>
    <row r="153" spans="3:52" x14ac:dyDescent="0.25">
      <c r="C153" s="130"/>
      <c r="D153" s="279"/>
      <c r="E153" s="275" t="s">
        <v>506</v>
      </c>
      <c r="F153" s="275" t="s">
        <v>809</v>
      </c>
      <c r="G153" s="275"/>
      <c r="H153" s="275"/>
      <c r="I153" s="275" t="s">
        <v>506</v>
      </c>
      <c r="J153" s="275" t="s">
        <v>809</v>
      </c>
      <c r="K153" s="275" t="s">
        <v>692</v>
      </c>
      <c r="L153" s="275"/>
      <c r="M153" s="275" t="s">
        <v>506</v>
      </c>
      <c r="N153" s="275" t="s">
        <v>809</v>
      </c>
      <c r="O153" s="275"/>
      <c r="P153" s="275"/>
      <c r="Q153" s="275" t="s">
        <v>506</v>
      </c>
      <c r="R153" s="275" t="s">
        <v>809</v>
      </c>
      <c r="S153" s="261" t="s">
        <v>692</v>
      </c>
      <c r="T153" s="279"/>
      <c r="U153" s="279"/>
      <c r="V153" s="279"/>
      <c r="W153" s="261"/>
      <c r="X153" s="279"/>
      <c r="Y153" s="279"/>
      <c r="Z153" s="279"/>
    </row>
    <row r="154" spans="3:52" x14ac:dyDescent="0.25">
      <c r="C154" s="130" t="s">
        <v>812</v>
      </c>
      <c r="D154" s="279"/>
      <c r="E154" s="279">
        <f>Y140</f>
        <v>95.566666666666663</v>
      </c>
      <c r="F154" s="279">
        <f>Z140</f>
        <v>95.566666666666663</v>
      </c>
      <c r="G154" s="279"/>
      <c r="H154" s="279"/>
      <c r="I154" s="279">
        <f>Y146</f>
        <v>91.916666666666671</v>
      </c>
      <c r="J154" s="279">
        <f>Z146</f>
        <v>91.916666666666671</v>
      </c>
      <c r="K154" s="279"/>
      <c r="L154" s="279"/>
      <c r="M154" s="279">
        <f>Y143</f>
        <v>431.98333333333335</v>
      </c>
      <c r="N154" s="279">
        <f>Z143</f>
        <v>431.98333333333335</v>
      </c>
      <c r="O154" s="279"/>
      <c r="P154" s="279"/>
      <c r="Q154" s="279">
        <f>Y149</f>
        <v>390.41666666666669</v>
      </c>
      <c r="R154" s="279">
        <f>Z149</f>
        <v>390.41666666666669</v>
      </c>
      <c r="S154" s="261"/>
      <c r="T154" s="279"/>
      <c r="U154" s="279"/>
      <c r="V154" s="279"/>
      <c r="W154" s="261"/>
      <c r="X154" s="279"/>
      <c r="Y154" s="279"/>
      <c r="Z154" s="279"/>
    </row>
    <row r="155" spans="3:52" x14ac:dyDescent="0.25">
      <c r="C155" s="130" t="s">
        <v>813</v>
      </c>
      <c r="D155" s="279"/>
      <c r="E155" s="279"/>
      <c r="F155" s="279">
        <f>ABS(F154-E154)</f>
        <v>0</v>
      </c>
      <c r="G155" s="279"/>
      <c r="H155" s="279"/>
      <c r="I155" s="279"/>
      <c r="J155" s="279">
        <f>ABS(J154-I154)</f>
        <v>0</v>
      </c>
      <c r="K155" s="279"/>
      <c r="L155" s="279"/>
      <c r="M155" s="279"/>
      <c r="N155" s="279">
        <f>ABS(N154-M154)</f>
        <v>0</v>
      </c>
      <c r="O155" s="279"/>
      <c r="P155" s="279"/>
      <c r="Q155" s="279"/>
      <c r="R155" s="279">
        <f>ABS(R154-Q154)</f>
        <v>0</v>
      </c>
      <c r="S155" s="261"/>
      <c r="T155" s="279"/>
      <c r="U155" s="279"/>
      <c r="V155" s="279"/>
      <c r="W155" s="261"/>
      <c r="X155" s="279"/>
      <c r="Y155" s="279"/>
      <c r="Z155" s="279"/>
    </row>
    <row r="156" spans="3:52" x14ac:dyDescent="0.25">
      <c r="C156" s="130"/>
      <c r="D156" s="279"/>
      <c r="E156" s="279"/>
      <c r="F156" s="279">
        <f>F154-E154</f>
        <v>0</v>
      </c>
      <c r="G156" s="279"/>
      <c r="H156" s="279"/>
      <c r="I156" s="279"/>
      <c r="J156" s="279">
        <f>J154-I154</f>
        <v>0</v>
      </c>
      <c r="K156" s="279"/>
      <c r="L156" s="279"/>
      <c r="M156" s="279"/>
      <c r="N156" s="279">
        <f>N154-M154</f>
        <v>0</v>
      </c>
      <c r="O156" s="279"/>
      <c r="P156" s="279"/>
      <c r="Q156" s="279"/>
      <c r="R156" s="279">
        <f>R154-Q154</f>
        <v>0</v>
      </c>
      <c r="S156" s="261"/>
      <c r="T156" s="279"/>
      <c r="U156" s="279"/>
      <c r="V156" s="279"/>
      <c r="W156" s="261"/>
      <c r="X156" s="279"/>
      <c r="Y156" s="279"/>
      <c r="Z156" s="279"/>
    </row>
    <row r="157" spans="3:52" x14ac:dyDescent="0.25">
      <c r="C157" s="130"/>
      <c r="D157" s="279"/>
      <c r="E157" s="279"/>
      <c r="F157" s="279"/>
      <c r="G157" s="133"/>
      <c r="H157" s="279"/>
      <c r="I157" s="279"/>
      <c r="J157" s="279"/>
      <c r="K157" s="279"/>
      <c r="L157" s="279"/>
      <c r="M157" s="279"/>
      <c r="N157" s="279"/>
      <c r="O157" s="279"/>
      <c r="P157" s="279"/>
      <c r="Q157" s="279"/>
      <c r="R157" s="279"/>
      <c r="S157" s="261"/>
      <c r="T157" s="279"/>
      <c r="U157" s="279"/>
      <c r="V157" s="279"/>
      <c r="W157" s="261"/>
      <c r="X157" s="279"/>
      <c r="Y157" s="279"/>
      <c r="Z157" s="279"/>
    </row>
    <row r="158" spans="3:52" x14ac:dyDescent="0.25">
      <c r="C158" s="130"/>
      <c r="D158" s="279"/>
      <c r="E158" s="279"/>
      <c r="F158" s="279"/>
      <c r="G158" s="133"/>
      <c r="H158" s="279"/>
      <c r="I158" s="279"/>
      <c r="J158" s="279"/>
      <c r="K158" s="279"/>
      <c r="L158" s="279"/>
      <c r="M158" s="279"/>
      <c r="N158" s="279"/>
      <c r="O158" s="279"/>
      <c r="P158" s="279"/>
      <c r="Q158" s="279"/>
      <c r="R158" s="279"/>
      <c r="S158" s="261"/>
      <c r="T158" s="279"/>
      <c r="U158" s="279"/>
      <c r="V158" s="279"/>
      <c r="W158" s="261"/>
      <c r="X158" s="279"/>
      <c r="Y158" s="279"/>
      <c r="Z158" s="279"/>
    </row>
  </sheetData>
  <sheetProtection algorithmName="SHA-512" hashValue="T+HOvw3mD0zYG+vytPdU0k4CQXMyUoVvDJbMOmIQZBo+dRl7M7CIH7HQA6BRsmngW8U8JF8da7KX8HUOIpG/pQ==" saltValue="n+0VV+ELriT629f4kDuvlw==" spinCount="100000" sheet="1" objects="1" scenarios="1"/>
  <mergeCells count="11">
    <mergeCell ref="X138:Z138"/>
    <mergeCell ref="D152:G152"/>
    <mergeCell ref="H152:K152"/>
    <mergeCell ref="L152:O152"/>
    <mergeCell ref="P152:S152"/>
    <mergeCell ref="T138:V138"/>
    <mergeCell ref="A2:A3"/>
    <mergeCell ref="D138:F138"/>
    <mergeCell ref="H138:J138"/>
    <mergeCell ref="L138:N138"/>
    <mergeCell ref="P138:R138"/>
  </mergeCells>
  <dataValidations count="1">
    <dataValidation type="list" allowBlank="1" showInputMessage="1" showErrorMessage="1" sqref="D44:D60" xr:uid="{4A9FF3A8-B05C-4884-AF0F-27667120B6DC}">
      <formula1>"Yes,No"</formula1>
    </dataValidation>
  </dataValidation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E88F3-5E40-4324-B83F-9806A19FD282}">
  <sheetPr>
    <tabColor rgb="FFFFB13F"/>
  </sheetPr>
  <dimension ref="A1:AB125"/>
  <sheetViews>
    <sheetView showGridLines="0" topLeftCell="B1" zoomScale="70" zoomScaleNormal="70" workbookViewId="0">
      <pane ySplit="3" topLeftCell="A70" activePane="bottomLeft" state="frozen"/>
      <selection pane="bottomLeft" activeCell="H113" sqref="H113"/>
    </sheetView>
  </sheetViews>
  <sheetFormatPr defaultColWidth="9.42578125" defaultRowHeight="15" outlineLevelCol="1" x14ac:dyDescent="0.25"/>
  <cols>
    <col min="1" max="1" width="100.5703125" hidden="1" customWidth="1" outlineLevel="1"/>
    <col min="2" max="2" width="10.5703125" style="6" customWidth="1" collapsed="1"/>
    <col min="3" max="3" width="50.5703125" customWidth="1"/>
    <col min="4" max="4" width="25.5703125" customWidth="1"/>
    <col min="5" max="28" width="15.5703125" customWidth="1"/>
  </cols>
  <sheetData>
    <row r="1" spans="1:28" ht="15" customHeight="1" x14ac:dyDescent="0.25">
      <c r="A1" s="1" t="s">
        <v>20</v>
      </c>
      <c r="B1" s="21"/>
      <c r="C1" s="22"/>
      <c r="D1" s="22"/>
      <c r="E1" s="22"/>
      <c r="F1" s="22"/>
      <c r="G1" s="22"/>
      <c r="H1" s="22"/>
      <c r="I1" s="22"/>
      <c r="J1" s="22"/>
      <c r="K1" s="22"/>
      <c r="L1" s="22"/>
      <c r="M1" s="22"/>
      <c r="N1" s="22"/>
      <c r="O1" s="22"/>
      <c r="P1" s="22"/>
      <c r="Q1" s="22"/>
      <c r="R1" s="22"/>
      <c r="S1" s="22"/>
      <c r="T1" s="22"/>
      <c r="U1" s="22"/>
      <c r="V1" s="22"/>
      <c r="W1" s="22"/>
      <c r="X1" s="22"/>
      <c r="Y1" s="22"/>
      <c r="Z1" s="22"/>
      <c r="AA1" s="22"/>
      <c r="AB1" s="22"/>
    </row>
    <row r="2" spans="1:28" s="4" customFormat="1" ht="50.1" customHeight="1" x14ac:dyDescent="0.25">
      <c r="A2" s="382" t="s">
        <v>21</v>
      </c>
      <c r="B2" s="25"/>
      <c r="C2" s="25" t="str">
        <f>Disclaimer!$B$1</f>
        <v>VDO calculation model</v>
      </c>
      <c r="D2" s="25"/>
      <c r="E2" s="25"/>
      <c r="F2" s="25"/>
      <c r="G2" s="25"/>
      <c r="H2" s="25"/>
      <c r="I2" s="25"/>
      <c r="J2" s="25"/>
      <c r="K2" s="25"/>
      <c r="L2" s="25"/>
      <c r="M2" s="25"/>
      <c r="N2" s="25"/>
      <c r="O2" s="25"/>
      <c r="P2" s="25"/>
      <c r="Q2" s="25"/>
      <c r="R2" s="25"/>
      <c r="S2" s="25"/>
      <c r="T2" s="25"/>
      <c r="U2" s="25"/>
      <c r="V2" s="25"/>
      <c r="W2" s="25"/>
      <c r="X2" s="25"/>
      <c r="Y2" s="25"/>
      <c r="Z2" s="25"/>
      <c r="AA2" s="25"/>
      <c r="AB2" s="25"/>
    </row>
    <row r="3" spans="1:28" s="4" customFormat="1" ht="30" customHeight="1" x14ac:dyDescent="0.25">
      <c r="A3" s="383"/>
      <c r="B3" s="27">
        <f ca="1">_xlfn.SHEET()</f>
        <v>31</v>
      </c>
      <c r="C3" s="26" t="s">
        <v>685</v>
      </c>
      <c r="D3" s="26"/>
      <c r="E3" s="26"/>
      <c r="F3" s="26"/>
      <c r="G3" s="26"/>
      <c r="H3" s="26"/>
      <c r="I3" s="26"/>
      <c r="J3" s="26"/>
      <c r="K3" s="26"/>
      <c r="L3" s="26"/>
      <c r="M3" s="26"/>
      <c r="N3" s="26"/>
      <c r="O3" s="26"/>
      <c r="P3" s="26"/>
      <c r="Q3" s="26"/>
      <c r="R3" s="26"/>
      <c r="S3" s="26"/>
      <c r="T3" s="26"/>
      <c r="U3" s="26"/>
      <c r="V3" s="26"/>
      <c r="W3" s="26"/>
      <c r="X3" s="26"/>
      <c r="Y3" s="26"/>
      <c r="Z3" s="26"/>
      <c r="AA3" s="26"/>
      <c r="AB3" s="26"/>
    </row>
    <row r="4" spans="1:28" x14ac:dyDescent="0.25">
      <c r="B4"/>
    </row>
    <row r="5" spans="1:28" ht="16.5" thickBot="1" x14ac:dyDescent="0.3">
      <c r="A5" s="1" t="s">
        <v>23</v>
      </c>
      <c r="B5" s="9">
        <f ca="1">MAX(B$3:B4)+0.1</f>
        <v>31.1</v>
      </c>
      <c r="C5" s="28" t="s">
        <v>681</v>
      </c>
      <c r="D5" s="28"/>
      <c r="E5" s="28"/>
      <c r="F5" s="28"/>
      <c r="G5" s="28"/>
      <c r="H5" s="28"/>
      <c r="I5" s="28"/>
      <c r="J5" s="28"/>
      <c r="K5" s="28"/>
      <c r="L5" s="28"/>
      <c r="M5" s="28"/>
      <c r="N5" s="28"/>
      <c r="O5" s="28"/>
      <c r="P5" s="28"/>
      <c r="Q5" s="28"/>
      <c r="R5" s="28"/>
      <c r="S5" s="28"/>
      <c r="T5" s="28"/>
      <c r="U5" s="28"/>
      <c r="V5" s="28"/>
      <c r="W5" s="28"/>
      <c r="X5" s="28"/>
      <c r="Y5" s="28"/>
      <c r="Z5" s="28"/>
      <c r="AA5" s="28"/>
      <c r="AB5" s="28"/>
    </row>
    <row r="6" spans="1:28" x14ac:dyDescent="0.25">
      <c r="B6"/>
    </row>
    <row r="7" spans="1:28" x14ac:dyDescent="0.25">
      <c r="B7"/>
    </row>
    <row r="8" spans="1:28" x14ac:dyDescent="0.25">
      <c r="B8"/>
    </row>
    <row r="9" spans="1:28" x14ac:dyDescent="0.25">
      <c r="B9"/>
    </row>
    <row r="10" spans="1:28" x14ac:dyDescent="0.25">
      <c r="B10"/>
    </row>
    <row r="11" spans="1:28" x14ac:dyDescent="0.25">
      <c r="B11"/>
    </row>
    <row r="12" spans="1:28" x14ac:dyDescent="0.25">
      <c r="B12"/>
    </row>
    <row r="13" spans="1:28" x14ac:dyDescent="0.25">
      <c r="B13"/>
    </row>
    <row r="14" spans="1:28" x14ac:dyDescent="0.25">
      <c r="B14"/>
    </row>
    <row r="15" spans="1:28" x14ac:dyDescent="0.25">
      <c r="B15"/>
    </row>
    <row r="16" spans="1:28" x14ac:dyDescent="0.25">
      <c r="B16"/>
    </row>
    <row r="17" spans="2:2" x14ac:dyDescent="0.25">
      <c r="B17"/>
    </row>
    <row r="18" spans="2:2" x14ac:dyDescent="0.25">
      <c r="B18"/>
    </row>
    <row r="19" spans="2:2" x14ac:dyDescent="0.25">
      <c r="B19"/>
    </row>
    <row r="20" spans="2:2" x14ac:dyDescent="0.25">
      <c r="B20"/>
    </row>
    <row r="21" spans="2:2" x14ac:dyDescent="0.25">
      <c r="B21"/>
    </row>
    <row r="22" spans="2:2" x14ac:dyDescent="0.25">
      <c r="B22"/>
    </row>
    <row r="23" spans="2:2" x14ac:dyDescent="0.25">
      <c r="B23"/>
    </row>
    <row r="24" spans="2:2" x14ac:dyDescent="0.25">
      <c r="B24"/>
    </row>
    <row r="25" spans="2:2" x14ac:dyDescent="0.25">
      <c r="B25"/>
    </row>
    <row r="26" spans="2:2" x14ac:dyDescent="0.25">
      <c r="B26"/>
    </row>
    <row r="27" spans="2:2" x14ac:dyDescent="0.25">
      <c r="B27"/>
    </row>
    <row r="28" spans="2:2" x14ac:dyDescent="0.25">
      <c r="B28"/>
    </row>
    <row r="29" spans="2:2" x14ac:dyDescent="0.25">
      <c r="B29"/>
    </row>
    <row r="30" spans="2:2" x14ac:dyDescent="0.25">
      <c r="B30"/>
    </row>
    <row r="31" spans="2:2" x14ac:dyDescent="0.25">
      <c r="B31"/>
    </row>
    <row r="32" spans="2:2" x14ac:dyDescent="0.25">
      <c r="B32"/>
    </row>
    <row r="33" spans="1:28" x14ac:dyDescent="0.25">
      <c r="B33"/>
    </row>
    <row r="34" spans="1:28" x14ac:dyDescent="0.25">
      <c r="B34"/>
    </row>
    <row r="35" spans="1:28" x14ac:dyDescent="0.25">
      <c r="B35"/>
    </row>
    <row r="36" spans="1:28" x14ac:dyDescent="0.25">
      <c r="B36"/>
    </row>
    <row r="37" spans="1:28" x14ac:dyDescent="0.25">
      <c r="B37"/>
    </row>
    <row r="38" spans="1:28" x14ac:dyDescent="0.25">
      <c r="B38"/>
    </row>
    <row r="39" spans="1:28" x14ac:dyDescent="0.25">
      <c r="B39"/>
    </row>
    <row r="40" spans="1:28" x14ac:dyDescent="0.25">
      <c r="B40"/>
    </row>
    <row r="41" spans="1:28" x14ac:dyDescent="0.25">
      <c r="B41"/>
    </row>
    <row r="42" spans="1:28" x14ac:dyDescent="0.25">
      <c r="B42"/>
    </row>
    <row r="43" spans="1:28" x14ac:dyDescent="0.25">
      <c r="B43"/>
    </row>
    <row r="44" spans="1:28" x14ac:dyDescent="0.25">
      <c r="B44"/>
    </row>
    <row r="45" spans="1:28" x14ac:dyDescent="0.25">
      <c r="B45"/>
    </row>
    <row r="46" spans="1:28" x14ac:dyDescent="0.25">
      <c r="B46"/>
    </row>
    <row r="47" spans="1:28" x14ac:dyDescent="0.25">
      <c r="B47"/>
    </row>
    <row r="48" spans="1:28" ht="16.5" thickBot="1" x14ac:dyDescent="0.3">
      <c r="A48" s="1" t="s">
        <v>23</v>
      </c>
      <c r="B48" s="9">
        <f ca="1">MAX(B$3:B47)+0.1</f>
        <v>31.200000000000003</v>
      </c>
      <c r="C48" s="28" t="s">
        <v>680</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row>
    <row r="50" spans="3:17" ht="15.75" x14ac:dyDescent="0.25">
      <c r="C50" s="246" t="s">
        <v>91</v>
      </c>
      <c r="D50" s="104" t="s">
        <v>92</v>
      </c>
      <c r="E50" s="29"/>
    </row>
    <row r="51" spans="3:17" ht="15.75" x14ac:dyDescent="0.25">
      <c r="E51" s="29"/>
    </row>
    <row r="52" spans="3:17" ht="15.75" x14ac:dyDescent="0.25">
      <c r="C52" s="54" t="s">
        <v>378</v>
      </c>
      <c r="D52" s="247" t="s">
        <v>101</v>
      </c>
      <c r="E52" s="50" t="s">
        <v>375</v>
      </c>
      <c r="F52" s="50" t="s">
        <v>128</v>
      </c>
      <c r="G52" s="50" t="s">
        <v>121</v>
      </c>
      <c r="H52" s="50" t="s">
        <v>621</v>
      </c>
      <c r="I52" s="50" t="s">
        <v>106</v>
      </c>
      <c r="J52" s="50" t="s">
        <v>679</v>
      </c>
      <c r="K52" s="50" t="s">
        <v>622</v>
      </c>
      <c r="L52" s="50" t="s">
        <v>675</v>
      </c>
      <c r="M52" s="50" t="s">
        <v>273</v>
      </c>
      <c r="N52" s="50" t="s">
        <v>202</v>
      </c>
      <c r="O52" s="50" t="s">
        <v>277</v>
      </c>
      <c r="Q52" s="126" t="s">
        <v>683</v>
      </c>
    </row>
    <row r="53" spans="3:17" x14ac:dyDescent="0.25">
      <c r="Q53" s="153"/>
    </row>
    <row r="54" spans="3:17" x14ac:dyDescent="0.25">
      <c r="C54" t="s">
        <v>268</v>
      </c>
      <c r="D54" t="s">
        <v>673</v>
      </c>
      <c r="E54" s="251" cm="1">
        <f t="array" ref="E54">IFERROR(INDEX(VDOHistorical[[Ausnet]:[Average]],
MATCH(1,(VDOHistorical[[Cost element]:[Cost element]]=CH_CostElements_Anytime!E$52)*(VDOHistorical[[Customer type]:[Customer type]]=$D$50)*(VDOHistorical[[VDO decision]:[VDO decision]]=CH_CostElements_Anytime!$D54),0),
MATCH(CH_CostElements_Anytime!$C54,VDOHistorical[[#Headers],[Ausnet]:[Average]],0)),"-")</f>
        <v>1527.8509585118993</v>
      </c>
      <c r="F54" s="105" cm="1">
        <f t="array" ref="F54">IFERROR(INDEX(VDOHistorical[[Ausnet]:[Average]],
MATCH(1,(VDOHistorical[[Cost element]:[Cost element]]=CH_CostElements_Anytime!F$52)*(VDOHistorical[[Customer type]:[Customer type]]=$D$50)*(VDOHistorical[[VDO decision]:[VDO decision]]=CH_CostElements_Anytime!$D54),0),
MATCH(CH_CostElements_Anytime!$C54,VDOHistorical[[#Headers],[Ausnet]:[Average]],0)),"-")</f>
        <v>442.60601471400008</v>
      </c>
      <c r="G54" s="250" cm="1">
        <f t="array" ref="G54">IFERROR(INDEX(VDOHistorical[[Ausnet]:[Average]],
MATCH(1,(VDOHistorical[[Cost element]:[Cost element]]=CH_CostElements_Anytime!G$52)*(VDOHistorical[[Customer type]:[Customer type]]=$D$50)*(VDOHistorical[[VDO decision]:[VDO decision]]=CH_CostElements_Anytime!$D54),0),
MATCH(CH_CostElements_Anytime!$C54,VDOHistorical[[#Headers],[Ausnet]:[Average]],0)),"-")</f>
        <v>581.69329600000003</v>
      </c>
      <c r="H54" s="250" cm="1">
        <f t="array" ref="H54">IFERROR(INDEX(VDOHistorical[[Ausnet]:[Average]],
MATCH(1,(VDOHistorical[[Cost element]:[Cost element]]=CH_CostElements_Anytime!H$52)*(VDOHistorical[[Customer type]:[Customer type]]=$D$50)*(VDOHistorical[[VDO decision]:[VDO decision]]=CH_CostElements_Anytime!$D54),0),
MATCH(CH_CostElements_Anytime!$C54,VDOHistorical[[#Headers],[Ausnet]:[Average]],0)),"-")</f>
        <v>0</v>
      </c>
      <c r="I54" s="105" cm="1">
        <f t="array" ref="I54">IFERROR(INDEX(VDOHistorical[[Ausnet]:[Average]],
MATCH(1,(VDOHistorical[[Cost element]:[Cost element]]=CH_CostElements_Anytime!I$52)*(VDOHistorical[[Customer type]:[Customer type]]=$D$50)*(VDOHistorical[[VDO decision]:[VDO decision]]=CH_CostElements_Anytime!$D54),0),
MATCH(CH_CostElements_Anytime!$C54,VDOHistorical[[#Headers],[Ausnet]:[Average]],0)),"-")</f>
        <v>172</v>
      </c>
      <c r="J54" s="105" cm="1">
        <f t="array" ref="J54">IFERROR(INDEX(VDOHistorical[[Ausnet]:[Average]],
MATCH(1,(VDOHistorical[[Cost element]:[Cost element]]=CH_CostElements_Anytime!J$52)*(VDOHistorical[[Customer type]:[Customer type]]=$D$50)*(VDOHistorical[[VDO decision]:[VDO decision]]=CH_CostElements_Anytime!$D54),0),
MATCH(CH_CostElements_Anytime!$C54,VDOHistorical[[#Headers],[Ausnet]:[Average]],0)),"-")</f>
        <v>98.570398528509571</v>
      </c>
      <c r="K54" s="250" cm="1">
        <f t="array" ref="K54">IFERROR(INDEX(VDOHistorical[[Ausnet]:[Average]],
MATCH(1,(VDOHistorical[[Cost element]:[Cost element]]=CH_CostElements_Anytime!K$52)*(VDOHistorical[[Customer type]:[Customer type]]=$D$50)*(VDOHistorical[[VDO decision]:[VDO decision]]=CH_CostElements_Anytime!$D54),0),
MATCH(CH_CostElements_Anytime!$C54,VDOHistorical[[#Headers],[Ausnet]:[Average]],0)),"-")</f>
        <v>0</v>
      </c>
      <c r="L54" s="105" cm="1">
        <f t="array" ref="L54">IFERROR(INDEX(VDOHistorical[[Ausnet]:[Average]],
MATCH(1,(VDOHistorical[[Cost element]:[Cost element]]=CH_CostElements_Anytime!L$52)*(VDOHistorical[[Customer type]:[Customer type]]=$D$50)*(VDOHistorical[[VDO decision]:[VDO decision]]=CH_CostElements_Anytime!$D54),0),
MATCH(CH_CostElements_Anytime!$C54,VDOHistorical[[#Headers],[Ausnet]:[Average]],0)),"-")</f>
        <v>6.6485375744689605</v>
      </c>
      <c r="M54" s="105" cm="1">
        <f t="array" ref="M54">IFERROR(INDEX(VDOHistorical[[Ausnet]:[Average]],
MATCH(1,(VDOHistorical[[Cost element]:[Cost element]]=CH_CostElements_Anytime!M$52)*(VDOHistorical[[Customer type]:[Customer type]]=$D$50)*(VDOHistorical[[VDO decision]:[VDO decision]]=CH_CostElements_Anytime!$D54),0),
MATCH(CH_CostElements_Anytime!$C54,VDOHistorical[[#Headers],[Ausnet]:[Average]],0)),"-")</f>
        <v>8.3227724483924597</v>
      </c>
      <c r="N54" s="105" cm="1">
        <f t="array" ref="N54">IFERROR(INDEX(VDOHistorical[[Ausnet]:[Average]],
MATCH(1,(VDOHistorical[[Cost element]:[Cost element]]=CH_CostElements_Anytime!N$52)*(VDOHistorical[[Customer type]:[Customer type]]=$D$50)*(VDOHistorical[[VDO decision]:[VDO decision]]=CH_CostElements_Anytime!$D54),0),
MATCH(CH_CostElements_Anytime!$C54,VDOHistorical[[#Headers],[Ausnet]:[Average]],0)),"-")</f>
        <v>79.114397563628415</v>
      </c>
      <c r="O54" s="105" cm="1">
        <f t="array" ref="O54">IFERROR(INDEX(VDOHistorical[[Ausnet]:[Average]],
MATCH(1,(VDOHistorical[[Cost element]:[Cost element]]=CH_CostElements_Anytime!O$52)*(VDOHistorical[[Customer type]:[Customer type]]=$D$50)*(VDOHistorical[[VDO decision]:[VDO decision]]=CH_CostElements_Anytime!$D54),0),
MATCH(CH_CostElements_Anytime!$C54,VDOHistorical[[#Headers],[Ausnet]:[Average]],0)),"-")</f>
        <v>138.89554168289996</v>
      </c>
      <c r="Q54" s="256">
        <f>IF(ROUND(E54,8)=ROUND(SUM(F54:O54),8),0,1)</f>
        <v>0</v>
      </c>
    </row>
    <row r="55" spans="3:17" x14ac:dyDescent="0.25">
      <c r="C55" t="s">
        <v>269</v>
      </c>
      <c r="D55" t="s">
        <v>673</v>
      </c>
      <c r="E55" s="251" cm="1">
        <f t="array" ref="E55">IFERROR(INDEX(VDOHistorical[[Ausnet]:[Average]],
MATCH(1,(VDOHistorical[[Cost element]:[Cost element]]=CH_CostElements_Anytime!E$52)*(VDOHistorical[[Customer type]:[Customer type]]=$D$50)*(VDOHistorical[[VDO decision]:[VDO decision]]=CH_CostElements_Anytime!$D55),0),
MATCH(CH_CostElements_Anytime!$C55,VDOHistorical[[#Headers],[Ausnet]:[Average]],0)),"-")</f>
        <v>1333.6293965975781</v>
      </c>
      <c r="F55" s="105" cm="1">
        <f t="array" ref="F55">IFERROR(INDEX(VDOHistorical[[Ausnet]:[Average]],
MATCH(1,(VDOHistorical[[Cost element]:[Cost element]]=CH_CostElements_Anytime!F$52)*(VDOHistorical[[Customer type]:[Customer type]]=$D$50)*(VDOHistorical[[VDO decision]:[VDO decision]]=CH_CostElements_Anytime!$D55),0),
MATCH(CH_CostElements_Anytime!$C55,VDOHistorical[[#Headers],[Ausnet]:[Average]],0)),"-")</f>
        <v>431.59282379135993</v>
      </c>
      <c r="G55" s="250" cm="1">
        <f t="array" ref="G55">IFERROR(INDEX(VDOHistorical[[Ausnet]:[Average]],
MATCH(1,(VDOHistorical[[Cost element]:[Cost element]]=CH_CostElements_Anytime!G$52)*(VDOHistorical[[Customer type]:[Customer type]]=$D$50)*(VDOHistorical[[VDO decision]:[VDO decision]]=CH_CostElements_Anytime!$D55),0),
MATCH(CH_CostElements_Anytime!$C55,VDOHistorical[[#Headers],[Ausnet]:[Average]],0)),"-")</f>
        <v>426.6</v>
      </c>
      <c r="H55" s="250" cm="1">
        <f t="array" ref="H55">IFERROR(INDEX(VDOHistorical[[Ausnet]:[Average]],
MATCH(1,(VDOHistorical[[Cost element]:[Cost element]]=CH_CostElements_Anytime!H$52)*(VDOHistorical[[Customer type]:[Customer type]]=$D$50)*(VDOHistorical[[VDO decision]:[VDO decision]]=CH_CostElements_Anytime!$D55),0),
MATCH(CH_CostElements_Anytime!$C55,VDOHistorical[[#Headers],[Ausnet]:[Average]],0)),"-")</f>
        <v>0</v>
      </c>
      <c r="I55" s="105" cm="1">
        <f t="array" ref="I55">IFERROR(INDEX(VDOHistorical[[Ausnet]:[Average]],
MATCH(1,(VDOHistorical[[Cost element]:[Cost element]]=CH_CostElements_Anytime!I$52)*(VDOHistorical[[Customer type]:[Customer type]]=$D$50)*(VDOHistorical[[VDO decision]:[VDO decision]]=CH_CostElements_Anytime!$D55),0),
MATCH(CH_CostElements_Anytime!$C55,VDOHistorical[[#Headers],[Ausnet]:[Average]],0)),"-")</f>
        <v>172</v>
      </c>
      <c r="J55" s="105" cm="1">
        <f t="array" ref="J55">IFERROR(INDEX(VDOHistorical[[Ausnet]:[Average]],
MATCH(1,(VDOHistorical[[Cost element]:[Cost element]]=CH_CostElements_Anytime!J$52)*(VDOHistorical[[Customer type]:[Customer type]]=$D$50)*(VDOHistorical[[VDO decision]:[VDO decision]]=CH_CostElements_Anytime!$D55),0),
MATCH(CH_CostElements_Anytime!$C55,VDOHistorical[[#Headers],[Ausnet]:[Average]],0)),"-")</f>
        <v>98.184757703722909</v>
      </c>
      <c r="K55" s="250" cm="1">
        <f t="array" ref="K55">IFERROR(INDEX(VDOHistorical[[Ausnet]:[Average]],
MATCH(1,(VDOHistorical[[Cost element]:[Cost element]]=CH_CostElements_Anytime!K$52)*(VDOHistorical[[Customer type]:[Customer type]]=$D$50)*(VDOHistorical[[VDO decision]:[VDO decision]]=CH_CostElements_Anytime!$D55),0),
MATCH(CH_CostElements_Anytime!$C55,VDOHistorical[[#Headers],[Ausnet]:[Average]],0)),"-")</f>
        <v>0</v>
      </c>
      <c r="L55" s="105" cm="1">
        <f t="array" ref="L55">IFERROR(INDEX(VDOHistorical[[Ausnet]:[Average]],
MATCH(1,(VDOHistorical[[Cost element]:[Cost element]]=CH_CostElements_Anytime!L$52)*(VDOHistorical[[Customer type]:[Customer type]]=$D$50)*(VDOHistorical[[VDO decision]:[VDO decision]]=CH_CostElements_Anytime!$D55),0),
MATCH(CH_CostElements_Anytime!$C55,VDOHistorical[[#Headers],[Ausnet]:[Average]],0)),"-")</f>
        <v>6.6485375744689605</v>
      </c>
      <c r="M55" s="105" cm="1">
        <f t="array" ref="M55">IFERROR(INDEX(VDOHistorical[[Ausnet]:[Average]],
MATCH(1,(VDOHistorical[[Cost element]:[Cost element]]=CH_CostElements_Anytime!M$52)*(VDOHistorical[[Customer type]:[Customer type]]=$D$50)*(VDOHistorical[[VDO decision]:[VDO decision]]=CH_CostElements_Anytime!$D55),0),
MATCH(CH_CostElements_Anytime!$C55,VDOHistorical[[#Headers],[Ausnet]:[Average]],0)),"-")</f>
        <v>8.3069255770466981</v>
      </c>
      <c r="N55" s="105" cm="1">
        <f t="array" ref="N55">IFERROR(INDEX(VDOHistorical[[Ausnet]:[Average]],
MATCH(1,(VDOHistorical[[Cost element]:[Cost element]]=CH_CostElements_Anytime!N$52)*(VDOHistorical[[Customer type]:[Customer type]]=$D$50)*(VDOHistorical[[VDO decision]:[VDO decision]]=CH_CostElements_Anytime!$D55),0),
MATCH(CH_CostElements_Anytime!$C55,VDOHistorical[[#Headers],[Ausnet]:[Average]],0)),"-")</f>
        <v>69.057315896654544</v>
      </c>
      <c r="O55" s="105" cm="1">
        <f t="array" ref="O55">IFERROR(INDEX(VDOHistorical[[Ausnet]:[Average]],
MATCH(1,(VDOHistorical[[Cost element]:[Cost element]]=CH_CostElements_Anytime!O$52)*(VDOHistorical[[Customer type]:[Customer type]]=$D$50)*(VDOHistorical[[VDO decision]:[VDO decision]]=CH_CostElements_Anytime!$D55),0),
MATCH(CH_CostElements_Anytime!$C55,VDOHistorical[[#Headers],[Ausnet]:[Average]],0)),"-")</f>
        <v>121.2390360543253</v>
      </c>
      <c r="Q55" s="256">
        <f t="shared" ref="Q55:Q59" si="0">IF(ROUND(E55,8)=ROUND(SUM(F55:O55),8),0,1)</f>
        <v>0</v>
      </c>
    </row>
    <row r="56" spans="3:17" x14ac:dyDescent="0.25">
      <c r="C56" t="s">
        <v>270</v>
      </c>
      <c r="D56" t="s">
        <v>673</v>
      </c>
      <c r="E56" s="251" cm="1">
        <f t="array" ref="E56">IFERROR(INDEX(VDOHistorical[[Ausnet]:[Average]],
MATCH(1,(VDOHistorical[[Cost element]:[Cost element]]=CH_CostElements_Anytime!E$52)*(VDOHistorical[[Customer type]:[Customer type]]=$D$50)*(VDOHistorical[[VDO decision]:[VDO decision]]=CH_CostElements_Anytime!$D56),0),
MATCH(CH_CostElements_Anytime!$C56,VDOHistorical[[#Headers],[Ausnet]:[Average]],0)),"-")</f>
        <v>1385.2863289060126</v>
      </c>
      <c r="F56" s="105" cm="1">
        <f t="array" ref="F56">IFERROR(INDEX(VDOHistorical[[Ausnet]:[Average]],
MATCH(1,(VDOHistorical[[Cost element]:[Cost element]]=CH_CostElements_Anytime!F$52)*(VDOHistorical[[Customer type]:[Customer type]]=$D$50)*(VDOHistorical[[VDO decision]:[VDO decision]]=CH_CostElements_Anytime!$D56),0),
MATCH(CH_CostElements_Anytime!$C56,VDOHistorical[[#Headers],[Ausnet]:[Average]],0)),"-")</f>
        <v>452.93898497377774</v>
      </c>
      <c r="G56" s="250" cm="1">
        <f t="array" ref="G56">IFERROR(INDEX(VDOHistorical[[Ausnet]:[Average]],
MATCH(1,(VDOHistorical[[Cost element]:[Cost element]]=CH_CostElements_Anytime!G$52)*(VDOHistorical[[Customer type]:[Customer type]]=$D$50)*(VDOHistorical[[VDO decision]:[VDO decision]]=CH_CostElements_Anytime!$D56),0),
MATCH(CH_CostElements_Anytime!$C56,VDOHistorical[[#Headers],[Ausnet]:[Average]],0)),"-")</f>
        <v>449.94799999999998</v>
      </c>
      <c r="H56" s="250" cm="1">
        <f t="array" ref="H56">IFERROR(INDEX(VDOHistorical[[Ausnet]:[Average]],
MATCH(1,(VDOHistorical[[Cost element]:[Cost element]]=CH_CostElements_Anytime!H$52)*(VDOHistorical[[Customer type]:[Customer type]]=$D$50)*(VDOHistorical[[VDO decision]:[VDO decision]]=CH_CostElements_Anytime!$D56),0),
MATCH(CH_CostElements_Anytime!$C56,VDOHistorical[[#Headers],[Ausnet]:[Average]],0)),"-")</f>
        <v>0</v>
      </c>
      <c r="I56" s="105" cm="1">
        <f t="array" ref="I56">IFERROR(INDEX(VDOHistorical[[Ausnet]:[Average]],
MATCH(1,(VDOHistorical[[Cost element]:[Cost element]]=CH_CostElements_Anytime!I$52)*(VDOHistorical[[Customer type]:[Customer type]]=$D$50)*(VDOHistorical[[VDO decision]:[VDO decision]]=CH_CostElements_Anytime!$D56),0),
MATCH(CH_CostElements_Anytime!$C56,VDOHistorical[[#Headers],[Ausnet]:[Average]],0)),"-")</f>
        <v>172</v>
      </c>
      <c r="J56" s="105" cm="1">
        <f t="array" ref="J56">IFERROR(INDEX(VDOHistorical[[Ausnet]:[Average]],
MATCH(1,(VDOHistorical[[Cost element]:[Cost element]]=CH_CostElements_Anytime!J$52)*(VDOHistorical[[Customer type]:[Customer type]]=$D$50)*(VDOHistorical[[VDO decision]:[VDO decision]]=CH_CostElements_Anytime!$D56),0),
MATCH(CH_CostElements_Anytime!$C56,VDOHistorical[[#Headers],[Ausnet]:[Average]],0)),"-")</f>
        <v>97.79268247929005</v>
      </c>
      <c r="K56" s="250" cm="1">
        <f t="array" ref="K56">IFERROR(INDEX(VDOHistorical[[Ausnet]:[Average]],
MATCH(1,(VDOHistorical[[Cost element]:[Cost element]]=CH_CostElements_Anytime!K$52)*(VDOHistorical[[Customer type]:[Customer type]]=$D$50)*(VDOHistorical[[VDO decision]:[VDO decision]]=CH_CostElements_Anytime!$D56),0),
MATCH(CH_CostElements_Anytime!$C56,VDOHistorical[[#Headers],[Ausnet]:[Average]],0)),"-")</f>
        <v>0</v>
      </c>
      <c r="L56" s="105" cm="1">
        <f t="array" ref="L56">IFERROR(INDEX(VDOHistorical[[Ausnet]:[Average]],
MATCH(1,(VDOHistorical[[Cost element]:[Cost element]]=CH_CostElements_Anytime!L$52)*(VDOHistorical[[Customer type]:[Customer type]]=$D$50)*(VDOHistorical[[VDO decision]:[VDO decision]]=CH_CostElements_Anytime!$D56),0),
MATCH(CH_CostElements_Anytime!$C56,VDOHistorical[[#Headers],[Ausnet]:[Average]],0)),"-")</f>
        <v>6.6485375744689605</v>
      </c>
      <c r="M56" s="105" cm="1">
        <f t="array" ref="M56">IFERROR(INDEX(VDOHistorical[[Ausnet]:[Average]],
MATCH(1,(VDOHistorical[[Cost element]:[Cost element]]=CH_CostElements_Anytime!M$52)*(VDOHistorical[[Customer type]:[Customer type]]=$D$50)*(VDOHistorical[[VDO decision]:[VDO decision]]=CH_CostElements_Anytime!$D56),0),
MATCH(CH_CostElements_Anytime!$C56,VDOHistorical[[#Headers],[Ausnet]:[Average]],0)),"-")</f>
        <v>8.2908143013722828</v>
      </c>
      <c r="N56" s="105" cm="1">
        <f t="array" ref="N56">IFERROR(INDEX(VDOHistorical[[Ausnet]:[Average]],
MATCH(1,(VDOHistorical[[Cost element]:[Cost element]]=CH_CostElements_Anytime!N$52)*(VDOHistorical[[Customer type]:[Customer type]]=$D$50)*(VDOHistorical[[VDO decision]:[VDO decision]]=CH_CostElements_Anytime!$D56),0),
MATCH(CH_CostElements_Anytime!$C56,VDOHistorical[[#Headers],[Ausnet]:[Average]],0)),"-")</f>
        <v>71.732188767466099</v>
      </c>
      <c r="O56" s="105" cm="1">
        <f t="array" ref="O56">IFERROR(INDEX(VDOHistorical[[Ausnet]:[Average]],
MATCH(1,(VDOHistorical[[Cost element]:[Cost element]]=CH_CostElements_Anytime!O$52)*(VDOHistorical[[Customer type]:[Customer type]]=$D$50)*(VDOHistorical[[VDO decision]:[VDO decision]]=CH_CostElements_Anytime!$D56),0),
MATCH(CH_CostElements_Anytime!$C56,VDOHistorical[[#Headers],[Ausnet]:[Average]],0)),"-")</f>
        <v>125.93512080963751</v>
      </c>
      <c r="Q56" s="256">
        <f t="shared" si="0"/>
        <v>0</v>
      </c>
    </row>
    <row r="57" spans="3:17" x14ac:dyDescent="0.25">
      <c r="C57" t="s">
        <v>271</v>
      </c>
      <c r="D57" t="s">
        <v>673</v>
      </c>
      <c r="E57" s="251" cm="1">
        <f t="array" ref="E57">IFERROR(INDEX(VDOHistorical[[Ausnet]:[Average]],
MATCH(1,(VDOHistorical[[Cost element]:[Cost element]]=CH_CostElements_Anytime!E$52)*(VDOHistorical[[Customer type]:[Customer type]]=$D$50)*(VDOHistorical[[VDO decision]:[VDO decision]]=CH_CostElements_Anytime!$D57),0),
MATCH(CH_CostElements_Anytime!$C57,VDOHistorical[[#Headers],[Ausnet]:[Average]],0)),"-")</f>
        <v>1411.2558006237807</v>
      </c>
      <c r="F57" s="105" cm="1">
        <f t="array" ref="F57">IFERROR(INDEX(VDOHistorical[[Ausnet]:[Average]],
MATCH(1,(VDOHistorical[[Cost element]:[Cost element]]=CH_CostElements_Anytime!F$52)*(VDOHistorical[[Customer type]:[Customer type]]=$D$50)*(VDOHistorical[[VDO decision]:[VDO decision]]=CH_CostElements_Anytime!$D57),0),
MATCH(CH_CostElements_Anytime!$C57,VDOHistorical[[#Headers],[Ausnet]:[Average]],0)),"-")</f>
        <v>433.07596988040001</v>
      </c>
      <c r="G57" s="250" cm="1">
        <f t="array" ref="G57">IFERROR(INDEX(VDOHistorical[[Ausnet]:[Average]],
MATCH(1,(VDOHistorical[[Cost element]:[Cost element]]=CH_CostElements_Anytime!G$52)*(VDOHistorical[[Customer type]:[Customer type]]=$D$50)*(VDOHistorical[[VDO decision]:[VDO decision]]=CH_CostElements_Anytime!$D57),0),
MATCH(CH_CostElements_Anytime!$C57,VDOHistorical[[#Headers],[Ausnet]:[Average]],0)),"-")</f>
        <v>491.8</v>
      </c>
      <c r="H57" s="250" cm="1">
        <f t="array" ref="H57">IFERROR(INDEX(VDOHistorical[[Ausnet]:[Average]],
MATCH(1,(VDOHistorical[[Cost element]:[Cost element]]=CH_CostElements_Anytime!H$52)*(VDOHistorical[[Customer type]:[Customer type]]=$D$50)*(VDOHistorical[[VDO decision]:[VDO decision]]=CH_CostElements_Anytime!$D57),0),
MATCH(CH_CostElements_Anytime!$C57,VDOHistorical[[#Headers],[Ausnet]:[Average]],0)),"-")</f>
        <v>0</v>
      </c>
      <c r="I57" s="105" cm="1">
        <f t="array" ref="I57">IFERROR(INDEX(VDOHistorical[[Ausnet]:[Average]],
MATCH(1,(VDOHistorical[[Cost element]:[Cost element]]=CH_CostElements_Anytime!I$52)*(VDOHistorical[[Customer type]:[Customer type]]=$D$50)*(VDOHistorical[[VDO decision]:[VDO decision]]=CH_CostElements_Anytime!$D57),0),
MATCH(CH_CostElements_Anytime!$C57,VDOHistorical[[#Headers],[Ausnet]:[Average]],0)),"-")</f>
        <v>172</v>
      </c>
      <c r="J57" s="105" cm="1">
        <f t="array" ref="J57">IFERROR(INDEX(VDOHistorical[[Ausnet]:[Average]],
MATCH(1,(VDOHistorical[[Cost element]:[Cost element]]=CH_CostElements_Anytime!J$52)*(VDOHistorical[[Customer type]:[Customer type]]=$D$50)*(VDOHistorical[[VDO decision]:[VDO decision]]=CH_CostElements_Anytime!$D57),0),
MATCH(CH_CostElements_Anytime!$C57,VDOHistorical[[#Headers],[Ausnet]:[Average]],0)),"-")</f>
        <v>98.05672038494086</v>
      </c>
      <c r="K57" s="250" cm="1">
        <f t="array" ref="K57">IFERROR(INDEX(VDOHistorical[[Ausnet]:[Average]],
MATCH(1,(VDOHistorical[[Cost element]:[Cost element]]=CH_CostElements_Anytime!K$52)*(VDOHistorical[[Customer type]:[Customer type]]=$D$50)*(VDOHistorical[[VDO decision]:[VDO decision]]=CH_CostElements_Anytime!$D57),0),
MATCH(CH_CostElements_Anytime!$C57,VDOHistorical[[#Headers],[Ausnet]:[Average]],0)),"-")</f>
        <v>0</v>
      </c>
      <c r="L57" s="105" cm="1">
        <f t="array" ref="L57">IFERROR(INDEX(VDOHistorical[[Ausnet]:[Average]],
MATCH(1,(VDOHistorical[[Cost element]:[Cost element]]=CH_CostElements_Anytime!L$52)*(VDOHistorical[[Customer type]:[Customer type]]=$D$50)*(VDOHistorical[[VDO decision]:[VDO decision]]=CH_CostElements_Anytime!$D57),0),
MATCH(CH_CostElements_Anytime!$C57,VDOHistorical[[#Headers],[Ausnet]:[Average]],0)),"-")</f>
        <v>6.6485375744689605</v>
      </c>
      <c r="M57" s="105" cm="1">
        <f t="array" ref="M57">IFERROR(INDEX(VDOHistorical[[Ausnet]:[Average]],
MATCH(1,(VDOHistorical[[Cost element]:[Cost element]]=CH_CostElements_Anytime!M$52)*(VDOHistorical[[Customer type]:[Customer type]]=$D$50)*(VDOHistorical[[VDO decision]:[VDO decision]]=CH_CostElements_Anytime!$D57),0),
MATCH(CH_CostElements_Anytime!$C57,VDOHistorical[[#Headers],[Ausnet]:[Average]],0)),"-")</f>
        <v>8.3016642281754596</v>
      </c>
      <c r="N57" s="105" cm="1">
        <f t="array" ref="N57">IFERROR(INDEX(VDOHistorical[[Ausnet]:[Average]],
MATCH(1,(VDOHistorical[[Cost element]:[Cost element]]=CH_CostElements_Anytime!N$52)*(VDOHistorical[[Customer type]:[Customer type]]=$D$50)*(VDOHistorical[[VDO decision]:[VDO decision]]=CH_CostElements_Anytime!$D57),0),
MATCH(CH_CostElements_Anytime!$C57,VDOHistorical[[#Headers],[Ausnet]:[Average]],0)),"-")</f>
        <v>73.076926680906311</v>
      </c>
      <c r="O57" s="105" cm="1">
        <f t="array" ref="O57">IFERROR(INDEX(VDOHistorical[[Ausnet]:[Average]],
MATCH(1,(VDOHistorical[[Cost element]:[Cost element]]=CH_CostElements_Anytime!O$52)*(VDOHistorical[[Customer type]:[Customer type]]=$D$50)*(VDOHistorical[[VDO decision]:[VDO decision]]=CH_CostElements_Anytime!$D57),0),
MATCH(CH_CostElements_Anytime!$C57,VDOHistorical[[#Headers],[Ausnet]:[Average]],0)),"-")</f>
        <v>128.29598187488918</v>
      </c>
      <c r="Q57" s="256">
        <f t="shared" si="0"/>
        <v>0</v>
      </c>
    </row>
    <row r="58" spans="3:17" x14ac:dyDescent="0.25">
      <c r="C58" t="s">
        <v>272</v>
      </c>
      <c r="D58" t="s">
        <v>673</v>
      </c>
      <c r="E58" s="251" cm="1">
        <f t="array" ref="E58">IFERROR(INDEX(VDOHistorical[[Ausnet]:[Average]],
MATCH(1,(VDOHistorical[[Cost element]:[Cost element]]=CH_CostElements_Anytime!E$52)*(VDOHistorical[[Customer type]:[Customer type]]=$D$50)*(VDOHistorical[[VDO decision]:[VDO decision]]=CH_CostElements_Anytime!$D58),0),
MATCH(CH_CostElements_Anytime!$C58,VDOHistorical[[#Headers],[Ausnet]:[Average]],0)),"-")</f>
        <v>1380.4973533747207</v>
      </c>
      <c r="F58" s="105" cm="1">
        <f t="array" ref="F58">IFERROR(INDEX(VDOHistorical[[Ausnet]:[Average]],
MATCH(1,(VDOHistorical[[Cost element]:[Cost element]]=CH_CostElements_Anytime!F$52)*(VDOHistorical[[Customer type]:[Customer type]]=$D$50)*(VDOHistorical[[VDO decision]:[VDO decision]]=CH_CostElements_Anytime!$D58),0),
MATCH(CH_CostElements_Anytime!$C58,VDOHistorical[[#Headers],[Ausnet]:[Average]],0)),"-")</f>
        <v>459.59114697999991</v>
      </c>
      <c r="G58" s="250" cm="1">
        <f t="array" ref="G58">IFERROR(INDEX(VDOHistorical[[Ausnet]:[Average]],
MATCH(1,(VDOHistorical[[Cost element]:[Cost element]]=CH_CostElements_Anytime!G$52)*(VDOHistorical[[Customer type]:[Customer type]]=$D$50)*(VDOHistorical[[VDO decision]:[VDO decision]]=CH_CostElements_Anytime!$D58),0),
MATCH(CH_CostElements_Anytime!$C58,VDOHistorical[[#Headers],[Ausnet]:[Average]],0)),"-")</f>
        <v>438.00741333713455</v>
      </c>
      <c r="H58" s="250" cm="1">
        <f t="array" ref="H58">IFERROR(INDEX(VDOHistorical[[Ausnet]:[Average]],
MATCH(1,(VDOHistorical[[Cost element]:[Cost element]]=CH_CostElements_Anytime!H$52)*(VDOHistorical[[Customer type]:[Customer type]]=$D$50)*(VDOHistorical[[VDO decision]:[VDO decision]]=CH_CostElements_Anytime!$D58),0),
MATCH(CH_CostElements_Anytime!$C58,VDOHistorical[[#Headers],[Ausnet]:[Average]],0)),"-")</f>
        <v>0</v>
      </c>
      <c r="I58" s="105" cm="1">
        <f t="array" ref="I58">IFERROR(INDEX(VDOHistorical[[Ausnet]:[Average]],
MATCH(1,(VDOHistorical[[Cost element]:[Cost element]]=CH_CostElements_Anytime!I$52)*(VDOHistorical[[Customer type]:[Customer type]]=$D$50)*(VDOHistorical[[VDO decision]:[VDO decision]]=CH_CostElements_Anytime!$D58),0),
MATCH(CH_CostElements_Anytime!$C58,VDOHistorical[[#Headers],[Ausnet]:[Average]],0)),"-")</f>
        <v>172</v>
      </c>
      <c r="J58" s="105" cm="1">
        <f t="array" ref="J58">IFERROR(INDEX(VDOHistorical[[Ausnet]:[Average]],
MATCH(1,(VDOHistorical[[Cost element]:[Cost element]]=CH_CostElements_Anytime!J$52)*(VDOHistorical[[Customer type]:[Customer type]]=$D$50)*(VDOHistorical[[VDO decision]:[VDO decision]]=CH_CostElements_Anytime!$D58),0),
MATCH(CH_CostElements_Anytime!$C58,VDOHistorical[[#Headers],[Ausnet]:[Average]],0)),"-")</f>
        <v>98.928788098814238</v>
      </c>
      <c r="K58" s="250" cm="1">
        <f t="array" ref="K58">IFERROR(INDEX(VDOHistorical[[Ausnet]:[Average]],
MATCH(1,(VDOHistorical[[Cost element]:[Cost element]]=CH_CostElements_Anytime!K$52)*(VDOHistorical[[Customer type]:[Customer type]]=$D$50)*(VDOHistorical[[VDO decision]:[VDO decision]]=CH_CostElements_Anytime!$D58),0),
MATCH(CH_CostElements_Anytime!$C58,VDOHistorical[[#Headers],[Ausnet]:[Average]],0)),"-")</f>
        <v>0</v>
      </c>
      <c r="L58" s="105" cm="1">
        <f t="array" ref="L58">IFERROR(INDEX(VDOHistorical[[Ausnet]:[Average]],
MATCH(1,(VDOHistorical[[Cost element]:[Cost element]]=CH_CostElements_Anytime!L$52)*(VDOHistorical[[Customer type]:[Customer type]]=$D$50)*(VDOHistorical[[VDO decision]:[VDO decision]]=CH_CostElements_Anytime!$D58),0),
MATCH(CH_CostElements_Anytime!$C58,VDOHistorical[[#Headers],[Ausnet]:[Average]],0)),"-")</f>
        <v>6.6485375744689605</v>
      </c>
      <c r="M58" s="105" cm="1">
        <f t="array" ref="M58">IFERROR(INDEX(VDOHistorical[[Ausnet]:[Average]],
MATCH(1,(VDOHistorical[[Cost element]:[Cost element]]=CH_CostElements_Anytime!M$52)*(VDOHistorical[[Customer type]:[Customer type]]=$D$50)*(VDOHistorical[[VDO decision]:[VDO decision]]=CH_CostElements_Anytime!$D58),0),
MATCH(CH_CostElements_Anytime!$C58,VDOHistorical[[#Headers],[Ausnet]:[Average]],0)),"-")</f>
        <v>8.3374995028100578</v>
      </c>
      <c r="N58" s="105" cm="1">
        <f t="array" ref="N58">IFERROR(INDEX(VDOHistorical[[Ausnet]:[Average]],
MATCH(1,(VDOHistorical[[Cost element]:[Cost element]]=CH_CostElements_Anytime!N$52)*(VDOHistorical[[Customer type]:[Customer type]]=$D$50)*(VDOHistorical[[VDO decision]:[VDO decision]]=CH_CostElements_Anytime!$D58),0),
MATCH(CH_CostElements_Anytime!$C58,VDOHistorical[[#Headers],[Ausnet]:[Average]],0)),"-")</f>
        <v>71.484208483790965</v>
      </c>
      <c r="O58" s="105" cm="1">
        <f t="array" ref="O58">IFERROR(INDEX(VDOHistorical[[Ausnet]:[Average]],
MATCH(1,(VDOHistorical[[Cost element]:[Cost element]]=CH_CostElements_Anytime!O$52)*(VDOHistorical[[Customer type]:[Customer type]]=$D$50)*(VDOHistorical[[VDO decision]:[VDO decision]]=CH_CostElements_Anytime!$D58),0),
MATCH(CH_CostElements_Anytime!$C58,VDOHistorical[[#Headers],[Ausnet]:[Average]],0)),"-")</f>
        <v>125.49975939770189</v>
      </c>
      <c r="Q58" s="256">
        <f t="shared" si="0"/>
        <v>0</v>
      </c>
    </row>
    <row r="59" spans="3:17" x14ac:dyDescent="0.25">
      <c r="C59" t="s">
        <v>374</v>
      </c>
      <c r="D59" t="s">
        <v>673</v>
      </c>
      <c r="E59" s="251" cm="1">
        <f t="array" ref="E59">IFERROR(INDEX(VDOHistorical[[Ausnet]:[Average]],
MATCH(1,(VDOHistorical[[Cost element]:[Cost element]]=CH_CostElements_Anytime!E$52)*(VDOHistorical[[Customer type]:[Customer type]]=$D$50)*(VDOHistorical[[VDO decision]:[VDO decision]]=CH_CostElements_Anytime!$D59),0),
MATCH(CH_CostElements_Anytime!$C59,VDOHistorical[[#Headers],[Ausnet]:[Average]],0)),"-")</f>
        <v>1407.7039676027982</v>
      </c>
      <c r="F59" s="105" cm="1">
        <f t="array" ref="F59">IFERROR(INDEX(VDOHistorical[[Ausnet]:[Average]],
MATCH(1,(VDOHistorical[[Cost element]:[Cost element]]=CH_CostElements_Anytime!F$52)*(VDOHistorical[[Customer type]:[Customer type]]=$D$50)*(VDOHistorical[[VDO decision]:[VDO decision]]=CH_CostElements_Anytime!$D59),0),
MATCH(CH_CostElements_Anytime!$C59,VDOHistorical[[#Headers],[Ausnet]:[Average]],0)),"-")</f>
        <v>443.96098806790752</v>
      </c>
      <c r="G59" s="250" cm="1">
        <f t="array" ref="G59">IFERROR(INDEX(VDOHistorical[[Ausnet]:[Average]],
MATCH(1,(VDOHistorical[[Cost element]:[Cost element]]=CH_CostElements_Anytime!G$52)*(VDOHistorical[[Customer type]:[Customer type]]=$D$50)*(VDOHistorical[[VDO decision]:[VDO decision]]=CH_CostElements_Anytime!$D59),0),
MATCH(CH_CostElements_Anytime!$C59,VDOHistorical[[#Headers],[Ausnet]:[Average]],0)),"-")</f>
        <v>477.60974186742698</v>
      </c>
      <c r="H59" s="250" cm="1">
        <f t="array" ref="H59">IFERROR(INDEX(VDOHistorical[[Ausnet]:[Average]],
MATCH(1,(VDOHistorical[[Cost element]:[Cost element]]=CH_CostElements_Anytime!H$52)*(VDOHistorical[[Customer type]:[Customer type]]=$D$50)*(VDOHistorical[[VDO decision]:[VDO decision]]=CH_CostElements_Anytime!$D59),0),
MATCH(CH_CostElements_Anytime!$C59,VDOHistorical[[#Headers],[Ausnet]:[Average]],0)),"-")</f>
        <v>0</v>
      </c>
      <c r="I59" s="105" cm="1">
        <f t="array" ref="I59">IFERROR(INDEX(VDOHistorical[[Ausnet]:[Average]],
MATCH(1,(VDOHistorical[[Cost element]:[Cost element]]=CH_CostElements_Anytime!I$52)*(VDOHistorical[[Customer type]:[Customer type]]=$D$50)*(VDOHistorical[[VDO decision]:[VDO decision]]=CH_CostElements_Anytime!$D59),0),
MATCH(CH_CostElements_Anytime!$C59,VDOHistorical[[#Headers],[Ausnet]:[Average]],0)),"-")</f>
        <v>172</v>
      </c>
      <c r="J59" s="105" cm="1">
        <f t="array" ref="J59">IFERROR(INDEX(VDOHistorical[[Ausnet]:[Average]],
MATCH(1,(VDOHistorical[[Cost element]:[Cost element]]=CH_CostElements_Anytime!J$52)*(VDOHistorical[[Customer type]:[Customer type]]=$D$50)*(VDOHistorical[[VDO decision]:[VDO decision]]=CH_CostElements_Anytime!$D59),0),
MATCH(CH_CostElements_Anytime!$C59,VDOHistorical[[#Headers],[Ausnet]:[Average]],0)),"-")</f>
        <v>98.306669439055526</v>
      </c>
      <c r="K59" s="250" cm="1">
        <f t="array" ref="K59">IFERROR(INDEX(VDOHistorical[[Ausnet]:[Average]],
MATCH(1,(VDOHistorical[[Cost element]:[Cost element]]=CH_CostElements_Anytime!K$52)*(VDOHistorical[[Customer type]:[Customer type]]=$D$50)*(VDOHistorical[[VDO decision]:[VDO decision]]=CH_CostElements_Anytime!$D59),0),
MATCH(CH_CostElements_Anytime!$C59,VDOHistorical[[#Headers],[Ausnet]:[Average]],0)),"-")</f>
        <v>0</v>
      </c>
      <c r="L59" s="105" cm="1">
        <f t="array" ref="L59">IFERROR(INDEX(VDOHistorical[[Ausnet]:[Average]],
MATCH(1,(VDOHistorical[[Cost element]:[Cost element]]=CH_CostElements_Anytime!L$52)*(VDOHistorical[[Customer type]:[Customer type]]=$D$50)*(VDOHistorical[[VDO decision]:[VDO decision]]=CH_CostElements_Anytime!$D59),0),
MATCH(CH_CostElements_Anytime!$C59,VDOHistorical[[#Headers],[Ausnet]:[Average]],0)),"-")</f>
        <v>6.6485375744689605</v>
      </c>
      <c r="M59" s="105" cm="1">
        <f t="array" ref="M59">IFERROR(INDEX(VDOHistorical[[Ausnet]:[Average]],
MATCH(1,(VDOHistorical[[Cost element]:[Cost element]]=CH_CostElements_Anytime!M$52)*(VDOHistorical[[Customer type]:[Customer type]]=$D$50)*(VDOHistorical[[VDO decision]:[VDO decision]]=CH_CostElements_Anytime!$D59),0),
MATCH(CH_CostElements_Anytime!$C59,VDOHistorical[[#Headers],[Ausnet]:[Average]],0)),"-")</f>
        <v>8.3119352115593923</v>
      </c>
      <c r="N59" s="105" cm="1">
        <f t="array" ref="N59">IFERROR(INDEX(VDOHistorical[[Ausnet]:[Average]],
MATCH(1,(VDOHistorical[[Cost element]:[Cost element]]=CH_CostElements_Anytime!N$52)*(VDOHistorical[[Customer type]:[Customer type]]=$D$50)*(VDOHistorical[[VDO decision]:[VDO decision]]=CH_CostElements_Anytime!$D59),0),
MATCH(CH_CostElements_Anytime!$C59,VDOHistorical[[#Headers],[Ausnet]:[Average]],0)),"-")</f>
        <v>72.893007478489253</v>
      </c>
      <c r="O59" s="105" cm="1">
        <f t="array" ref="O59">IFERROR(INDEX(VDOHistorical[[Ausnet]:[Average]],
MATCH(1,(VDOHistorical[[Cost element]:[Cost element]]=CH_CostElements_Anytime!O$52)*(VDOHistorical[[Customer type]:[Customer type]]=$D$50)*(VDOHistorical[[VDO decision]:[VDO decision]]=CH_CostElements_Anytime!$D59),0),
MATCH(CH_CostElements_Anytime!$C59,VDOHistorical[[#Headers],[Ausnet]:[Average]],0)),"-")</f>
        <v>127.97308796389075</v>
      </c>
      <c r="Q59" s="256">
        <f t="shared" si="0"/>
        <v>0</v>
      </c>
    </row>
    <row r="60" spans="3:17" x14ac:dyDescent="0.25">
      <c r="Q60" s="153"/>
    </row>
    <row r="61" spans="3:17" x14ac:dyDescent="0.25">
      <c r="C61" t="s">
        <v>268</v>
      </c>
      <c r="D61" t="s">
        <v>672</v>
      </c>
      <c r="E61" s="251" cm="1">
        <f t="array" ref="E61">IFERROR(INDEX(VDOHistorical[[Ausnet]:[Average]],
MATCH(1,(VDOHistorical[[Cost element]:[Cost element]]=CH_CostElements_Anytime!E$52)*(VDOHistorical[[Customer type]:[Customer type]]=$D$50)*(VDOHistorical[[VDO decision]:[VDO decision]]=CH_CostElements_Anytime!$D61),0),
MATCH(CH_CostElements_Anytime!$C61,VDOHistorical[[#Headers],[Ausnet]:[Average]],0)),"-")</f>
        <v>1645.0868307368989</v>
      </c>
      <c r="F61" s="105" cm="1">
        <f t="array" ref="F61">IFERROR(INDEX(VDOHistorical[[Ausnet]:[Average]],
MATCH(1,(VDOHistorical[[Cost element]:[Cost element]]=CH_CostElements_Anytime!F$52)*(VDOHistorical[[Customer type]:[Customer type]]=$D$50)*(VDOHistorical[[VDO decision]:[VDO decision]]=CH_CostElements_Anytime!$D61),0),
MATCH(CH_CostElements_Anytime!$C61,VDOHistorical[[#Headers],[Ausnet]:[Average]],0)),"-")</f>
        <v>512.16903559111108</v>
      </c>
      <c r="G61" s="250" cm="1">
        <f t="array" ref="G61">IFERROR(INDEX(VDOHistorical[[Ausnet]:[Average]],
MATCH(1,(VDOHistorical[[Cost element]:[Cost element]]=CH_CostElements_Anytime!G$52)*(VDOHistorical[[Customer type]:[Customer type]]=$D$50)*(VDOHistorical[[VDO decision]:[VDO decision]]=CH_CostElements_Anytime!$D61),0),
MATCH(CH_CostElements_Anytime!$C61,VDOHistorical[[#Headers],[Ausnet]:[Average]],0)),"-")</f>
        <v>623.98</v>
      </c>
      <c r="H61" s="250" cm="1">
        <f t="array" ref="H61">IFERROR(INDEX(VDOHistorical[[Ausnet]:[Average]],
MATCH(1,(VDOHistorical[[Cost element]:[Cost element]]=CH_CostElements_Anytime!H$52)*(VDOHistorical[[Customer type]:[Customer type]]=$D$50)*(VDOHistorical[[VDO decision]:[VDO decision]]=CH_CostElements_Anytime!$D61),0),
MATCH(CH_CostElements_Anytime!$C61,VDOHistorical[[#Headers],[Ausnet]:[Average]],0)),"-")</f>
        <v>0</v>
      </c>
      <c r="I61" s="105" cm="1">
        <f t="array" ref="I61">IFERROR(INDEX(VDOHistorical[[Ausnet]:[Average]],
MATCH(1,(VDOHistorical[[Cost element]:[Cost element]]=CH_CostElements_Anytime!I$52)*(VDOHistorical[[Customer type]:[Customer type]]=$D$50)*(VDOHistorical[[VDO decision]:[VDO decision]]=CH_CostElements_Anytime!$D61),0),
MATCH(CH_CostElements_Anytime!$C61,VDOHistorical[[#Headers],[Ausnet]:[Average]],0)),"-")</f>
        <v>174.40888630791068</v>
      </c>
      <c r="J61" s="105" cm="1">
        <f t="array" ref="J61">IFERROR(INDEX(VDOHistorical[[Ausnet]:[Average]],
MATCH(1,(VDOHistorical[[Cost element]:[Cost element]]=CH_CostElements_Anytime!J$52)*(VDOHistorical[[Customer type]:[Customer type]]=$D$50)*(VDOHistorical[[VDO decision]:[VDO decision]]=CH_CostElements_Anytime!$D61),0),
MATCH(CH_CostElements_Anytime!$C61,VDOHistorical[[#Headers],[Ausnet]:[Average]],0)),"-")</f>
        <v>82.266793890124106</v>
      </c>
      <c r="K61" s="250" cm="1">
        <f t="array" ref="K61">IFERROR(INDEX(VDOHistorical[[Ausnet]:[Average]],
MATCH(1,(VDOHistorical[[Cost element]:[Cost element]]=CH_CostElements_Anytime!K$52)*(VDOHistorical[[Customer type]:[Customer type]]=$D$50)*(VDOHistorical[[VDO decision]:[VDO decision]]=CH_CostElements_Anytime!$D61),0),
MATCH(CH_CostElements_Anytime!$C61,VDOHistorical[[#Headers],[Ausnet]:[Average]],0)),"-")</f>
        <v>0</v>
      </c>
      <c r="L61" s="105" cm="1">
        <f t="array" ref="L61">IFERROR(INDEX(VDOHistorical[[Ausnet]:[Average]],
MATCH(1,(VDOHistorical[[Cost element]:[Cost element]]=CH_CostElements_Anytime!L$52)*(VDOHistorical[[Customer type]:[Customer type]]=$D$50)*(VDOHistorical[[VDO decision]:[VDO decision]]=CH_CostElements_Anytime!$D61),0),
MATCH(CH_CostElements_Anytime!$C61,VDOHistorical[[#Headers],[Ausnet]:[Average]],0)),"-")</f>
        <v>8.392848052444899</v>
      </c>
      <c r="M61" s="105" cm="1">
        <f t="array" ref="M61">IFERROR(INDEX(VDOHistorical[[Ausnet]:[Average]],
MATCH(1,(VDOHistorical[[Cost element]:[Cost element]]=CH_CostElements_Anytime!M$52)*(VDOHistorical[[Customer type]:[Customer type]]=$D$50)*(VDOHistorical[[VDO decision]:[VDO decision]]=CH_CostElements_Anytime!$D61),0),
MATCH(CH_CostElements_Anytime!$C61,VDOHistorical[[#Headers],[Ausnet]:[Average]],0)),"-")</f>
        <v>9.1308730577774266</v>
      </c>
      <c r="N61" s="105" cm="1">
        <f t="array" ref="N61">IFERROR(INDEX(VDOHistorical[[Ausnet]:[Average]],
MATCH(1,(VDOHistorical[[Cost element]:[Cost element]]=CH_CostElements_Anytime!N$52)*(VDOHistorical[[Customer type]:[Customer type]]=$D$50)*(VDOHistorical[[VDO decision]:[VDO decision]]=CH_CostElements_Anytime!$D61),0),
MATCH(CH_CostElements_Anytime!$C61,VDOHistorical[[#Headers],[Ausnet]:[Average]],0)),"-")</f>
        <v>85.185045588721835</v>
      </c>
      <c r="O61" s="105" cm="1">
        <f t="array" ref="O61">IFERROR(INDEX(VDOHistorical[[Ausnet]:[Average]],
MATCH(1,(VDOHistorical[[Cost element]:[Cost element]]=CH_CostElements_Anytime!O$52)*(VDOHistorical[[Customer type]:[Customer type]]=$D$50)*(VDOHistorical[[VDO decision]:[VDO decision]]=CH_CostElements_Anytime!$D61),0),
MATCH(CH_CostElements_Anytime!$C61,VDOHistorical[[#Headers],[Ausnet]:[Average]],0)),"-")</f>
        <v>149.55334824880899</v>
      </c>
      <c r="Q61" s="256">
        <f>IF(ROUND(E61,8)=ROUND(SUM(F61:O61),8),0,1)</f>
        <v>0</v>
      </c>
    </row>
    <row r="62" spans="3:17" x14ac:dyDescent="0.25">
      <c r="C62" t="s">
        <v>269</v>
      </c>
      <c r="D62" t="s">
        <v>672</v>
      </c>
      <c r="E62" s="251" cm="1">
        <f t="array" ref="E62">IFERROR(INDEX(VDOHistorical[[Ausnet]:[Average]],
MATCH(1,(VDOHistorical[[Cost element]:[Cost element]]=CH_CostElements_Anytime!E$52)*(VDOHistorical[[Customer type]:[Customer type]]=$D$50)*(VDOHistorical[[VDO decision]:[VDO decision]]=CH_CostElements_Anytime!$D62),0),
MATCH(CH_CostElements_Anytime!$C62,VDOHistorical[[#Headers],[Ausnet]:[Average]],0)),"-")</f>
        <v>1419.6034655693966</v>
      </c>
      <c r="F62" s="105" cm="1">
        <f t="array" ref="F62">IFERROR(INDEX(VDOHistorical[[Ausnet]:[Average]],
MATCH(1,(VDOHistorical[[Cost element]:[Cost element]]=CH_CostElements_Anytime!F$52)*(VDOHistorical[[Customer type]:[Customer type]]=$D$50)*(VDOHistorical[[VDO decision]:[VDO decision]]=CH_CostElements_Anytime!$D62),0),
MATCH(CH_CostElements_Anytime!$C62,VDOHistorical[[#Headers],[Ausnet]:[Average]],0)),"-")</f>
        <v>494.81347888639999</v>
      </c>
      <c r="G62" s="250" cm="1">
        <f t="array" ref="G62">IFERROR(INDEX(VDOHistorical[[Ausnet]:[Average]],
MATCH(1,(VDOHistorical[[Cost element]:[Cost element]]=CH_CostElements_Anytime!G$52)*(VDOHistorical[[Customer type]:[Customer type]]=$D$50)*(VDOHistorical[[VDO decision]:[VDO decision]]=CH_CostElements_Anytime!$D62),0),
MATCH(CH_CostElements_Anytime!$C62,VDOHistorical[[#Headers],[Ausnet]:[Average]],0)),"-")</f>
        <v>448.7</v>
      </c>
      <c r="H62" s="250" cm="1">
        <f t="array" ref="H62">IFERROR(INDEX(VDOHistorical[[Ausnet]:[Average]],
MATCH(1,(VDOHistorical[[Cost element]:[Cost element]]=CH_CostElements_Anytime!H$52)*(VDOHistorical[[Customer type]:[Customer type]]=$D$50)*(VDOHistorical[[VDO decision]:[VDO decision]]=CH_CostElements_Anytime!$D62),0),
MATCH(CH_CostElements_Anytime!$C62,VDOHistorical[[#Headers],[Ausnet]:[Average]],0)),"-")</f>
        <v>0</v>
      </c>
      <c r="I62" s="105" cm="1">
        <f t="array" ref="I62">IFERROR(INDEX(VDOHistorical[[Ausnet]:[Average]],
MATCH(1,(VDOHistorical[[Cost element]:[Cost element]]=CH_CostElements_Anytime!I$52)*(VDOHistorical[[Customer type]:[Customer type]]=$D$50)*(VDOHistorical[[VDO decision]:[VDO decision]]=CH_CostElements_Anytime!$D62),0),
MATCH(CH_CostElements_Anytime!$C62,VDOHistorical[[#Headers],[Ausnet]:[Average]],0)),"-")</f>
        <v>174.40888630791068</v>
      </c>
      <c r="J62" s="105" cm="1">
        <f t="array" ref="J62">IFERROR(INDEX(VDOHistorical[[Ausnet]:[Average]],
MATCH(1,(VDOHistorical[[Cost element]:[Cost element]]=CH_CostElements_Anytime!J$52)*(VDOHistorical[[Customer type]:[Customer type]]=$D$50)*(VDOHistorical[[VDO decision]:[VDO decision]]=CH_CostElements_Anytime!$D62),0),
MATCH(CH_CostElements_Anytime!$C62,VDOHistorical[[#Headers],[Ausnet]:[Average]],0)),"-")</f>
        <v>81.627152672234246</v>
      </c>
      <c r="K62" s="250" cm="1">
        <f t="array" ref="K62">IFERROR(INDEX(VDOHistorical[[Ausnet]:[Average]],
MATCH(1,(VDOHistorical[[Cost element]:[Cost element]]=CH_CostElements_Anytime!K$52)*(VDOHistorical[[Customer type]:[Customer type]]=$D$50)*(VDOHistorical[[VDO decision]:[VDO decision]]=CH_CostElements_Anytime!$D62),0),
MATCH(CH_CostElements_Anytime!$C62,VDOHistorical[[#Headers],[Ausnet]:[Average]],0)),"-")</f>
        <v>0</v>
      </c>
      <c r="L62" s="105" cm="1">
        <f t="array" ref="L62">IFERROR(INDEX(VDOHistorical[[Ausnet]:[Average]],
MATCH(1,(VDOHistorical[[Cost element]:[Cost element]]=CH_CostElements_Anytime!L$52)*(VDOHistorical[[Customer type]:[Customer type]]=$D$50)*(VDOHistorical[[VDO decision]:[VDO decision]]=CH_CostElements_Anytime!$D62),0),
MATCH(CH_CostElements_Anytime!$C62,VDOHistorical[[#Headers],[Ausnet]:[Average]],0)),"-")</f>
        <v>8.392848052444899</v>
      </c>
      <c r="M62" s="105" cm="1">
        <f t="array" ref="M62">IFERROR(INDEX(VDOHistorical[[Ausnet]:[Average]],
MATCH(1,(VDOHistorical[[Cost element]:[Cost element]]=CH_CostElements_Anytime!M$52)*(VDOHistorical[[Customer type]:[Customer type]]=$D$50)*(VDOHistorical[[VDO decision]:[VDO decision]]=CH_CostElements_Anytime!$D62),0),
MATCH(CH_CostElements_Anytime!$C62,VDOHistorical[[#Headers],[Ausnet]:[Average]],0)),"-")</f>
        <v>9.097057942843227</v>
      </c>
      <c r="N62" s="105" cm="1">
        <f t="array" ref="N62">IFERROR(INDEX(VDOHistorical[[Ausnet]:[Average]],
MATCH(1,(VDOHistorical[[Cost element]:[Cost element]]=CH_CostElements_Anytime!N$52)*(VDOHistorical[[Customer type]:[Customer type]]=$D$50)*(VDOHistorical[[VDO decision]:[VDO decision]]=CH_CostElements_Anytime!$D62),0),
MATCH(CH_CostElements_Anytime!$C62,VDOHistorical[[#Headers],[Ausnet]:[Average]],0)),"-")</f>
        <v>73.509181201254719</v>
      </c>
      <c r="O62" s="105" cm="1">
        <f t="array" ref="O62">IFERROR(INDEX(VDOHistorical[[Ausnet]:[Average]],
MATCH(1,(VDOHistorical[[Cost element]:[Cost element]]=CH_CostElements_Anytime!O$52)*(VDOHistorical[[Customer type]:[Customer type]]=$D$50)*(VDOHistorical[[VDO decision]:[VDO decision]]=CH_CostElements_Anytime!$D62),0),
MATCH(CH_CostElements_Anytime!$C62,VDOHistorical[[#Headers],[Ausnet]:[Average]],0)),"-")</f>
        <v>129.05486050630878</v>
      </c>
      <c r="Q62" s="256">
        <f t="shared" ref="Q62:Q66" si="1">IF(ROUND(E62,8)=ROUND(SUM(F62:O62),8),0,1)</f>
        <v>0</v>
      </c>
    </row>
    <row r="63" spans="3:17" x14ac:dyDescent="0.25">
      <c r="C63" t="s">
        <v>270</v>
      </c>
      <c r="D63" t="s">
        <v>672</v>
      </c>
      <c r="E63" s="251" cm="1">
        <f t="array" ref="E63">IFERROR(INDEX(VDOHistorical[[Ausnet]:[Average]],
MATCH(1,(VDOHistorical[[Cost element]:[Cost element]]=CH_CostElements_Anytime!E$52)*(VDOHistorical[[Customer type]:[Customer type]]=$D$50)*(VDOHistorical[[VDO decision]:[VDO decision]]=CH_CostElements_Anytime!$D63),0),
MATCH(CH_CostElements_Anytime!$C63,VDOHistorical[[#Headers],[Ausnet]:[Average]],0)),"-")</f>
        <v>1495.4373770266125</v>
      </c>
      <c r="F63" s="105" cm="1">
        <f t="array" ref="F63">IFERROR(INDEX(VDOHistorical[[Ausnet]:[Average]],
MATCH(1,(VDOHistorical[[Cost element]:[Cost element]]=CH_CostElements_Anytime!F$52)*(VDOHistorical[[Customer type]:[Customer type]]=$D$50)*(VDOHistorical[[VDO decision]:[VDO decision]]=CH_CostElements_Anytime!$D63),0),
MATCH(CH_CostElements_Anytime!$C63,VDOHistorical[[#Headers],[Ausnet]:[Average]],0)),"-")</f>
        <v>526.88983326719995</v>
      </c>
      <c r="G63" s="250" cm="1">
        <f t="array" ref="G63">IFERROR(INDEX(VDOHistorical[[Ausnet]:[Average]],
MATCH(1,(VDOHistorical[[Cost element]:[Cost element]]=CH_CostElements_Anytime!G$52)*(VDOHistorical[[Customer type]:[Customer type]]=$D$50)*(VDOHistorical[[VDO decision]:[VDO decision]]=CH_CostElements_Anytime!$D63),0),
MATCH(CH_CostElements_Anytime!$C63,VDOHistorical[[#Headers],[Ausnet]:[Average]],0)),"-")</f>
        <v>482.02</v>
      </c>
      <c r="H63" s="250" cm="1">
        <f t="array" ref="H63">IFERROR(INDEX(VDOHistorical[[Ausnet]:[Average]],
MATCH(1,(VDOHistorical[[Cost element]:[Cost element]]=CH_CostElements_Anytime!H$52)*(VDOHistorical[[Customer type]:[Customer type]]=$D$50)*(VDOHistorical[[VDO decision]:[VDO decision]]=CH_CostElements_Anytime!$D63),0),
MATCH(CH_CostElements_Anytime!$C63,VDOHistorical[[#Headers],[Ausnet]:[Average]],0)),"-")</f>
        <v>0</v>
      </c>
      <c r="I63" s="105" cm="1">
        <f t="array" ref="I63">IFERROR(INDEX(VDOHistorical[[Ausnet]:[Average]],
MATCH(1,(VDOHistorical[[Cost element]:[Cost element]]=CH_CostElements_Anytime!I$52)*(VDOHistorical[[Customer type]:[Customer type]]=$D$50)*(VDOHistorical[[VDO decision]:[VDO decision]]=CH_CostElements_Anytime!$D63),0),
MATCH(CH_CostElements_Anytime!$C63,VDOHistorical[[#Headers],[Ausnet]:[Average]],0)),"-")</f>
        <v>174.40888630791068</v>
      </c>
      <c r="J63" s="105" cm="1">
        <f t="array" ref="J63">IFERROR(INDEX(VDOHistorical[[Ausnet]:[Average]],
MATCH(1,(VDOHistorical[[Cost element]:[Cost element]]=CH_CostElements_Anytime!J$52)*(VDOHistorical[[Customer type]:[Customer type]]=$D$50)*(VDOHistorical[[VDO decision]:[VDO decision]]=CH_CostElements_Anytime!$D63),0),
MATCH(CH_CostElements_Anytime!$C63,VDOHistorical[[#Headers],[Ausnet]:[Average]],0)),"-")</f>
        <v>81.263167308449624</v>
      </c>
      <c r="K63" s="250" cm="1">
        <f t="array" ref="K63">IFERROR(INDEX(VDOHistorical[[Ausnet]:[Average]],
MATCH(1,(VDOHistorical[[Cost element]:[Cost element]]=CH_CostElements_Anytime!K$52)*(VDOHistorical[[Customer type]:[Customer type]]=$D$50)*(VDOHistorical[[VDO decision]:[VDO decision]]=CH_CostElements_Anytime!$D63),0),
MATCH(CH_CostElements_Anytime!$C63,VDOHistorical[[#Headers],[Ausnet]:[Average]],0)),"-")</f>
        <v>0</v>
      </c>
      <c r="L63" s="105" cm="1">
        <f t="array" ref="L63">IFERROR(INDEX(VDOHistorical[[Ausnet]:[Average]],
MATCH(1,(VDOHistorical[[Cost element]:[Cost element]]=CH_CostElements_Anytime!L$52)*(VDOHistorical[[Customer type]:[Customer type]]=$D$50)*(VDOHistorical[[VDO decision]:[VDO decision]]=CH_CostElements_Anytime!$D63),0),
MATCH(CH_CostElements_Anytime!$C63,VDOHistorical[[#Headers],[Ausnet]:[Average]],0)),"-")</f>
        <v>8.392848052444899</v>
      </c>
      <c r="M63" s="105" cm="1">
        <f t="array" ref="M63">IFERROR(INDEX(VDOHistorical[[Ausnet]:[Average]],
MATCH(1,(VDOHistorical[[Cost element]:[Cost element]]=CH_CostElements_Anytime!M$52)*(VDOHistorical[[Customer type]:[Customer type]]=$D$50)*(VDOHistorical[[VDO decision]:[VDO decision]]=CH_CostElements_Anytime!$D63),0),
MATCH(CH_CostElements_Anytime!$C63,VDOHistorical[[#Headers],[Ausnet]:[Average]],0)),"-")</f>
        <v>9.0778155823347095</v>
      </c>
      <c r="N63" s="105" cm="1">
        <f t="array" ref="N63">IFERROR(INDEX(VDOHistorical[[Ausnet]:[Average]],
MATCH(1,(VDOHistorical[[Cost element]:[Cost element]]=CH_CostElements_Anytime!N$52)*(VDOHistorical[[Customer type]:[Customer type]]=$D$50)*(VDOHistorical[[VDO decision]:[VDO decision]]=CH_CostElements_Anytime!$D63),0),
MATCH(CH_CostElements_Anytime!$C63,VDOHistorical[[#Headers],[Ausnet]:[Average]],0)),"-")</f>
        <v>77.435974051307738</v>
      </c>
      <c r="O63" s="105" cm="1">
        <f t="array" ref="O63">IFERROR(INDEX(VDOHistorical[[Ausnet]:[Average]],
MATCH(1,(VDOHistorical[[Cost element]:[Cost element]]=CH_CostElements_Anytime!O$52)*(VDOHistorical[[Customer type]:[Customer type]]=$D$50)*(VDOHistorical[[VDO decision]:[VDO decision]]=CH_CostElements_Anytime!$D63),0),
MATCH(CH_CostElements_Anytime!$C63,VDOHistorical[[#Headers],[Ausnet]:[Average]],0)),"-")</f>
        <v>135.94885245696477</v>
      </c>
      <c r="Q63" s="256">
        <f t="shared" si="1"/>
        <v>0</v>
      </c>
    </row>
    <row r="64" spans="3:17" x14ac:dyDescent="0.25">
      <c r="C64" t="s">
        <v>271</v>
      </c>
      <c r="D64" t="s">
        <v>672</v>
      </c>
      <c r="E64" s="251" cm="1">
        <f t="array" ref="E64">IFERROR(INDEX(VDOHistorical[[Ausnet]:[Average]],
MATCH(1,(VDOHistorical[[Cost element]:[Cost element]]=CH_CostElements_Anytime!E$52)*(VDOHistorical[[Customer type]:[Customer type]]=$D$50)*(VDOHistorical[[VDO decision]:[VDO decision]]=CH_CostElements_Anytime!$D64),0),
MATCH(CH_CostElements_Anytime!$C64,VDOHistorical[[#Headers],[Ausnet]:[Average]],0)),"-")</f>
        <v>1516.7903773165822</v>
      </c>
      <c r="F64" s="105" cm="1">
        <f t="array" ref="F64">IFERROR(INDEX(VDOHistorical[[Ausnet]:[Average]],
MATCH(1,(VDOHistorical[[Cost element]:[Cost element]]=CH_CostElements_Anytime!F$52)*(VDOHistorical[[Customer type]:[Customer type]]=$D$50)*(VDOHistorical[[VDO decision]:[VDO decision]]=CH_CostElements_Anytime!$D64),0),
MATCH(CH_CostElements_Anytime!$C64,VDOHistorical[[#Headers],[Ausnet]:[Average]],0)),"-")</f>
        <v>500.20962878879993</v>
      </c>
      <c r="G64" s="250" cm="1">
        <f t="array" ref="G64">IFERROR(INDEX(VDOHistorical[[Ausnet]:[Average]],
MATCH(1,(VDOHistorical[[Cost element]:[Cost element]]=CH_CostElements_Anytime!G$52)*(VDOHistorical[[Customer type]:[Customer type]]=$D$50)*(VDOHistorical[[VDO decision]:[VDO decision]]=CH_CostElements_Anytime!$D64),0),
MATCH(CH_CostElements_Anytime!$C64,VDOHistorical[[#Headers],[Ausnet]:[Average]],0)),"-")</f>
        <v>526.5</v>
      </c>
      <c r="H64" s="250" cm="1">
        <f t="array" ref="H64">IFERROR(INDEX(VDOHistorical[[Ausnet]:[Average]],
MATCH(1,(VDOHistorical[[Cost element]:[Cost element]]=CH_CostElements_Anytime!H$52)*(VDOHistorical[[Customer type]:[Customer type]]=$D$50)*(VDOHistorical[[VDO decision]:[VDO decision]]=CH_CostElements_Anytime!$D64),0),
MATCH(CH_CostElements_Anytime!$C64,VDOHistorical[[#Headers],[Ausnet]:[Average]],0)),"-")</f>
        <v>0</v>
      </c>
      <c r="I64" s="105" cm="1">
        <f t="array" ref="I64">IFERROR(INDEX(VDOHistorical[[Ausnet]:[Average]],
MATCH(1,(VDOHistorical[[Cost element]:[Cost element]]=CH_CostElements_Anytime!I$52)*(VDOHistorical[[Customer type]:[Customer type]]=$D$50)*(VDOHistorical[[VDO decision]:[VDO decision]]=CH_CostElements_Anytime!$D64),0),
MATCH(CH_CostElements_Anytime!$C64,VDOHistorical[[#Headers],[Ausnet]:[Average]],0)),"-")</f>
        <v>174.40888630791068</v>
      </c>
      <c r="J64" s="105" cm="1">
        <f t="array" ref="J64">IFERROR(INDEX(VDOHistorical[[Ausnet]:[Average]],
MATCH(1,(VDOHistorical[[Cost element]:[Cost element]]=CH_CostElements_Anytime!J$52)*(VDOHistorical[[Customer type]:[Customer type]]=$D$50)*(VDOHistorical[[VDO decision]:[VDO decision]]=CH_CostElements_Anytime!$D64),0),
MATCH(CH_CostElements_Anytime!$C64,VDOHistorical[[#Headers],[Ausnet]:[Average]],0)),"-")</f>
        <v>81.744076458604852</v>
      </c>
      <c r="K64" s="250" cm="1">
        <f t="array" ref="K64">IFERROR(INDEX(VDOHistorical[[Ausnet]:[Average]],
MATCH(1,(VDOHistorical[[Cost element]:[Cost element]]=CH_CostElements_Anytime!K$52)*(VDOHistorical[[Customer type]:[Customer type]]=$D$50)*(VDOHistorical[[VDO decision]:[VDO decision]]=CH_CostElements_Anytime!$D64),0),
MATCH(CH_CostElements_Anytime!$C64,VDOHistorical[[#Headers],[Ausnet]:[Average]],0)),"-")</f>
        <v>0</v>
      </c>
      <c r="L64" s="105" cm="1">
        <f t="array" ref="L64">IFERROR(INDEX(VDOHistorical[[Ausnet]:[Average]],
MATCH(1,(VDOHistorical[[Cost element]:[Cost element]]=CH_CostElements_Anytime!L$52)*(VDOHistorical[[Customer type]:[Customer type]]=$D$50)*(VDOHistorical[[VDO decision]:[VDO decision]]=CH_CostElements_Anytime!$D64),0),
MATCH(CH_CostElements_Anytime!$C64,VDOHistorical[[#Headers],[Ausnet]:[Average]],0)),"-")</f>
        <v>8.392848052444899</v>
      </c>
      <c r="M64" s="105" cm="1">
        <f t="array" ref="M64">IFERROR(INDEX(VDOHistorical[[Ausnet]:[Average]],
MATCH(1,(VDOHistorical[[Cost element]:[Cost element]]=CH_CostElements_Anytime!M$52)*(VDOHistorical[[Customer type]:[Customer type]]=$D$50)*(VDOHistorical[[VDO decision]:[VDO decision]]=CH_CostElements_Anytime!$D64),0),
MATCH(CH_CostElements_Anytime!$C64,VDOHistorical[[#Headers],[Ausnet]:[Average]],0)),"-")</f>
        <v>9.1032392069082722</v>
      </c>
      <c r="N64" s="105" cm="1">
        <f t="array" ref="N64">IFERROR(INDEX(VDOHistorical[[Ausnet]:[Average]],
MATCH(1,(VDOHistorical[[Cost element]:[Cost element]]=CH_CostElements_Anytime!N$52)*(VDOHistorical[[Customer type]:[Customer type]]=$D$50)*(VDOHistorical[[VDO decision]:[VDO decision]]=CH_CostElements_Anytime!$D64),0),
MATCH(CH_CostElements_Anytime!$C64,VDOHistorical[[#Headers],[Ausnet]:[Average]],0)),"-")</f>
        <v>78.54166420040599</v>
      </c>
      <c r="O64" s="105" cm="1">
        <f t="array" ref="O64">IFERROR(INDEX(VDOHistorical[[Ausnet]:[Average]],
MATCH(1,(VDOHistorical[[Cost element]:[Cost element]]=CH_CostElements_Anytime!O$52)*(VDOHistorical[[Customer type]:[Customer type]]=$D$50)*(VDOHistorical[[VDO decision]:[VDO decision]]=CH_CostElements_Anytime!$D64),0),
MATCH(CH_CostElements_Anytime!$C64,VDOHistorical[[#Headers],[Ausnet]:[Average]],0)),"-")</f>
        <v>137.89003430150748</v>
      </c>
      <c r="Q64" s="256">
        <f t="shared" si="1"/>
        <v>0</v>
      </c>
    </row>
    <row r="65" spans="3:17" x14ac:dyDescent="0.25">
      <c r="C65" t="s">
        <v>272</v>
      </c>
      <c r="D65" t="s">
        <v>672</v>
      </c>
      <c r="E65" s="251" cm="1">
        <f t="array" ref="E65">IFERROR(INDEX(VDOHistorical[[Ausnet]:[Average]],
MATCH(1,(VDOHistorical[[Cost element]:[Cost element]]=CH_CostElements_Anytime!E$52)*(VDOHistorical[[Customer type]:[Customer type]]=$D$50)*(VDOHistorical[[VDO decision]:[VDO decision]]=CH_CostElements_Anytime!$D65),0),
MATCH(CH_CostElements_Anytime!$C65,VDOHistorical[[#Headers],[Ausnet]:[Average]],0)),"-")</f>
        <v>1507.7246825417187</v>
      </c>
      <c r="F65" s="105" cm="1">
        <f t="array" ref="F65">IFERROR(INDEX(VDOHistorical[[Ausnet]:[Average]],
MATCH(1,(VDOHistorical[[Cost element]:[Cost element]]=CH_CostElements_Anytime!F$52)*(VDOHistorical[[Customer type]:[Customer type]]=$D$50)*(VDOHistorical[[VDO decision]:[VDO decision]]=CH_CostElements_Anytime!$D65),0),
MATCH(CH_CostElements_Anytime!$C65,VDOHistorical[[#Headers],[Ausnet]:[Average]],0)),"-")</f>
        <v>537.39101088680002</v>
      </c>
      <c r="G65" s="250" cm="1">
        <f t="array" ref="G65">IFERROR(INDEX(VDOHistorical[[Ausnet]:[Average]],
MATCH(1,(VDOHistorical[[Cost element]:[Cost element]]=CH_CostElements_Anytime!G$52)*(VDOHistorical[[Customer type]:[Customer type]]=$D$50)*(VDOHistorical[[VDO decision]:[VDO decision]]=CH_CostElements_Anytime!$D65),0),
MATCH(CH_CostElements_Anytime!$C65,VDOHistorical[[#Headers],[Ausnet]:[Average]],0)),"-")</f>
        <v>481.02449999999999</v>
      </c>
      <c r="H65" s="250" cm="1">
        <f t="array" ref="H65">IFERROR(INDEX(VDOHistorical[[Ausnet]:[Average]],
MATCH(1,(VDOHistorical[[Cost element]:[Cost element]]=CH_CostElements_Anytime!H$52)*(VDOHistorical[[Customer type]:[Customer type]]=$D$50)*(VDOHistorical[[VDO decision]:[VDO decision]]=CH_CostElements_Anytime!$D65),0),
MATCH(CH_CostElements_Anytime!$C65,VDOHistorical[[#Headers],[Ausnet]:[Average]],0)),"-")</f>
        <v>0</v>
      </c>
      <c r="I65" s="105" cm="1">
        <f t="array" ref="I65">IFERROR(INDEX(VDOHistorical[[Ausnet]:[Average]],
MATCH(1,(VDOHistorical[[Cost element]:[Cost element]]=CH_CostElements_Anytime!I$52)*(VDOHistorical[[Customer type]:[Customer type]]=$D$50)*(VDOHistorical[[VDO decision]:[VDO decision]]=CH_CostElements_Anytime!$D65),0),
MATCH(CH_CostElements_Anytime!$C65,VDOHistorical[[#Headers],[Ausnet]:[Average]],0)),"-")</f>
        <v>174.40888630791068</v>
      </c>
      <c r="J65" s="105" cm="1">
        <f t="array" ref="J65">IFERROR(INDEX(VDOHistorical[[Ausnet]:[Average]],
MATCH(1,(VDOHistorical[[Cost element]:[Cost element]]=CH_CostElements_Anytime!J$52)*(VDOHistorical[[Customer type]:[Customer type]]=$D$50)*(VDOHistorical[[VDO decision]:[VDO decision]]=CH_CostElements_Anytime!$D65),0),
MATCH(CH_CostElements_Anytime!$C65,VDOHistorical[[#Headers],[Ausnet]:[Average]],0)),"-")</f>
        <v>82.239877912772613</v>
      </c>
      <c r="K65" s="250" cm="1">
        <f t="array" ref="K65">IFERROR(INDEX(VDOHistorical[[Ausnet]:[Average]],
MATCH(1,(VDOHistorical[[Cost element]:[Cost element]]=CH_CostElements_Anytime!K$52)*(VDOHistorical[[Customer type]:[Customer type]]=$D$50)*(VDOHistorical[[VDO decision]:[VDO decision]]=CH_CostElements_Anytime!$D65),0),
MATCH(CH_CostElements_Anytime!$C65,VDOHistorical[[#Headers],[Ausnet]:[Average]],0)),"-")</f>
        <v>0</v>
      </c>
      <c r="L65" s="105" cm="1">
        <f t="array" ref="L65">IFERROR(INDEX(VDOHistorical[[Ausnet]:[Average]],
MATCH(1,(VDOHistorical[[Cost element]:[Cost element]]=CH_CostElements_Anytime!L$52)*(VDOHistorical[[Customer type]:[Customer type]]=$D$50)*(VDOHistorical[[VDO decision]:[VDO decision]]=CH_CostElements_Anytime!$D65),0),
MATCH(CH_CostElements_Anytime!$C65,VDOHistorical[[#Headers],[Ausnet]:[Average]],0)),"-")</f>
        <v>8.392848052444899</v>
      </c>
      <c r="M65" s="105" cm="1">
        <f t="array" ref="M65">IFERROR(INDEX(VDOHistorical[[Ausnet]:[Average]],
MATCH(1,(VDOHistorical[[Cost element]:[Cost element]]=CH_CostElements_Anytime!M$52)*(VDOHistorical[[Customer type]:[Customer type]]=$D$50)*(VDOHistorical[[VDO decision]:[VDO decision]]=CH_CostElements_Anytime!$D65),0),
MATCH(CH_CostElements_Anytime!$C65,VDOHistorical[[#Headers],[Ausnet]:[Average]],0)),"-")</f>
        <v>9.12945012435436</v>
      </c>
      <c r="N65" s="105" cm="1">
        <f t="array" ref="N65">IFERROR(INDEX(VDOHistorical[[Ausnet]:[Average]],
MATCH(1,(VDOHistorical[[Cost element]:[Cost element]]=CH_CostElements_Anytime!N$52)*(VDOHistorical[[Customer type]:[Customer type]]=$D$50)*(VDOHistorical[[VDO decision]:[VDO decision]]=CH_CostElements_Anytime!$D65),0),
MATCH(CH_CostElements_Anytime!$C65,VDOHistorical[[#Headers],[Ausnet]:[Average]],0)),"-")</f>
        <v>78.072229026370678</v>
      </c>
      <c r="O65" s="105" cm="1">
        <f t="array" ref="O65">IFERROR(INDEX(VDOHistorical[[Ausnet]:[Average]],
MATCH(1,(VDOHistorical[[Cost element]:[Cost element]]=CH_CostElements_Anytime!O$52)*(VDOHistorical[[Customer type]:[Customer type]]=$D$50)*(VDOHistorical[[VDO decision]:[VDO decision]]=CH_CostElements_Anytime!$D65),0),
MATCH(CH_CostElements_Anytime!$C65,VDOHistorical[[#Headers],[Ausnet]:[Average]],0)),"-")</f>
        <v>137.06588023106534</v>
      </c>
      <c r="Q65" s="256">
        <f t="shared" si="1"/>
        <v>0</v>
      </c>
    </row>
    <row r="66" spans="3:17" x14ac:dyDescent="0.25">
      <c r="C66" t="s">
        <v>374</v>
      </c>
      <c r="D66" t="s">
        <v>672</v>
      </c>
      <c r="E66" s="251" cm="1">
        <f t="array" ref="E66">IFERROR(INDEX(VDOHistorical[[Ausnet]:[Average]],
MATCH(1,(VDOHistorical[[Cost element]:[Cost element]]=CH_CostElements_Anytime!E$52)*(VDOHistorical[[Customer type]:[Customer type]]=$D$50)*(VDOHistorical[[VDO decision]:[VDO decision]]=CH_CostElements_Anytime!$D66),0),
MATCH(CH_CostElements_Anytime!$C66,VDOHistorical[[#Headers],[Ausnet]:[Average]],0)),"-")</f>
        <v>1516.9285466382419</v>
      </c>
      <c r="F66" s="105" cm="1">
        <f t="array" ref="F66">IFERROR(INDEX(VDOHistorical[[Ausnet]:[Average]],
MATCH(1,(VDOHistorical[[Cost element]:[Cost element]]=CH_CostElements_Anytime!F$52)*(VDOHistorical[[Customer type]:[Customer type]]=$D$50)*(VDOHistorical[[VDO decision]:[VDO decision]]=CH_CostElements_Anytime!$D66),0),
MATCH(CH_CostElements_Anytime!$C66,VDOHistorical[[#Headers],[Ausnet]:[Average]],0)),"-")</f>
        <v>514.29459748406214</v>
      </c>
      <c r="G66" s="250" cm="1">
        <f t="array" ref="G66">IFERROR(INDEX(VDOHistorical[[Ausnet]:[Average]],
MATCH(1,(VDOHistorical[[Cost element]:[Cost element]]=CH_CostElements_Anytime!G$52)*(VDOHistorical[[Customer type]:[Customer type]]=$D$50)*(VDOHistorical[[VDO decision]:[VDO decision]]=CH_CostElements_Anytime!$D66),0),
MATCH(CH_CostElements_Anytime!$C66,VDOHistorical[[#Headers],[Ausnet]:[Average]],0)),"-")</f>
        <v>512.44489999999996</v>
      </c>
      <c r="H66" s="250" cm="1">
        <f t="array" ref="H66">IFERROR(INDEX(VDOHistorical[[Ausnet]:[Average]],
MATCH(1,(VDOHistorical[[Cost element]:[Cost element]]=CH_CostElements_Anytime!H$52)*(VDOHistorical[[Customer type]:[Customer type]]=$D$50)*(VDOHistorical[[VDO decision]:[VDO decision]]=CH_CostElements_Anytime!$D66),0),
MATCH(CH_CostElements_Anytime!$C66,VDOHistorical[[#Headers],[Ausnet]:[Average]],0)),"-")</f>
        <v>0</v>
      </c>
      <c r="I66" s="105" cm="1">
        <f t="array" ref="I66">IFERROR(INDEX(VDOHistorical[[Ausnet]:[Average]],
MATCH(1,(VDOHistorical[[Cost element]:[Cost element]]=CH_CostElements_Anytime!I$52)*(VDOHistorical[[Customer type]:[Customer type]]=$D$50)*(VDOHistorical[[VDO decision]:[VDO decision]]=CH_CostElements_Anytime!$D66),0),
MATCH(CH_CostElements_Anytime!$C66,VDOHistorical[[#Headers],[Ausnet]:[Average]],0)),"-")</f>
        <v>174.40888630791068</v>
      </c>
      <c r="J66" s="105" cm="1">
        <f t="array" ref="J66">IFERROR(INDEX(VDOHistorical[[Ausnet]:[Average]],
MATCH(1,(VDOHistorical[[Cost element]:[Cost element]]=CH_CostElements_Anytime!J$52)*(VDOHistorical[[Customer type]:[Customer type]]=$D$50)*(VDOHistorical[[VDO decision]:[VDO decision]]=CH_CostElements_Anytime!$D66),0),
MATCH(CH_CostElements_Anytime!$C66,VDOHistorical[[#Headers],[Ausnet]:[Average]],0)),"-")</f>
        <v>81.828213648437085</v>
      </c>
      <c r="K66" s="250" cm="1">
        <f t="array" ref="K66">IFERROR(INDEX(VDOHistorical[[Ausnet]:[Average]],
MATCH(1,(VDOHistorical[[Cost element]:[Cost element]]=CH_CostElements_Anytime!K$52)*(VDOHistorical[[Customer type]:[Customer type]]=$D$50)*(VDOHistorical[[VDO decision]:[VDO decision]]=CH_CostElements_Anytime!$D66),0),
MATCH(CH_CostElements_Anytime!$C66,VDOHistorical[[#Headers],[Ausnet]:[Average]],0)),"-")</f>
        <v>0</v>
      </c>
      <c r="L66" s="105" cm="1">
        <f t="array" ref="L66">IFERROR(INDEX(VDOHistorical[[Ausnet]:[Average]],
MATCH(1,(VDOHistorical[[Cost element]:[Cost element]]=CH_CostElements_Anytime!L$52)*(VDOHistorical[[Customer type]:[Customer type]]=$D$50)*(VDOHistorical[[VDO decision]:[VDO decision]]=CH_CostElements_Anytime!$D66),0),
MATCH(CH_CostElements_Anytime!$C66,VDOHistorical[[#Headers],[Ausnet]:[Average]],0)),"-")</f>
        <v>8.392848052444899</v>
      </c>
      <c r="M66" s="105" cm="1">
        <f t="array" ref="M66">IFERROR(INDEX(VDOHistorical[[Ausnet]:[Average]],
MATCH(1,(VDOHistorical[[Cost element]:[Cost element]]=CH_CostElements_Anytime!M$52)*(VDOHistorical[[Customer type]:[Customer type]]=$D$50)*(VDOHistorical[[VDO decision]:[VDO decision]]=CH_CostElements_Anytime!$D66),0),
MATCH(CH_CostElements_Anytime!$C66,VDOHistorical[[#Headers],[Ausnet]:[Average]],0)),"-")</f>
        <v>9.1076871828436001</v>
      </c>
      <c r="N66" s="105" cm="1">
        <f t="array" ref="N66">IFERROR(INDEX(VDOHistorical[[Ausnet]:[Average]],
MATCH(1,(VDOHistorical[[Cost element]:[Cost element]]=CH_CostElements_Anytime!N$52)*(VDOHistorical[[Customer type]:[Customer type]]=$D$50)*(VDOHistorical[[VDO decision]:[VDO decision]]=CH_CostElements_Anytime!$D66),0),
MATCH(CH_CostElements_Anytime!$C66,VDOHistorical[[#Headers],[Ausnet]:[Average]],0)),"-")</f>
        <v>78.548818813612186</v>
      </c>
      <c r="O66" s="105" cm="1">
        <f t="array" ref="O66">IFERROR(INDEX(VDOHistorical[[Ausnet]:[Average]],
MATCH(1,(VDOHistorical[[Cost element]:[Cost element]]=CH_CostElements_Anytime!O$52)*(VDOHistorical[[Customer type]:[Customer type]]=$D$50)*(VDOHistorical[[VDO decision]:[VDO decision]]=CH_CostElements_Anytime!$D66),0),
MATCH(CH_CostElements_Anytime!$C66,VDOHistorical[[#Headers],[Ausnet]:[Average]],0)),"-")</f>
        <v>137.90259514893108</v>
      </c>
      <c r="Q66" s="256">
        <f t="shared" si="1"/>
        <v>0</v>
      </c>
    </row>
    <row r="67" spans="3:17" x14ac:dyDescent="0.25">
      <c r="Q67" s="153"/>
    </row>
    <row r="68" spans="3:17" x14ac:dyDescent="0.25">
      <c r="C68" t="s">
        <v>268</v>
      </c>
      <c r="D68" t="s">
        <v>257</v>
      </c>
      <c r="E68" s="251" cm="1">
        <f t="array" ref="E68">IFERROR(INDEX(VDOHistorical[[Ausnet]:[Average]],
MATCH(1,(VDOHistorical[[Cost element]:[Cost element]]=CH_CostElements_Anytime!E$52)*(VDOHistorical[[Customer type]:[Customer type]]=$D$50)*(VDOHistorical[[VDO decision]:[VDO decision]]=CH_CostElements_Anytime!$D68),0),
MATCH(CH_CostElements_Anytime!$C68,VDOHistorical[[#Headers],[Ausnet]:[Average]],0)),"-")</f>
        <v>1506.1331918264343</v>
      </c>
      <c r="F68" s="105" cm="1">
        <f t="array" ref="F68">IFERROR(INDEX(VDOHistorical[[Ausnet]:[Average]],
MATCH(1,(VDOHistorical[[Cost element]:[Cost element]]=CH_CostElements_Anytime!F$52)*(VDOHistorical[[Customer type]:[Customer type]]=$D$50)*(VDOHistorical[[VDO decision]:[VDO decision]]=CH_CostElements_Anytime!$D68),0),
MATCH(CH_CostElements_Anytime!$C68,VDOHistorical[[#Headers],[Ausnet]:[Average]],0)),"-")</f>
        <v>403.34196766499997</v>
      </c>
      <c r="G68" s="250" cm="1">
        <f t="array" ref="G68">IFERROR(INDEX(VDOHistorical[[Ausnet]:[Average]],
MATCH(1,(VDOHistorical[[Cost element]:[Cost element]]=CH_CostElements_Anytime!G$52)*(VDOHistorical[[Customer type]:[Customer type]]=$D$50)*(VDOHistorical[[VDO decision]:[VDO decision]]=CH_CostElements_Anytime!$D68),0),
MATCH(CH_CostElements_Anytime!$C68,VDOHistorical[[#Headers],[Ausnet]:[Average]],0)),"-")</f>
        <v>587</v>
      </c>
      <c r="H68" s="250" cm="1">
        <f t="array" ref="H68">IFERROR(INDEX(VDOHistorical[[Ausnet]:[Average]],
MATCH(1,(VDOHistorical[[Cost element]:[Cost element]]=CH_CostElements_Anytime!H$52)*(VDOHistorical[[Customer type]:[Customer type]]=$D$50)*(VDOHistorical[[VDO decision]:[VDO decision]]=CH_CostElements_Anytime!$D68),0),
MATCH(CH_CostElements_Anytime!$C68,VDOHistorical[[#Headers],[Ausnet]:[Average]],0)),"-")</f>
        <v>0</v>
      </c>
      <c r="I68" s="105" cm="1">
        <f t="array" ref="I68">IFERROR(INDEX(VDOHistorical[[Ausnet]:[Average]],
MATCH(1,(VDOHistorical[[Cost element]:[Cost element]]=CH_CostElements_Anytime!I$52)*(VDOHistorical[[Customer type]:[Customer type]]=$D$50)*(VDOHistorical[[VDO decision]:[VDO decision]]=CH_CostElements_Anytime!$D68),0),
MATCH(CH_CostElements_Anytime!$C68,VDOHistorical[[#Headers],[Ausnet]:[Average]],0)),"-")</f>
        <v>181.75878095302622</v>
      </c>
      <c r="J68" s="105" cm="1">
        <f t="array" ref="J68">IFERROR(INDEX(VDOHistorical[[Ausnet]:[Average]],
MATCH(1,(VDOHistorical[[Cost element]:[Cost element]]=CH_CostElements_Anytime!J$52)*(VDOHistorical[[Customer type]:[Customer type]]=$D$50)*(VDOHistorical[[VDO decision]:[VDO decision]]=CH_CostElements_Anytime!$D68),0),
MATCH(CH_CostElements_Anytime!$C68,VDOHistorical[[#Headers],[Ausnet]:[Average]],0)),"-")</f>
        <v>99.012279151499143</v>
      </c>
      <c r="K68" s="250" cm="1">
        <f t="array" ref="K68">IFERROR(INDEX(VDOHistorical[[Ausnet]:[Average]],
MATCH(1,(VDOHistorical[[Cost element]:[Cost element]]=CH_CostElements_Anytime!K$52)*(VDOHistorical[[Customer type]:[Customer type]]=$D$50)*(VDOHistorical[[VDO decision]:[VDO decision]]=CH_CostElements_Anytime!$D68),0),
MATCH(CH_CostElements_Anytime!$C68,VDOHistorical[[#Headers],[Ausnet]:[Average]],0)),"-")</f>
        <v>0</v>
      </c>
      <c r="L68" s="105" cm="1">
        <f t="array" ref="L68">IFERROR(INDEX(VDOHistorical[[Ausnet]:[Average]],
MATCH(1,(VDOHistorical[[Cost element]:[Cost element]]=CH_CostElements_Anytime!L$52)*(VDOHistorical[[Customer type]:[Customer type]]=$D$50)*(VDOHistorical[[VDO decision]:[VDO decision]]=CH_CostElements_Anytime!$D68),0),
MATCH(CH_CostElements_Anytime!$C68,VDOHistorical[[#Headers],[Ausnet]:[Average]],0)),"-")</f>
        <v>10.849248189087444</v>
      </c>
      <c r="M68" s="105" cm="1">
        <f t="array" ref="M68">IFERROR(INDEX(VDOHistorical[[Ausnet]:[Average]],
MATCH(1,(VDOHistorical[[Cost element]:[Cost element]]=CH_CostElements_Anytime!M$52)*(VDOHistorical[[Customer type]:[Customer type]]=$D$50)*(VDOHistorical[[VDO decision]:[VDO decision]]=CH_CostElements_Anytime!$D68),0),
MATCH(CH_CostElements_Anytime!$C68,VDOHistorical[[#Headers],[Ausnet]:[Average]],0)),"-")</f>
        <v>9.2598973434295004</v>
      </c>
      <c r="N68" s="105" cm="1">
        <f t="array" ref="N68">IFERROR(INDEX(VDOHistorical[[Ausnet]:[Average]],
MATCH(1,(VDOHistorical[[Cost element]:[Cost element]]=CH_CostElements_Anytime!N$52)*(VDOHistorical[[Customer type]:[Customer type]]=$D$50)*(VDOHistorical[[VDO decision]:[VDO decision]]=CH_CostElements_Anytime!$D68),0),
MATCH(CH_CostElements_Anytime!$C68,VDOHistorical[[#Headers],[Ausnet]:[Average]],0)),"-")</f>
        <v>77.989819267443366</v>
      </c>
      <c r="O68" s="105" cm="1">
        <f t="array" ref="O68">IFERROR(INDEX(VDOHistorical[[Ausnet]:[Average]],
MATCH(1,(VDOHistorical[[Cost element]:[Cost element]]=CH_CostElements_Anytime!O$52)*(VDOHistorical[[Customer type]:[Customer type]]=$D$50)*(VDOHistorical[[VDO decision]:[VDO decision]]=CH_CostElements_Anytime!$D68),0),
MATCH(CH_CostElements_Anytime!$C68,VDOHistorical[[#Headers],[Ausnet]:[Average]],0)),"-")</f>
        <v>136.9211992569486</v>
      </c>
      <c r="Q68" s="256">
        <f>IF(ROUND(E68,8)=ROUND(SUM(F68:O68),8),0,1)</f>
        <v>0</v>
      </c>
    </row>
    <row r="69" spans="3:17" x14ac:dyDescent="0.25">
      <c r="C69" t="s">
        <v>269</v>
      </c>
      <c r="D69" t="s">
        <v>257</v>
      </c>
      <c r="E69" s="251" cm="1">
        <f t="array" ref="E69">IFERROR(INDEX(VDOHistorical[[Ausnet]:[Average]],
MATCH(1,(VDOHistorical[[Cost element]:[Cost element]]=CH_CostElements_Anytime!E$52)*(VDOHistorical[[Customer type]:[Customer type]]=$D$50)*(VDOHistorical[[VDO decision]:[VDO decision]]=CH_CostElements_Anytime!$D69),0),
MATCH(CH_CostElements_Anytime!$C69,VDOHistorical[[#Headers],[Ausnet]:[Average]],0)),"-")</f>
        <v>1269.4552802074409</v>
      </c>
      <c r="F69" s="105" cm="1">
        <f t="array" ref="F69">IFERROR(INDEX(VDOHistorical[[Ausnet]:[Average]],
MATCH(1,(VDOHistorical[[Cost element]:[Cost element]]=CH_CostElements_Anytime!F$52)*(VDOHistorical[[Customer type]:[Customer type]]=$D$50)*(VDOHistorical[[VDO decision]:[VDO decision]]=CH_CostElements_Anytime!$D69),0),
MATCH(CH_CostElements_Anytime!$C69,VDOHistorical[[#Headers],[Ausnet]:[Average]],0)),"-")</f>
        <v>374.60133849995998</v>
      </c>
      <c r="G69" s="250" cm="1">
        <f t="array" ref="G69">IFERROR(INDEX(VDOHistorical[[Ausnet]:[Average]],
MATCH(1,(VDOHistorical[[Cost element]:[Cost element]]=CH_CostElements_Anytime!G$52)*(VDOHistorical[[Customer type]:[Customer type]]=$D$50)*(VDOHistorical[[VDO decision]:[VDO decision]]=CH_CostElements_Anytime!$D69),0),
MATCH(CH_CostElements_Anytime!$C69,VDOHistorical[[#Headers],[Ausnet]:[Average]],0)),"-")</f>
        <v>414.59999999999997</v>
      </c>
      <c r="H69" s="250" cm="1">
        <f t="array" ref="H69">IFERROR(INDEX(VDOHistorical[[Ausnet]:[Average]],
MATCH(1,(VDOHistorical[[Cost element]:[Cost element]]=CH_CostElements_Anytime!H$52)*(VDOHistorical[[Customer type]:[Customer type]]=$D$50)*(VDOHistorical[[VDO decision]:[VDO decision]]=CH_CostElements_Anytime!$D69),0),
MATCH(CH_CostElements_Anytime!$C69,VDOHistorical[[#Headers],[Ausnet]:[Average]],0)),"-")</f>
        <v>0</v>
      </c>
      <c r="I69" s="105" cm="1">
        <f t="array" ref="I69">IFERROR(INDEX(VDOHistorical[[Ausnet]:[Average]],
MATCH(1,(VDOHistorical[[Cost element]:[Cost element]]=CH_CostElements_Anytime!I$52)*(VDOHistorical[[Customer type]:[Customer type]]=$D$50)*(VDOHistorical[[VDO decision]:[VDO decision]]=CH_CostElements_Anytime!$D69),0),
MATCH(CH_CostElements_Anytime!$C69,VDOHistorical[[#Headers],[Ausnet]:[Average]],0)),"-")</f>
        <v>181.75878095302622</v>
      </c>
      <c r="J69" s="105" cm="1">
        <f t="array" ref="J69">IFERROR(INDEX(VDOHistorical[[Ausnet]:[Average]],
MATCH(1,(VDOHistorical[[Cost element]:[Cost element]]=CH_CostElements_Anytime!J$52)*(VDOHistorical[[Customer type]:[Customer type]]=$D$50)*(VDOHistorical[[VDO decision]:[VDO decision]]=CH_CostElements_Anytime!$D69),0),
MATCH(CH_CostElements_Anytime!$C69,VDOHistorical[[#Headers],[Ausnet]:[Average]],0)),"-")</f>
        <v>97.300862267596088</v>
      </c>
      <c r="K69" s="250" cm="1">
        <f t="array" ref="K69">IFERROR(INDEX(VDOHistorical[[Ausnet]:[Average]],
MATCH(1,(VDOHistorical[[Cost element]:[Cost element]]=CH_CostElements_Anytime!K$52)*(VDOHistorical[[Customer type]:[Customer type]]=$D$50)*(VDOHistorical[[VDO decision]:[VDO decision]]=CH_CostElements_Anytime!$D69),0),
MATCH(CH_CostElements_Anytime!$C69,VDOHistorical[[#Headers],[Ausnet]:[Average]],0)),"-")</f>
        <v>0</v>
      </c>
      <c r="L69" s="105" cm="1">
        <f t="array" ref="L69">IFERROR(INDEX(VDOHistorical[[Ausnet]:[Average]],
MATCH(1,(VDOHistorical[[Cost element]:[Cost element]]=CH_CostElements_Anytime!L$52)*(VDOHistorical[[Customer type]:[Customer type]]=$D$50)*(VDOHistorical[[VDO decision]:[VDO decision]]=CH_CostElements_Anytime!$D69),0),
MATCH(CH_CostElements_Anytime!$C69,VDOHistorical[[#Headers],[Ausnet]:[Average]],0)),"-")</f>
        <v>10.849248189087444</v>
      </c>
      <c r="M69" s="105" cm="1">
        <f t="array" ref="M69">IFERROR(INDEX(VDOHistorical[[Ausnet]:[Average]],
MATCH(1,(VDOHistorical[[Cost element]:[Cost element]]=CH_CostElements_Anytime!M$52)*(VDOHistorical[[Customer type]:[Customer type]]=$D$50)*(VDOHistorical[[VDO decision]:[VDO decision]]=CH_CostElements_Anytime!$D69),0),
MATCH(CH_CostElements_Anytime!$C69,VDOHistorical[[#Headers],[Ausnet]:[Average]],0)),"-")</f>
        <v>9.2057402280494305</v>
      </c>
      <c r="N69" s="105" cm="1">
        <f t="array" ref="N69">IFERROR(INDEX(VDOHistorical[[Ausnet]:[Average]],
MATCH(1,(VDOHistorical[[Cost element]:[Cost element]]=CH_CostElements_Anytime!N$52)*(VDOHistorical[[Customer type]:[Customer type]]=$D$50)*(VDOHistorical[[VDO decision]:[VDO decision]]=CH_CostElements_Anytime!$D69),0),
MATCH(CH_CostElements_Anytime!$C69,VDOHistorical[[#Headers],[Ausnet]:[Average]],0)),"-")</f>
        <v>65.734284596318233</v>
      </c>
      <c r="O69" s="105" cm="1">
        <f t="array" ref="O69">IFERROR(INDEX(VDOHistorical[[Ausnet]:[Average]],
MATCH(1,(VDOHistorical[[Cost element]:[Cost element]]=CH_CostElements_Anytime!O$52)*(VDOHistorical[[Customer type]:[Customer type]]=$D$50)*(VDOHistorical[[VDO decision]:[VDO decision]]=CH_CostElements_Anytime!$D69),0),
MATCH(CH_CostElements_Anytime!$C69,VDOHistorical[[#Headers],[Ausnet]:[Average]],0)),"-")</f>
        <v>115.40502547340373</v>
      </c>
      <c r="Q69" s="256">
        <f t="shared" ref="Q69:Q73" si="2">IF(ROUND(E69,8)=ROUND(SUM(F69:O69),8),0,1)</f>
        <v>0</v>
      </c>
    </row>
    <row r="70" spans="3:17" x14ac:dyDescent="0.25">
      <c r="C70" t="s">
        <v>270</v>
      </c>
      <c r="D70" t="s">
        <v>257</v>
      </c>
      <c r="E70" s="251" cm="1">
        <f t="array" ref="E70">IFERROR(INDEX(VDOHistorical[[Ausnet]:[Average]],
MATCH(1,(VDOHistorical[[Cost element]:[Cost element]]=CH_CostElements_Anytime!E$52)*(VDOHistorical[[Customer type]:[Customer type]]=$D$50)*(VDOHistorical[[VDO decision]:[VDO decision]]=CH_CostElements_Anytime!$D70),0),
MATCH(CH_CostElements_Anytime!$C70,VDOHistorical[[#Headers],[Ausnet]:[Average]],0)),"-")</f>
        <v>1327.0941894145951</v>
      </c>
      <c r="F70" s="105" cm="1">
        <f t="array" ref="F70">IFERROR(INDEX(VDOHistorical[[Ausnet]:[Average]],
MATCH(1,(VDOHistorical[[Cost element]:[Cost element]]=CH_CostElements_Anytime!F$52)*(VDOHistorical[[Customer type]:[Customer type]]=$D$50)*(VDOHistorical[[VDO decision]:[VDO decision]]=CH_CostElements_Anytime!$D70),0),
MATCH(CH_CostElements_Anytime!$C70,VDOHistorical[[#Headers],[Ausnet]:[Average]],0)),"-")</f>
        <v>407.79431557333345</v>
      </c>
      <c r="G70" s="250" cm="1">
        <f t="array" ref="G70">IFERROR(INDEX(VDOHistorical[[Ausnet]:[Average]],
MATCH(1,(VDOHistorical[[Cost element]:[Cost element]]=CH_CostElements_Anytime!G$52)*(VDOHistorical[[Customer type]:[Customer type]]=$D$50)*(VDOHistorical[[VDO decision]:[VDO decision]]=CH_CostElements_Anytime!$D70),0),
MATCH(CH_CostElements_Anytime!$C70,VDOHistorical[[#Headers],[Ausnet]:[Average]],0)),"-")</f>
        <v>431.87</v>
      </c>
      <c r="H70" s="250" cm="1">
        <f t="array" ref="H70">IFERROR(INDEX(VDOHistorical[[Ausnet]:[Average]],
MATCH(1,(VDOHistorical[[Cost element]:[Cost element]]=CH_CostElements_Anytime!H$52)*(VDOHistorical[[Customer type]:[Customer type]]=$D$50)*(VDOHistorical[[VDO decision]:[VDO decision]]=CH_CostElements_Anytime!$D70),0),
MATCH(CH_CostElements_Anytime!$C70,VDOHistorical[[#Headers],[Ausnet]:[Average]],0)),"-")</f>
        <v>0</v>
      </c>
      <c r="I70" s="105" cm="1">
        <f t="array" ref="I70">IFERROR(INDEX(VDOHistorical[[Ausnet]:[Average]],
MATCH(1,(VDOHistorical[[Cost element]:[Cost element]]=CH_CostElements_Anytime!I$52)*(VDOHistorical[[Customer type]:[Customer type]]=$D$50)*(VDOHistorical[[VDO decision]:[VDO decision]]=CH_CostElements_Anytime!$D70),0),
MATCH(CH_CostElements_Anytime!$C70,VDOHistorical[[#Headers],[Ausnet]:[Average]],0)),"-")</f>
        <v>181.75878095302622</v>
      </c>
      <c r="J70" s="105" cm="1">
        <f t="array" ref="J70">IFERROR(INDEX(VDOHistorical[[Ausnet]:[Average]],
MATCH(1,(VDOHistorical[[Cost element]:[Cost element]]=CH_CostElements_Anytime!J$52)*(VDOHistorical[[Customer type]:[Customer type]]=$D$50)*(VDOHistorical[[VDO decision]:[VDO decision]]=CH_CostElements_Anytime!$D70),0),
MATCH(CH_CostElements_Anytime!$C70,VDOHistorical[[#Headers],[Ausnet]:[Average]],0)),"-")</f>
        <v>96.284429634343809</v>
      </c>
      <c r="K70" s="250" cm="1">
        <f t="array" ref="K70">IFERROR(INDEX(VDOHistorical[[Ausnet]:[Average]],
MATCH(1,(VDOHistorical[[Cost element]:[Cost element]]=CH_CostElements_Anytime!K$52)*(VDOHistorical[[Customer type]:[Customer type]]=$D$50)*(VDOHistorical[[VDO decision]:[VDO decision]]=CH_CostElements_Anytime!$D70),0),
MATCH(CH_CostElements_Anytime!$C70,VDOHistorical[[#Headers],[Ausnet]:[Average]],0)),"-")</f>
        <v>0</v>
      </c>
      <c r="L70" s="105" cm="1">
        <f t="array" ref="L70">IFERROR(INDEX(VDOHistorical[[Ausnet]:[Average]],
MATCH(1,(VDOHistorical[[Cost element]:[Cost element]]=CH_CostElements_Anytime!L$52)*(VDOHistorical[[Customer type]:[Customer type]]=$D$50)*(VDOHistorical[[VDO decision]:[VDO decision]]=CH_CostElements_Anytime!$D70),0),
MATCH(CH_CostElements_Anytime!$C70,VDOHistorical[[#Headers],[Ausnet]:[Average]],0)),"-")</f>
        <v>10.849248189087444</v>
      </c>
      <c r="M70" s="105" cm="1">
        <f t="array" ref="M70">IFERROR(INDEX(VDOHistorical[[Ausnet]:[Average]],
MATCH(1,(VDOHistorical[[Cost element]:[Cost element]]=CH_CostElements_Anytime!M$52)*(VDOHistorical[[Customer type]:[Customer type]]=$D$50)*(VDOHistorical[[VDO decision]:[VDO decision]]=CH_CostElements_Anytime!$D70),0),
MATCH(CH_CostElements_Anytime!$C70,VDOHistorical[[#Headers],[Ausnet]:[Average]],0)),"-")</f>
        <v>9.1735756164268238</v>
      </c>
      <c r="N70" s="105" cm="1">
        <f t="array" ref="N70">IFERROR(INDEX(VDOHistorical[[Ausnet]:[Average]],
MATCH(1,(VDOHistorical[[Cost element]:[Cost element]]=CH_CostElements_Anytime!N$52)*(VDOHistorical[[Customer type]:[Customer type]]=$D$50)*(VDOHistorical[[VDO decision]:[VDO decision]]=CH_CostElements_Anytime!$D70),0),
MATCH(CH_CostElements_Anytime!$C70,VDOHistorical[[#Headers],[Ausnet]:[Average]],0)),"-")</f>
        <v>68.718913137959561</v>
      </c>
      <c r="O70" s="105" cm="1">
        <f t="array" ref="O70">IFERROR(INDEX(VDOHistorical[[Ausnet]:[Average]],
MATCH(1,(VDOHistorical[[Cost element]:[Cost element]]=CH_CostElements_Anytime!O$52)*(VDOHistorical[[Customer type]:[Customer type]]=$D$50)*(VDOHistorical[[VDO decision]:[VDO decision]]=CH_CostElements_Anytime!$D70),0),
MATCH(CH_CostElements_Anytime!$C70,VDOHistorical[[#Headers],[Ausnet]:[Average]],0)),"-")</f>
        <v>120.64492631041774</v>
      </c>
      <c r="Q70" s="256">
        <f t="shared" si="2"/>
        <v>0</v>
      </c>
    </row>
    <row r="71" spans="3:17" x14ac:dyDescent="0.25">
      <c r="C71" t="s">
        <v>271</v>
      </c>
      <c r="D71" t="s">
        <v>257</v>
      </c>
      <c r="E71" s="251" cm="1">
        <f t="array" ref="E71">IFERROR(INDEX(VDOHistorical[[Ausnet]:[Average]],
MATCH(1,(VDOHistorical[[Cost element]:[Cost element]]=CH_CostElements_Anytime!E$52)*(VDOHistorical[[Customer type]:[Customer type]]=$D$50)*(VDOHistorical[[VDO decision]:[VDO decision]]=CH_CostElements_Anytime!$D71),0),
MATCH(CH_CostElements_Anytime!$C71,VDOHistorical[[#Headers],[Ausnet]:[Average]],0)),"-")</f>
        <v>1367.5960507319678</v>
      </c>
      <c r="F71" s="105" cm="1">
        <f t="array" ref="F71">IFERROR(INDEX(VDOHistorical[[Ausnet]:[Average]],
MATCH(1,(VDOHistorical[[Cost element]:[Cost element]]=CH_CostElements_Anytime!F$52)*(VDOHistorical[[Customer type]:[Customer type]]=$D$50)*(VDOHistorical[[VDO decision]:[VDO decision]]=CH_CostElements_Anytime!$D71),0),
MATCH(CH_CostElements_Anytime!$C71,VDOHistorical[[#Headers],[Ausnet]:[Average]],0)),"-")</f>
        <v>396.08606905449994</v>
      </c>
      <c r="G71" s="250" cm="1">
        <f t="array" ref="G71">IFERROR(INDEX(VDOHistorical[[Ausnet]:[Average]],
MATCH(1,(VDOHistorical[[Cost element]:[Cost element]]=CH_CostElements_Anytime!G$52)*(VDOHistorical[[Customer type]:[Customer type]]=$D$50)*(VDOHistorical[[VDO decision]:[VDO decision]]=CH_CostElements_Anytime!$D71),0),
MATCH(CH_CostElements_Anytime!$C71,VDOHistorical[[#Headers],[Ausnet]:[Average]],0)),"-")</f>
        <v>475.1</v>
      </c>
      <c r="H71" s="250" cm="1">
        <f t="array" ref="H71">IFERROR(INDEX(VDOHistorical[[Ausnet]:[Average]],
MATCH(1,(VDOHistorical[[Cost element]:[Cost element]]=CH_CostElements_Anytime!H$52)*(VDOHistorical[[Customer type]:[Customer type]]=$D$50)*(VDOHistorical[[VDO decision]:[VDO decision]]=CH_CostElements_Anytime!$D71),0),
MATCH(CH_CostElements_Anytime!$C71,VDOHistorical[[#Headers],[Ausnet]:[Average]],0)),"-")</f>
        <v>0</v>
      </c>
      <c r="I71" s="105" cm="1">
        <f t="array" ref="I71">IFERROR(INDEX(VDOHistorical[[Ausnet]:[Average]],
MATCH(1,(VDOHistorical[[Cost element]:[Cost element]]=CH_CostElements_Anytime!I$52)*(VDOHistorical[[Customer type]:[Customer type]]=$D$50)*(VDOHistorical[[VDO decision]:[VDO decision]]=CH_CostElements_Anytime!$D71),0),
MATCH(CH_CostElements_Anytime!$C71,VDOHistorical[[#Headers],[Ausnet]:[Average]],0)),"-")</f>
        <v>181.75878095302622</v>
      </c>
      <c r="J71" s="105" cm="1">
        <f t="array" ref="J71">IFERROR(INDEX(VDOHistorical[[Ausnet]:[Average]],
MATCH(1,(VDOHistorical[[Cost element]:[Cost element]]=CH_CostElements_Anytime!J$52)*(VDOHistorical[[Customer type]:[Customer type]]=$D$50)*(VDOHistorical[[VDO decision]:[VDO decision]]=CH_CostElements_Anytime!$D71),0),
MATCH(CH_CostElements_Anytime!$C71,VDOHistorical[[#Headers],[Ausnet]:[Average]],0)),"-")</f>
        <v>99.387119975088353</v>
      </c>
      <c r="K71" s="250" cm="1">
        <f t="array" ref="K71">IFERROR(INDEX(VDOHistorical[[Ausnet]:[Average]],
MATCH(1,(VDOHistorical[[Cost element]:[Cost element]]=CH_CostElements_Anytime!K$52)*(VDOHistorical[[Customer type]:[Customer type]]=$D$50)*(VDOHistorical[[VDO decision]:[VDO decision]]=CH_CostElements_Anytime!$D71),0),
MATCH(CH_CostElements_Anytime!$C71,VDOHistorical[[#Headers],[Ausnet]:[Average]],0)),"-")</f>
        <v>0</v>
      </c>
      <c r="L71" s="105" cm="1">
        <f t="array" ref="L71">IFERROR(INDEX(VDOHistorical[[Ausnet]:[Average]],
MATCH(1,(VDOHistorical[[Cost element]:[Cost element]]=CH_CostElements_Anytime!L$52)*(VDOHistorical[[Customer type]:[Customer type]]=$D$50)*(VDOHistorical[[VDO decision]:[VDO decision]]=CH_CostElements_Anytime!$D71),0),
MATCH(CH_CostElements_Anytime!$C71,VDOHistorical[[#Headers],[Ausnet]:[Average]],0)),"-")</f>
        <v>10.849248189087444</v>
      </c>
      <c r="M71" s="105" cm="1">
        <f t="array" ref="M71">IFERROR(INDEX(VDOHistorical[[Ausnet]:[Average]],
MATCH(1,(VDOHistorical[[Cost element]:[Cost element]]=CH_CostElements_Anytime!M$52)*(VDOHistorical[[Customer type]:[Customer type]]=$D$50)*(VDOHistorical[[VDO decision]:[VDO decision]]=CH_CostElements_Anytime!$D71),0),
MATCH(CH_CostElements_Anytime!$C71,VDOHistorical[[#Headers],[Ausnet]:[Average]],0)),"-")</f>
        <v>9.2717590341275518</v>
      </c>
      <c r="N71" s="105" cm="1">
        <f t="array" ref="N71">IFERROR(INDEX(VDOHistorical[[Ausnet]:[Average]],
MATCH(1,(VDOHistorical[[Cost element]:[Cost element]]=CH_CostElements_Anytime!N$52)*(VDOHistorical[[Customer type]:[Customer type]]=$D$50)*(VDOHistorical[[VDO decision]:[VDO decision]]=CH_CostElements_Anytime!$D71),0),
MATCH(CH_CostElements_Anytime!$C71,VDOHistorical[[#Headers],[Ausnet]:[Average]],0)),"-")</f>
        <v>70.816159823232098</v>
      </c>
      <c r="O71" s="105" cm="1">
        <f t="array" ref="O71">IFERROR(INDEX(VDOHistorical[[Ausnet]:[Average]],
MATCH(1,(VDOHistorical[[Cost element]:[Cost element]]=CH_CostElements_Anytime!O$52)*(VDOHistorical[[Customer type]:[Customer type]]=$D$50)*(VDOHistorical[[VDO decision]:[VDO decision]]=CH_CostElements_Anytime!$D71),0),
MATCH(CH_CostElements_Anytime!$C71,VDOHistorical[[#Headers],[Ausnet]:[Average]],0)),"-")</f>
        <v>124.32691370290615</v>
      </c>
      <c r="Q71" s="256">
        <f t="shared" si="2"/>
        <v>0</v>
      </c>
    </row>
    <row r="72" spans="3:17" x14ac:dyDescent="0.25">
      <c r="C72" t="s">
        <v>272</v>
      </c>
      <c r="D72" t="s">
        <v>257</v>
      </c>
      <c r="E72" s="251" cm="1">
        <f t="array" ref="E72">IFERROR(INDEX(VDOHistorical[[Ausnet]:[Average]],
MATCH(1,(VDOHistorical[[Cost element]:[Cost element]]=CH_CostElements_Anytime!E$52)*(VDOHistorical[[Customer type]:[Customer type]]=$D$50)*(VDOHistorical[[VDO decision]:[VDO decision]]=CH_CostElements_Anytime!$D72),0),
MATCH(CH_CostElements_Anytime!$C72,VDOHistorical[[#Headers],[Ausnet]:[Average]],0)),"-")</f>
        <v>1318.4635656345395</v>
      </c>
      <c r="F72" s="105" cm="1">
        <f t="array" ref="F72">IFERROR(INDEX(VDOHistorical[[Ausnet]:[Average]],
MATCH(1,(VDOHistorical[[Cost element]:[Cost element]]=CH_CostElements_Anytime!F$52)*(VDOHistorical[[Customer type]:[Customer type]]=$D$50)*(VDOHistorical[[VDO decision]:[VDO decision]]=CH_CostElements_Anytime!$D72),0),
MATCH(CH_CostElements_Anytime!$C72,VDOHistorical[[#Headers],[Ausnet]:[Average]],0)),"-")</f>
        <v>415.37045922372005</v>
      </c>
      <c r="G72" s="250" cm="1">
        <f t="array" ref="G72">IFERROR(INDEX(VDOHistorical[[Ausnet]:[Average]],
MATCH(1,(VDOHistorical[[Cost element]:[Cost element]]=CH_CostElements_Anytime!G$52)*(VDOHistorical[[Customer type]:[Customer type]]=$D$50)*(VDOHistorical[[VDO decision]:[VDO decision]]=CH_CostElements_Anytime!$D72),0),
MATCH(CH_CostElements_Anytime!$C72,VDOHistorical[[#Headers],[Ausnet]:[Average]],0)),"-")</f>
        <v>415.48</v>
      </c>
      <c r="H72" s="250" cm="1">
        <f t="array" ref="H72">IFERROR(INDEX(VDOHistorical[[Ausnet]:[Average]],
MATCH(1,(VDOHistorical[[Cost element]:[Cost element]]=CH_CostElements_Anytime!H$52)*(VDOHistorical[[Customer type]:[Customer type]]=$D$50)*(VDOHistorical[[VDO decision]:[VDO decision]]=CH_CostElements_Anytime!$D72),0),
MATCH(CH_CostElements_Anytime!$C72,VDOHistorical[[#Headers],[Ausnet]:[Average]],0)),"-")</f>
        <v>0</v>
      </c>
      <c r="I72" s="105" cm="1">
        <f t="array" ref="I72">IFERROR(INDEX(VDOHistorical[[Ausnet]:[Average]],
MATCH(1,(VDOHistorical[[Cost element]:[Cost element]]=CH_CostElements_Anytime!I$52)*(VDOHistorical[[Customer type]:[Customer type]]=$D$50)*(VDOHistorical[[VDO decision]:[VDO decision]]=CH_CostElements_Anytime!$D72),0),
MATCH(CH_CostElements_Anytime!$C72,VDOHistorical[[#Headers],[Ausnet]:[Average]],0)),"-")</f>
        <v>181.75878095302622</v>
      </c>
      <c r="J72" s="105" cm="1">
        <f t="array" ref="J72">IFERROR(INDEX(VDOHistorical[[Ausnet]:[Average]],
MATCH(1,(VDOHistorical[[Cost element]:[Cost element]]=CH_CostElements_Anytime!J$52)*(VDOHistorical[[Customer type]:[Customer type]]=$D$50)*(VDOHistorical[[VDO decision]:[VDO decision]]=CH_CostElements_Anytime!$D72),0),
MATCH(CH_CostElements_Anytime!$C72,VDOHistorical[[#Headers],[Ausnet]:[Average]],0)),"-")</f>
        <v>97.655775223080738</v>
      </c>
      <c r="K72" s="250" cm="1">
        <f t="array" ref="K72">IFERROR(INDEX(VDOHistorical[[Ausnet]:[Average]],
MATCH(1,(VDOHistorical[[Cost element]:[Cost element]]=CH_CostElements_Anytime!K$52)*(VDOHistorical[[Customer type]:[Customer type]]=$D$50)*(VDOHistorical[[VDO decision]:[VDO decision]]=CH_CostElements_Anytime!$D72),0),
MATCH(CH_CostElements_Anytime!$C72,VDOHistorical[[#Headers],[Ausnet]:[Average]],0)),"-")</f>
        <v>0</v>
      </c>
      <c r="L72" s="105" cm="1">
        <f t="array" ref="L72">IFERROR(INDEX(VDOHistorical[[Ausnet]:[Average]],
MATCH(1,(VDOHistorical[[Cost element]:[Cost element]]=CH_CostElements_Anytime!L$52)*(VDOHistorical[[Customer type]:[Customer type]]=$D$50)*(VDOHistorical[[VDO decision]:[VDO decision]]=CH_CostElements_Anytime!$D72),0),
MATCH(CH_CostElements_Anytime!$C72,VDOHistorical[[#Headers],[Ausnet]:[Average]],0)),"-")</f>
        <v>10.849248189087444</v>
      </c>
      <c r="M72" s="105" cm="1">
        <f t="array" ref="M72">IFERROR(INDEX(VDOHistorical[[Ausnet]:[Average]],
MATCH(1,(VDOHistorical[[Cost element]:[Cost element]]=CH_CostElements_Anytime!M$52)*(VDOHistorical[[Customer type]:[Customer type]]=$D$50)*(VDOHistorical[[VDO decision]:[VDO decision]]=CH_CostElements_Anytime!$D72),0),
MATCH(CH_CostElements_Anytime!$C72,VDOHistorical[[#Headers],[Ausnet]:[Average]],0)),"-")</f>
        <v>9.2169713091850962</v>
      </c>
      <c r="N72" s="105" cm="1">
        <f t="array" ref="N72">IFERROR(INDEX(VDOHistorical[[Ausnet]:[Average]],
MATCH(1,(VDOHistorical[[Cost element]:[Cost element]]=CH_CostElements_Anytime!N$52)*(VDOHistorical[[Customer type]:[Customer type]]=$D$50)*(VDOHistorical[[VDO decision]:[VDO decision]]=CH_CostElements_Anytime!$D72),0),
MATCH(CH_CostElements_Anytime!$C72,VDOHistorical[[#Headers],[Ausnet]:[Average]],0)),"-")</f>
        <v>68.272006587845226</v>
      </c>
      <c r="O72" s="105" cm="1">
        <f t="array" ref="O72">IFERROR(INDEX(VDOHistorical[[Ausnet]:[Average]],
MATCH(1,(VDOHistorical[[Cost element]:[Cost element]]=CH_CostElements_Anytime!O$52)*(VDOHistorical[[Customer type]:[Customer type]]=$D$50)*(VDOHistorical[[VDO decision]:[VDO decision]]=CH_CostElements_Anytime!$D72),0),
MATCH(CH_CostElements_Anytime!$C72,VDOHistorical[[#Headers],[Ausnet]:[Average]],0)),"-")</f>
        <v>119.86032414859449</v>
      </c>
      <c r="Q72" s="256">
        <f t="shared" si="2"/>
        <v>0</v>
      </c>
    </row>
    <row r="73" spans="3:17" x14ac:dyDescent="0.25">
      <c r="C73" t="s">
        <v>374</v>
      </c>
      <c r="D73" t="s">
        <v>257</v>
      </c>
      <c r="E73" s="251" cm="1">
        <f t="array" ref="E73">IFERROR(INDEX(VDOHistorical[[Ausnet]:[Average]],
MATCH(1,(VDOHistorical[[Cost element]:[Cost element]]=CH_CostElements_Anytime!E$52)*(VDOHistorical[[Customer type]:[Customer type]]=$D$50)*(VDOHistorical[[VDO decision]:[VDO decision]]=CH_CostElements_Anytime!$D73),0),
MATCH(CH_CostElements_Anytime!$C73,VDOHistorical[[#Headers],[Ausnet]:[Average]],0)),"-")</f>
        <v>1357.7484555629956</v>
      </c>
      <c r="F73" s="105" cm="1">
        <f t="array" ref="F73">IFERROR(INDEX(VDOHistorical[[Ausnet]:[Average]],
MATCH(1,(VDOHistorical[[Cost element]:[Cost element]]=CH_CostElements_Anytime!F$52)*(VDOHistorical[[Customer type]:[Customer type]]=$D$50)*(VDOHistorical[[VDO decision]:[VDO decision]]=CH_CostElements_Anytime!$D73),0),
MATCH(CH_CostElements_Anytime!$C73,VDOHistorical[[#Headers],[Ausnet]:[Average]],0)),"-")</f>
        <v>399.43883000330271</v>
      </c>
      <c r="G73" s="250" cm="1">
        <f t="array" ref="G73">IFERROR(INDEX(VDOHistorical[[Ausnet]:[Average]],
MATCH(1,(VDOHistorical[[Cost element]:[Cost element]]=CH_CostElements_Anytime!G$52)*(VDOHistorical[[Customer type]:[Customer type]]=$D$50)*(VDOHistorical[[VDO decision]:[VDO decision]]=CH_CostElements_Anytime!$D73),0),
MATCH(CH_CostElements_Anytime!$C73,VDOHistorical[[#Headers],[Ausnet]:[Average]],0)),"-")</f>
        <v>464.80999999999995</v>
      </c>
      <c r="H73" s="250" cm="1">
        <f t="array" ref="H73">IFERROR(INDEX(VDOHistorical[[Ausnet]:[Average]],
MATCH(1,(VDOHistorical[[Cost element]:[Cost element]]=CH_CostElements_Anytime!H$52)*(VDOHistorical[[Customer type]:[Customer type]]=$D$50)*(VDOHistorical[[VDO decision]:[VDO decision]]=CH_CostElements_Anytime!$D73),0),
MATCH(CH_CostElements_Anytime!$C73,VDOHistorical[[#Headers],[Ausnet]:[Average]],0)),"-")</f>
        <v>0</v>
      </c>
      <c r="I73" s="105" cm="1">
        <f t="array" ref="I73">IFERROR(INDEX(VDOHistorical[[Ausnet]:[Average]],
MATCH(1,(VDOHistorical[[Cost element]:[Cost element]]=CH_CostElements_Anytime!I$52)*(VDOHistorical[[Customer type]:[Customer type]]=$D$50)*(VDOHistorical[[VDO decision]:[VDO decision]]=CH_CostElements_Anytime!$D73),0),
MATCH(CH_CostElements_Anytime!$C73,VDOHistorical[[#Headers],[Ausnet]:[Average]],0)),"-")</f>
        <v>181.75878095302622</v>
      </c>
      <c r="J73" s="105" cm="1">
        <f t="array" ref="J73">IFERROR(INDEX(VDOHistorical[[Ausnet]:[Average]],
MATCH(1,(VDOHistorical[[Cost element]:[Cost element]]=CH_CostElements_Anytime!J$52)*(VDOHistorical[[Customer type]:[Customer type]]=$D$50)*(VDOHistorical[[VDO decision]:[VDO decision]]=CH_CostElements_Anytime!$D73),0),
MATCH(CH_CostElements_Anytime!$C73,VDOHistorical[[#Headers],[Ausnet]:[Average]],0)),"-")</f>
        <v>97.928093250321638</v>
      </c>
      <c r="K73" s="250" cm="1">
        <f t="array" ref="K73">IFERROR(INDEX(VDOHistorical[[Ausnet]:[Average]],
MATCH(1,(VDOHistorical[[Cost element]:[Cost element]]=CH_CostElements_Anytime!K$52)*(VDOHistorical[[Customer type]:[Customer type]]=$D$50)*(VDOHistorical[[VDO decision]:[VDO decision]]=CH_CostElements_Anytime!$D73),0),
MATCH(CH_CostElements_Anytime!$C73,VDOHistorical[[#Headers],[Ausnet]:[Average]],0)),"-")</f>
        <v>0</v>
      </c>
      <c r="L73" s="105" cm="1">
        <f t="array" ref="L73">IFERROR(INDEX(VDOHistorical[[Ausnet]:[Average]],
MATCH(1,(VDOHistorical[[Cost element]:[Cost element]]=CH_CostElements_Anytime!L$52)*(VDOHistorical[[Customer type]:[Customer type]]=$D$50)*(VDOHistorical[[VDO decision]:[VDO decision]]=CH_CostElements_Anytime!$D73),0),
MATCH(CH_CostElements_Anytime!$C73,VDOHistorical[[#Headers],[Ausnet]:[Average]],0)),"-")</f>
        <v>10.849248189087444</v>
      </c>
      <c r="M73" s="105" cm="1">
        <f t="array" ref="M73">IFERROR(INDEX(VDOHistorical[[Ausnet]:[Average]],
MATCH(1,(VDOHistorical[[Cost element]:[Cost element]]=CH_CostElements_Anytime!M$52)*(VDOHistorical[[Customer type]:[Customer type]]=$D$50)*(VDOHistorical[[VDO decision]:[VDO decision]]=CH_CostElements_Anytime!$D73),0),
MATCH(CH_CostElements_Anytime!$C73,VDOHistorical[[#Headers],[Ausnet]:[Average]],0)),"-")</f>
        <v>9.2255887062436805</v>
      </c>
      <c r="N73" s="105" cm="1">
        <f t="array" ref="N73">IFERROR(INDEX(VDOHistorical[[Ausnet]:[Average]],
MATCH(1,(VDOHistorical[[Cost element]:[Cost element]]=CH_CostElements_Anytime!N$52)*(VDOHistorical[[Customer type]:[Customer type]]=$D$50)*(VDOHistorical[[VDO decision]:[VDO decision]]=CH_CostElements_Anytime!$D73),0),
MATCH(CH_CostElements_Anytime!$C73,VDOHistorical[[#Headers],[Ausnet]:[Average]],0)),"-")</f>
        <v>70.3062366825597</v>
      </c>
      <c r="O73" s="105" cm="1">
        <f t="array" ref="O73">IFERROR(INDEX(VDOHistorical[[Ausnet]:[Average]],
MATCH(1,(VDOHistorical[[Cost element]:[Cost element]]=CH_CostElements_Anytime!O$52)*(VDOHistorical[[Customer type]:[Customer type]]=$D$50)*(VDOHistorical[[VDO decision]:[VDO decision]]=CH_CostElements_Anytime!$D73),0),
MATCH(CH_CostElements_Anytime!$C73,VDOHistorical[[#Headers],[Ausnet]:[Average]],0)),"-")</f>
        <v>123.43167777845414</v>
      </c>
      <c r="Q73" s="256">
        <f t="shared" si="2"/>
        <v>0</v>
      </c>
    </row>
    <row r="74" spans="3:17" x14ac:dyDescent="0.25">
      <c r="E74" s="252"/>
      <c r="G74" s="138"/>
      <c r="H74" s="138"/>
      <c r="K74" s="138"/>
      <c r="Q74" s="153"/>
    </row>
    <row r="75" spans="3:17" x14ac:dyDescent="0.25">
      <c r="C75" t="s">
        <v>268</v>
      </c>
      <c r="D75" t="s">
        <v>676</v>
      </c>
      <c r="E75" s="251" cm="1">
        <f t="array" ref="E75">IFERROR(INDEX(VDOHistorical[[Ausnet]:[Average]],
MATCH(1,(VDOHistorical[[Cost element]:[Cost element]]=CH_CostElements_Anytime!E$52)*(VDOHistorical[[Customer type]:[Customer type]]=$D$50)*(VDOHistorical[[VDO decision]:[VDO decision]]=CH_CostElements_Anytime!$D75),0),
MATCH(CH_CostElements_Anytime!$C75,VDOHistorical[[#Headers],[Ausnet]:[Average]],0)),"-")</f>
        <v>1559.5818055064342</v>
      </c>
      <c r="F75" s="105" cm="1">
        <f t="array" ref="F75">IFERROR(INDEX(VDOHistorical[[Ausnet]:[Average]],
MATCH(1,(VDOHistorical[[Cost element]:[Cost element]]=CH_CostElements_Anytime!F$52)*(VDOHistorical[[Customer type]:[Customer type]]=$D$50)*(VDOHistorical[[VDO decision]:[VDO decision]]=CH_CostElements_Anytime!$D75),0),
MATCH(CH_CostElements_Anytime!$C75,VDOHistorical[[#Headers],[Ausnet]:[Average]],0)),"-")</f>
        <v>403.34196766499991</v>
      </c>
      <c r="G75" s="250" cm="1">
        <f t="array" ref="G75">IFERROR(INDEX(VDOHistorical[[Ausnet]:[Average]],
MATCH(1,(VDOHistorical[[Cost element]:[Cost element]]=CH_CostElements_Anytime!G$52)*(VDOHistorical[[Customer type]:[Customer type]]=$D$50)*(VDOHistorical[[VDO decision]:[VDO decision]]=CH_CostElements_Anytime!$D75),0),
MATCH(CH_CostElements_Anytime!$C75,VDOHistorical[[#Headers],[Ausnet]:[Average]],0)),"-")</f>
        <v>632.82200000000012</v>
      </c>
      <c r="H75" s="250" cm="1">
        <f t="array" ref="H75">IFERROR(INDEX(VDOHistorical[[Ausnet]:[Average]],
MATCH(1,(VDOHistorical[[Cost element]:[Cost element]]=CH_CostElements_Anytime!H$52)*(VDOHistorical[[Customer type]:[Customer type]]=$D$50)*(VDOHistorical[[VDO decision]:[VDO decision]]=CH_CostElements_Anytime!$D75),0),
MATCH(CH_CostElements_Anytime!$C75,VDOHistorical[[#Headers],[Ausnet]:[Average]],0)),"-")</f>
        <v>0</v>
      </c>
      <c r="I75" s="105" cm="1">
        <f t="array" ref="I75">IFERROR(INDEX(VDOHistorical[[Ausnet]:[Average]],
MATCH(1,(VDOHistorical[[Cost element]:[Cost element]]=CH_CostElements_Anytime!I$52)*(VDOHistorical[[Customer type]:[Customer type]]=$D$50)*(VDOHistorical[[VDO decision]:[VDO decision]]=CH_CostElements_Anytime!$D75),0),
MATCH(CH_CostElements_Anytime!$C75,VDOHistorical[[#Headers],[Ausnet]:[Average]],0)),"-")</f>
        <v>181.75878095302619</v>
      </c>
      <c r="J75" s="105" cm="1">
        <f t="array" ref="J75">IFERROR(INDEX(VDOHistorical[[Ausnet]:[Average]],
MATCH(1,(VDOHistorical[[Cost element]:[Cost element]]=CH_CostElements_Anytime!J$52)*(VDOHistorical[[Customer type]:[Customer type]]=$D$50)*(VDOHistorical[[VDO decision]:[VDO decision]]=CH_CostElements_Anytime!$D75),0),
MATCH(CH_CostElements_Anytime!$C75,VDOHistorical[[#Headers],[Ausnet]:[Average]],0)),"-")</f>
        <v>99.012279151499143</v>
      </c>
      <c r="K75" s="250" cm="1">
        <f t="array" ref="K75">IFERROR(INDEX(VDOHistorical[[Ausnet]:[Average]],
MATCH(1,(VDOHistorical[[Cost element]:[Cost element]]=CH_CostElements_Anytime!K$52)*(VDOHistorical[[Customer type]:[Customer type]]=$D$50)*(VDOHistorical[[VDO decision]:[VDO decision]]=CH_CostElements_Anytime!$D75),0),
MATCH(CH_CostElements_Anytime!$C75,VDOHistorical[[#Headers],[Ausnet]:[Average]],0)),"-")</f>
        <v>0</v>
      </c>
      <c r="L75" s="105" cm="1">
        <f t="array" ref="L75">IFERROR(INDEX(VDOHistorical[[Ausnet]:[Average]],
MATCH(1,(VDOHistorical[[Cost element]:[Cost element]]=CH_CostElements_Anytime!L$52)*(VDOHistorical[[Customer type]:[Customer type]]=$D$50)*(VDOHistorical[[VDO decision]:[VDO decision]]=CH_CostElements_Anytime!$D75),0),
MATCH(CH_CostElements_Anytime!$C75,VDOHistorical[[#Headers],[Ausnet]:[Average]],0)),"-")</f>
        <v>10.849248189087444</v>
      </c>
      <c r="M75" s="105" cm="1">
        <f t="array" ref="M75">IFERROR(INDEX(VDOHistorical[[Ausnet]:[Average]],
MATCH(1,(VDOHistorical[[Cost element]:[Cost element]]=CH_CostElements_Anytime!M$52)*(VDOHistorical[[Customer type]:[Customer type]]=$D$50)*(VDOHistorical[[VDO decision]:[VDO decision]]=CH_CostElements_Anytime!$D75),0),
MATCH(CH_CostElements_Anytime!$C75,VDOHistorical[[#Headers],[Ausnet]:[Average]],0)),"-")</f>
        <v>9.2598973434295004</v>
      </c>
      <c r="N75" s="105" cm="1">
        <f t="array" ref="N75">IFERROR(INDEX(VDOHistorical[[Ausnet]:[Average]],
MATCH(1,(VDOHistorical[[Cost element]:[Cost element]]=CH_CostElements_Anytime!N$52)*(VDOHistorical[[Customer type]:[Customer type]]=$D$50)*(VDOHistorical[[VDO decision]:[VDO decision]]=CH_CostElements_Anytime!$D75),0),
MATCH(CH_CostElements_Anytime!$C75,VDOHistorical[[#Headers],[Ausnet]:[Average]],0)),"-")</f>
        <v>80.757468067443355</v>
      </c>
      <c r="O75" s="105" cm="1">
        <f t="array" ref="O75">IFERROR(INDEX(VDOHistorical[[Ausnet]:[Average]],
MATCH(1,(VDOHistorical[[Cost element]:[Cost element]]=CH_CostElements_Anytime!O$52)*(VDOHistorical[[Customer type]:[Customer type]]=$D$50)*(VDOHistorical[[VDO decision]:[VDO decision]]=CH_CostElements_Anytime!$D75),0),
MATCH(CH_CostElements_Anytime!$C75,VDOHistorical[[#Headers],[Ausnet]:[Average]],0)),"-")</f>
        <v>141.78016413694857</v>
      </c>
      <c r="Q75" s="256">
        <f t="shared" ref="Q75:Q80" si="3">IF(ROUND(E75,8)=ROUND(SUM(F75:O75),8),0,1)</f>
        <v>0</v>
      </c>
    </row>
    <row r="76" spans="3:17" x14ac:dyDescent="0.25">
      <c r="C76" t="s">
        <v>269</v>
      </c>
      <c r="D76" t="s">
        <v>676</v>
      </c>
      <c r="E76" s="251" cm="1">
        <f t="array" ref="E76">IFERROR(INDEX(VDOHistorical[[Ausnet]:[Average]],
MATCH(1,(VDOHistorical[[Cost element]:[Cost element]]=CH_CostElements_Anytime!E$52)*(VDOHistorical[[Customer type]:[Customer type]]=$D$50)*(VDOHistorical[[VDO decision]:[VDO decision]]=CH_CostElements_Anytime!$D76),0),
MATCH(CH_CostElements_Anytime!$C76,VDOHistorical[[#Headers],[Ausnet]:[Average]],0)),"-")</f>
        <v>1335.7195701674411</v>
      </c>
      <c r="F76" s="105" cm="1">
        <f t="array" ref="F76">IFERROR(INDEX(VDOHistorical[[Ausnet]:[Average]],
MATCH(1,(VDOHistorical[[Cost element]:[Cost element]]=CH_CostElements_Anytime!F$52)*(VDOHistorical[[Customer type]:[Customer type]]=$D$50)*(VDOHistorical[[VDO decision]:[VDO decision]]=CH_CostElements_Anytime!$D76),0),
MATCH(CH_CostElements_Anytime!$C76,VDOHistorical[[#Headers],[Ausnet]:[Average]],0)),"-")</f>
        <v>374.60133849995998</v>
      </c>
      <c r="G76" s="250" cm="1">
        <f t="array" ref="G76">IFERROR(INDEX(VDOHistorical[[Ausnet]:[Average]],
MATCH(1,(VDOHistorical[[Cost element]:[Cost element]]=CH_CostElements_Anytime!G$52)*(VDOHistorical[[Customer type]:[Customer type]]=$D$50)*(VDOHistorical[[VDO decision]:[VDO decision]]=CH_CostElements_Anytime!$D76),0),
MATCH(CH_CostElements_Anytime!$C76,VDOHistorical[[#Headers],[Ausnet]:[Average]],0)),"-")</f>
        <v>471.40899999999999</v>
      </c>
      <c r="H76" s="250" cm="1">
        <f t="array" ref="H76">IFERROR(INDEX(VDOHistorical[[Ausnet]:[Average]],
MATCH(1,(VDOHistorical[[Cost element]:[Cost element]]=CH_CostElements_Anytime!H$52)*(VDOHistorical[[Customer type]:[Customer type]]=$D$50)*(VDOHistorical[[VDO decision]:[VDO decision]]=CH_CostElements_Anytime!$D76),0),
MATCH(CH_CostElements_Anytime!$C76,VDOHistorical[[#Headers],[Ausnet]:[Average]],0)),"-")</f>
        <v>0</v>
      </c>
      <c r="I76" s="105" cm="1">
        <f t="array" ref="I76">IFERROR(INDEX(VDOHistorical[[Ausnet]:[Average]],
MATCH(1,(VDOHistorical[[Cost element]:[Cost element]]=CH_CostElements_Anytime!I$52)*(VDOHistorical[[Customer type]:[Customer type]]=$D$50)*(VDOHistorical[[VDO decision]:[VDO decision]]=CH_CostElements_Anytime!$D76),0),
MATCH(CH_CostElements_Anytime!$C76,VDOHistorical[[#Headers],[Ausnet]:[Average]],0)),"-")</f>
        <v>181.75878095302619</v>
      </c>
      <c r="J76" s="105" cm="1">
        <f t="array" ref="J76">IFERROR(INDEX(VDOHistorical[[Ausnet]:[Average]],
MATCH(1,(VDOHistorical[[Cost element]:[Cost element]]=CH_CostElements_Anytime!J$52)*(VDOHistorical[[Customer type]:[Customer type]]=$D$50)*(VDOHistorical[[VDO decision]:[VDO decision]]=CH_CostElements_Anytime!$D76),0),
MATCH(CH_CostElements_Anytime!$C76,VDOHistorical[[#Headers],[Ausnet]:[Average]],0)),"-")</f>
        <v>97.300862267596088</v>
      </c>
      <c r="K76" s="250" cm="1">
        <f t="array" ref="K76">IFERROR(INDEX(VDOHistorical[[Ausnet]:[Average]],
MATCH(1,(VDOHistorical[[Cost element]:[Cost element]]=CH_CostElements_Anytime!K$52)*(VDOHistorical[[Customer type]:[Customer type]]=$D$50)*(VDOHistorical[[VDO decision]:[VDO decision]]=CH_CostElements_Anytime!$D76),0),
MATCH(CH_CostElements_Anytime!$C76,VDOHistorical[[#Headers],[Ausnet]:[Average]],0)),"-")</f>
        <v>0</v>
      </c>
      <c r="L76" s="105" cm="1">
        <f t="array" ref="L76">IFERROR(INDEX(VDOHistorical[[Ausnet]:[Average]],
MATCH(1,(VDOHistorical[[Cost element]:[Cost element]]=CH_CostElements_Anytime!L$52)*(VDOHistorical[[Customer type]:[Customer type]]=$D$50)*(VDOHistorical[[VDO decision]:[VDO decision]]=CH_CostElements_Anytime!$D76),0),
MATCH(CH_CostElements_Anytime!$C76,VDOHistorical[[#Headers],[Ausnet]:[Average]],0)),"-")</f>
        <v>10.849248189087444</v>
      </c>
      <c r="M76" s="105" cm="1">
        <f t="array" ref="M76">IFERROR(INDEX(VDOHistorical[[Ausnet]:[Average]],
MATCH(1,(VDOHistorical[[Cost element]:[Cost element]]=CH_CostElements_Anytime!M$52)*(VDOHistorical[[Customer type]:[Customer type]]=$D$50)*(VDOHistorical[[VDO decision]:[VDO decision]]=CH_CostElements_Anytime!$D76),0),
MATCH(CH_CostElements_Anytime!$C76,VDOHistorical[[#Headers],[Ausnet]:[Average]],0)),"-")</f>
        <v>9.2057402280494305</v>
      </c>
      <c r="N76" s="105" cm="1">
        <f t="array" ref="N76">IFERROR(INDEX(VDOHistorical[[Ausnet]:[Average]],
MATCH(1,(VDOHistorical[[Cost element]:[Cost element]]=CH_CostElements_Anytime!N$52)*(VDOHistorical[[Customer type]:[Customer type]]=$D$50)*(VDOHistorical[[VDO decision]:[VDO decision]]=CH_CostElements_Anytime!$D76),0),
MATCH(CH_CostElements_Anytime!$C76,VDOHistorical[[#Headers],[Ausnet]:[Average]],0)),"-")</f>
        <v>69.165548196318241</v>
      </c>
      <c r="O76" s="105" cm="1">
        <f t="array" ref="O76">IFERROR(INDEX(VDOHistorical[[Ausnet]:[Average]],
MATCH(1,(VDOHistorical[[Cost element]:[Cost element]]=CH_CostElements_Anytime!O$52)*(VDOHistorical[[Customer type]:[Customer type]]=$D$50)*(VDOHistorical[[VDO decision]:[VDO decision]]=CH_CostElements_Anytime!$D76),0),
MATCH(CH_CostElements_Anytime!$C76,VDOHistorical[[#Headers],[Ausnet]:[Average]],0)),"-")</f>
        <v>121.42905183340375</v>
      </c>
      <c r="Q76" s="256">
        <f t="shared" si="3"/>
        <v>0</v>
      </c>
    </row>
    <row r="77" spans="3:17" x14ac:dyDescent="0.25">
      <c r="C77" t="s">
        <v>270</v>
      </c>
      <c r="D77" t="s">
        <v>676</v>
      </c>
      <c r="E77" s="251" cm="1">
        <f t="array" ref="E77">IFERROR(INDEX(VDOHistorical[[Ausnet]:[Average]],
MATCH(1,(VDOHistorical[[Cost element]:[Cost element]]=CH_CostElements_Anytime!E$52)*(VDOHistorical[[Customer type]:[Customer type]]=$D$50)*(VDOHistorical[[VDO decision]:[VDO decision]]=CH_CostElements_Anytime!$D77),0),
MATCH(CH_CostElements_Anytime!$C77,VDOHistorical[[#Headers],[Ausnet]:[Average]],0)),"-")</f>
        <v>1386.9512244545951</v>
      </c>
      <c r="F77" s="105" cm="1">
        <f t="array" ref="F77">IFERROR(INDEX(VDOHistorical[[Ausnet]:[Average]],
MATCH(1,(VDOHistorical[[Cost element]:[Cost element]]=CH_CostElements_Anytime!F$52)*(VDOHistorical[[Customer type]:[Customer type]]=$D$50)*(VDOHistorical[[VDO decision]:[VDO decision]]=CH_CostElements_Anytime!$D77),0),
MATCH(CH_CostElements_Anytime!$C77,VDOHistorical[[#Headers],[Ausnet]:[Average]],0)),"-")</f>
        <v>407.79431557333345</v>
      </c>
      <c r="G77" s="250" cm="1">
        <f t="array" ref="G77">IFERROR(INDEX(VDOHistorical[[Ausnet]:[Average]],
MATCH(1,(VDOHistorical[[Cost element]:[Cost element]]=CH_CostElements_Anytime!G$52)*(VDOHistorical[[Customer type]:[Customer type]]=$D$50)*(VDOHistorical[[VDO decision]:[VDO decision]]=CH_CostElements_Anytime!$D77),0),
MATCH(CH_CostElements_Anytime!$C77,VDOHistorical[[#Headers],[Ausnet]:[Average]],0)),"-")</f>
        <v>483.18600000000004</v>
      </c>
      <c r="H77" s="250" cm="1">
        <f t="array" ref="H77">IFERROR(INDEX(VDOHistorical[[Ausnet]:[Average]],
MATCH(1,(VDOHistorical[[Cost element]:[Cost element]]=CH_CostElements_Anytime!H$52)*(VDOHistorical[[Customer type]:[Customer type]]=$D$50)*(VDOHistorical[[VDO decision]:[VDO decision]]=CH_CostElements_Anytime!$D77),0),
MATCH(CH_CostElements_Anytime!$C77,VDOHistorical[[#Headers],[Ausnet]:[Average]],0)),"-")</f>
        <v>0</v>
      </c>
      <c r="I77" s="105" cm="1">
        <f t="array" ref="I77">IFERROR(INDEX(VDOHistorical[[Ausnet]:[Average]],
MATCH(1,(VDOHistorical[[Cost element]:[Cost element]]=CH_CostElements_Anytime!I$52)*(VDOHistorical[[Customer type]:[Customer type]]=$D$50)*(VDOHistorical[[VDO decision]:[VDO decision]]=CH_CostElements_Anytime!$D77),0),
MATCH(CH_CostElements_Anytime!$C77,VDOHistorical[[#Headers],[Ausnet]:[Average]],0)),"-")</f>
        <v>181.75878095302619</v>
      </c>
      <c r="J77" s="105" cm="1">
        <f t="array" ref="J77">IFERROR(INDEX(VDOHistorical[[Ausnet]:[Average]],
MATCH(1,(VDOHistorical[[Cost element]:[Cost element]]=CH_CostElements_Anytime!J$52)*(VDOHistorical[[Customer type]:[Customer type]]=$D$50)*(VDOHistorical[[VDO decision]:[VDO decision]]=CH_CostElements_Anytime!$D77),0),
MATCH(CH_CostElements_Anytime!$C77,VDOHistorical[[#Headers],[Ausnet]:[Average]],0)),"-")</f>
        <v>96.284429634343809</v>
      </c>
      <c r="K77" s="250" cm="1">
        <f t="array" ref="K77">IFERROR(INDEX(VDOHistorical[[Ausnet]:[Average]],
MATCH(1,(VDOHistorical[[Cost element]:[Cost element]]=CH_CostElements_Anytime!K$52)*(VDOHistorical[[Customer type]:[Customer type]]=$D$50)*(VDOHistorical[[VDO decision]:[VDO decision]]=CH_CostElements_Anytime!$D77),0),
MATCH(CH_CostElements_Anytime!$C77,VDOHistorical[[#Headers],[Ausnet]:[Average]],0)),"-")</f>
        <v>0</v>
      </c>
      <c r="L77" s="105" cm="1">
        <f t="array" ref="L77">IFERROR(INDEX(VDOHistorical[[Ausnet]:[Average]],
MATCH(1,(VDOHistorical[[Cost element]:[Cost element]]=CH_CostElements_Anytime!L$52)*(VDOHistorical[[Customer type]:[Customer type]]=$D$50)*(VDOHistorical[[VDO decision]:[VDO decision]]=CH_CostElements_Anytime!$D77),0),
MATCH(CH_CostElements_Anytime!$C77,VDOHistorical[[#Headers],[Ausnet]:[Average]],0)),"-")</f>
        <v>10.849248189087444</v>
      </c>
      <c r="M77" s="105" cm="1">
        <f t="array" ref="M77">IFERROR(INDEX(VDOHistorical[[Ausnet]:[Average]],
MATCH(1,(VDOHistorical[[Cost element]:[Cost element]]=CH_CostElements_Anytime!M$52)*(VDOHistorical[[Customer type]:[Customer type]]=$D$50)*(VDOHistorical[[VDO decision]:[VDO decision]]=CH_CostElements_Anytime!$D77),0),
MATCH(CH_CostElements_Anytime!$C77,VDOHistorical[[#Headers],[Ausnet]:[Average]],0)),"-")</f>
        <v>9.1735756164268238</v>
      </c>
      <c r="N77" s="105" cm="1">
        <f t="array" ref="N77">IFERROR(INDEX(VDOHistorical[[Ausnet]:[Average]],
MATCH(1,(VDOHistorical[[Cost element]:[Cost element]]=CH_CostElements_Anytime!N$52)*(VDOHistorical[[Customer type]:[Customer type]]=$D$50)*(VDOHistorical[[VDO decision]:[VDO decision]]=CH_CostElements_Anytime!$D77),0),
MATCH(CH_CostElements_Anytime!$C77,VDOHistorical[[#Headers],[Ausnet]:[Average]],0)),"-")</f>
        <v>71.818399537959564</v>
      </c>
      <c r="O77" s="105" cm="1">
        <f t="array" ref="O77">IFERROR(INDEX(VDOHistorical[[Ausnet]:[Average]],
MATCH(1,(VDOHistorical[[Cost element]:[Cost element]]=CH_CostElements_Anytime!O$52)*(VDOHistorical[[Customer type]:[Customer type]]=$D$50)*(VDOHistorical[[VDO decision]:[VDO decision]]=CH_CostElements_Anytime!$D77),0),
MATCH(CH_CostElements_Anytime!$C77,VDOHistorical[[#Headers],[Ausnet]:[Average]],0)),"-")</f>
        <v>126.08647495041774</v>
      </c>
      <c r="Q77" s="256">
        <f t="shared" si="3"/>
        <v>0</v>
      </c>
    </row>
    <row r="78" spans="3:17" x14ac:dyDescent="0.25">
      <c r="C78" t="s">
        <v>271</v>
      </c>
      <c r="D78" t="s">
        <v>676</v>
      </c>
      <c r="E78" s="251" cm="1">
        <f t="array" ref="E78">IFERROR(INDEX(VDOHistorical[[Ausnet]:[Average]],
MATCH(1,(VDOHistorical[[Cost element]:[Cost element]]=CH_CostElements_Anytime!E$52)*(VDOHistorical[[Customer type]:[Customer type]]=$D$50)*(VDOHistorical[[VDO decision]:[VDO decision]]=CH_CostElements_Anytime!$D78),0),
MATCH(CH_CostElements_Anytime!$C78,VDOHistorical[[#Headers],[Ausnet]:[Average]],0)),"-")</f>
        <v>1424.6087218319676</v>
      </c>
      <c r="F78" s="105" cm="1">
        <f t="array" ref="F78">IFERROR(INDEX(VDOHistorical[[Ausnet]:[Average]],
MATCH(1,(VDOHistorical[[Cost element]:[Cost element]]=CH_CostElements_Anytime!F$52)*(VDOHistorical[[Customer type]:[Customer type]]=$D$50)*(VDOHistorical[[VDO decision]:[VDO decision]]=CH_CostElements_Anytime!$D78),0),
MATCH(CH_CostElements_Anytime!$C78,VDOHistorical[[#Headers],[Ausnet]:[Average]],0)),"-")</f>
        <v>396.08606905449994</v>
      </c>
      <c r="G78" s="250" cm="1">
        <f t="array" ref="G78">IFERROR(INDEX(VDOHistorical[[Ausnet]:[Average]],
MATCH(1,(VDOHistorical[[Cost element]:[Cost element]]=CH_CostElements_Anytime!G$52)*(VDOHistorical[[Customer type]:[Customer type]]=$D$50)*(VDOHistorical[[VDO decision]:[VDO decision]]=CH_CostElements_Anytime!$D78),0),
MATCH(CH_CostElements_Anytime!$C78,VDOHistorical[[#Headers],[Ausnet]:[Average]],0)),"-")</f>
        <v>523.97749999999996</v>
      </c>
      <c r="H78" s="250" cm="1">
        <f t="array" ref="H78">IFERROR(INDEX(VDOHistorical[[Ausnet]:[Average]],
MATCH(1,(VDOHistorical[[Cost element]:[Cost element]]=CH_CostElements_Anytime!H$52)*(VDOHistorical[[Customer type]:[Customer type]]=$D$50)*(VDOHistorical[[VDO decision]:[VDO decision]]=CH_CostElements_Anytime!$D78),0),
MATCH(CH_CostElements_Anytime!$C78,VDOHistorical[[#Headers],[Ausnet]:[Average]],0)),"-")</f>
        <v>0</v>
      </c>
      <c r="I78" s="105" cm="1">
        <f t="array" ref="I78">IFERROR(INDEX(VDOHistorical[[Ausnet]:[Average]],
MATCH(1,(VDOHistorical[[Cost element]:[Cost element]]=CH_CostElements_Anytime!I$52)*(VDOHistorical[[Customer type]:[Customer type]]=$D$50)*(VDOHistorical[[VDO decision]:[VDO decision]]=CH_CostElements_Anytime!$D78),0),
MATCH(CH_CostElements_Anytime!$C78,VDOHistorical[[#Headers],[Ausnet]:[Average]],0)),"-")</f>
        <v>181.75878095302619</v>
      </c>
      <c r="J78" s="105" cm="1">
        <f t="array" ref="J78">IFERROR(INDEX(VDOHistorical[[Ausnet]:[Average]],
MATCH(1,(VDOHistorical[[Cost element]:[Cost element]]=CH_CostElements_Anytime!J$52)*(VDOHistorical[[Customer type]:[Customer type]]=$D$50)*(VDOHistorical[[VDO decision]:[VDO decision]]=CH_CostElements_Anytime!$D78),0),
MATCH(CH_CostElements_Anytime!$C78,VDOHistorical[[#Headers],[Ausnet]:[Average]],0)),"-")</f>
        <v>99.387119975088339</v>
      </c>
      <c r="K78" s="250" cm="1">
        <f t="array" ref="K78">IFERROR(INDEX(VDOHistorical[[Ausnet]:[Average]],
MATCH(1,(VDOHistorical[[Cost element]:[Cost element]]=CH_CostElements_Anytime!K$52)*(VDOHistorical[[Customer type]:[Customer type]]=$D$50)*(VDOHistorical[[VDO decision]:[VDO decision]]=CH_CostElements_Anytime!$D78),0),
MATCH(CH_CostElements_Anytime!$C78,VDOHistorical[[#Headers],[Ausnet]:[Average]],0)),"-")</f>
        <v>0</v>
      </c>
      <c r="L78" s="105" cm="1">
        <f t="array" ref="L78">IFERROR(INDEX(VDOHistorical[[Ausnet]:[Average]],
MATCH(1,(VDOHistorical[[Cost element]:[Cost element]]=CH_CostElements_Anytime!L$52)*(VDOHistorical[[Customer type]:[Customer type]]=$D$50)*(VDOHistorical[[VDO decision]:[VDO decision]]=CH_CostElements_Anytime!$D78),0),
MATCH(CH_CostElements_Anytime!$C78,VDOHistorical[[#Headers],[Ausnet]:[Average]],0)),"-")</f>
        <v>10.849248189087444</v>
      </c>
      <c r="M78" s="105" cm="1">
        <f t="array" ref="M78">IFERROR(INDEX(VDOHistorical[[Ausnet]:[Average]],
MATCH(1,(VDOHistorical[[Cost element]:[Cost element]]=CH_CostElements_Anytime!M$52)*(VDOHistorical[[Customer type]:[Customer type]]=$D$50)*(VDOHistorical[[VDO decision]:[VDO decision]]=CH_CostElements_Anytime!$D78),0),
MATCH(CH_CostElements_Anytime!$C78,VDOHistorical[[#Headers],[Ausnet]:[Average]],0)),"-")</f>
        <v>9.2717590341275518</v>
      </c>
      <c r="N78" s="105" cm="1">
        <f t="array" ref="N78">IFERROR(INDEX(VDOHistorical[[Ausnet]:[Average]],
MATCH(1,(VDOHistorical[[Cost element]:[Cost element]]=CH_CostElements_Anytime!N$52)*(VDOHistorical[[Customer type]:[Customer type]]=$D$50)*(VDOHistorical[[VDO decision]:[VDO decision]]=CH_CostElements_Anytime!$D78),0),
MATCH(CH_CostElements_Anytime!$C78,VDOHistorical[[#Headers],[Ausnet]:[Average]],0)),"-")</f>
        <v>73.768360823232086</v>
      </c>
      <c r="O78" s="105" cm="1">
        <f t="array" ref="O78">IFERROR(INDEX(VDOHistorical[[Ausnet]:[Average]],
MATCH(1,(VDOHistorical[[Cost element]:[Cost element]]=CH_CostElements_Anytime!O$52)*(VDOHistorical[[Customer type]:[Customer type]]=$D$50)*(VDOHistorical[[VDO decision]:[VDO decision]]=CH_CostElements_Anytime!$D78),0),
MATCH(CH_CostElements_Anytime!$C78,VDOHistorical[[#Headers],[Ausnet]:[Average]],0)),"-")</f>
        <v>129.50988380290616</v>
      </c>
      <c r="Q78" s="256">
        <f t="shared" si="3"/>
        <v>0</v>
      </c>
    </row>
    <row r="79" spans="3:17" x14ac:dyDescent="0.25">
      <c r="C79" t="s">
        <v>272</v>
      </c>
      <c r="D79" t="s">
        <v>676</v>
      </c>
      <c r="E79" s="251" cm="1">
        <f t="array" ref="E79">IFERROR(INDEX(VDOHistorical[[Ausnet]:[Average]],
MATCH(1,(VDOHistorical[[Cost element]:[Cost element]]=CH_CostElements_Anytime!E$52)*(VDOHistorical[[Customer type]:[Customer type]]=$D$50)*(VDOHistorical[[VDO decision]:[VDO decision]]=CH_CostElements_Anytime!$D79),0),
MATCH(CH_CostElements_Anytime!$C79,VDOHistorical[[#Headers],[Ausnet]:[Average]],0)),"-")</f>
        <v>1350.013434754539</v>
      </c>
      <c r="F79" s="105" cm="1">
        <f t="array" ref="F79">IFERROR(INDEX(VDOHistorical[[Ausnet]:[Average]],
MATCH(1,(VDOHistorical[[Cost element]:[Cost element]]=CH_CostElements_Anytime!F$52)*(VDOHistorical[[Customer type]:[Customer type]]=$D$50)*(VDOHistorical[[VDO decision]:[VDO decision]]=CH_CostElements_Anytime!$D79),0),
MATCH(CH_CostElements_Anytime!$C79,VDOHistorical[[#Headers],[Ausnet]:[Average]],0)),"-")</f>
        <v>415.37045922372005</v>
      </c>
      <c r="G79" s="250" cm="1">
        <f t="array" ref="G79">IFERROR(INDEX(VDOHistorical[[Ausnet]:[Average]],
MATCH(1,(VDOHistorical[[Cost element]:[Cost element]]=CH_CostElements_Anytime!G$52)*(VDOHistorical[[Customer type]:[Customer type]]=$D$50)*(VDOHistorical[[VDO decision]:[VDO decision]]=CH_CostElements_Anytime!$D79),0),
MATCH(CH_CostElements_Anytime!$C79,VDOHistorical[[#Headers],[Ausnet]:[Average]],0)),"-")</f>
        <v>442.52800000000002</v>
      </c>
      <c r="H79" s="250" cm="1">
        <f t="array" ref="H79">IFERROR(INDEX(VDOHistorical[[Ausnet]:[Average]],
MATCH(1,(VDOHistorical[[Cost element]:[Cost element]]=CH_CostElements_Anytime!H$52)*(VDOHistorical[[Customer type]:[Customer type]]=$D$50)*(VDOHistorical[[VDO decision]:[VDO decision]]=CH_CostElements_Anytime!$D79),0),
MATCH(CH_CostElements_Anytime!$C79,VDOHistorical[[#Headers],[Ausnet]:[Average]],0)),"-")</f>
        <v>0</v>
      </c>
      <c r="I79" s="105" cm="1">
        <f t="array" ref="I79">IFERROR(INDEX(VDOHistorical[[Ausnet]:[Average]],
MATCH(1,(VDOHistorical[[Cost element]:[Cost element]]=CH_CostElements_Anytime!I$52)*(VDOHistorical[[Customer type]:[Customer type]]=$D$50)*(VDOHistorical[[VDO decision]:[VDO decision]]=CH_CostElements_Anytime!$D79),0),
MATCH(CH_CostElements_Anytime!$C79,VDOHistorical[[#Headers],[Ausnet]:[Average]],0)),"-")</f>
        <v>181.75878095302619</v>
      </c>
      <c r="J79" s="105" cm="1">
        <f t="array" ref="J79">IFERROR(INDEX(VDOHistorical[[Ausnet]:[Average]],
MATCH(1,(VDOHistorical[[Cost element]:[Cost element]]=CH_CostElements_Anytime!J$52)*(VDOHistorical[[Customer type]:[Customer type]]=$D$50)*(VDOHistorical[[VDO decision]:[VDO decision]]=CH_CostElements_Anytime!$D79),0),
MATCH(CH_CostElements_Anytime!$C79,VDOHistorical[[#Headers],[Ausnet]:[Average]],0)),"-")</f>
        <v>97.655775223080724</v>
      </c>
      <c r="K79" s="250" cm="1">
        <f t="array" ref="K79">IFERROR(INDEX(VDOHistorical[[Ausnet]:[Average]],
MATCH(1,(VDOHistorical[[Cost element]:[Cost element]]=CH_CostElements_Anytime!K$52)*(VDOHistorical[[Customer type]:[Customer type]]=$D$50)*(VDOHistorical[[VDO decision]:[VDO decision]]=CH_CostElements_Anytime!$D79),0),
MATCH(CH_CostElements_Anytime!$C79,VDOHistorical[[#Headers],[Ausnet]:[Average]],0)),"-")</f>
        <v>0</v>
      </c>
      <c r="L79" s="105" cm="1">
        <f t="array" ref="L79">IFERROR(INDEX(VDOHistorical[[Ausnet]:[Average]],
MATCH(1,(VDOHistorical[[Cost element]:[Cost element]]=CH_CostElements_Anytime!L$52)*(VDOHistorical[[Customer type]:[Customer type]]=$D$50)*(VDOHistorical[[VDO decision]:[VDO decision]]=CH_CostElements_Anytime!$D79),0),
MATCH(CH_CostElements_Anytime!$C79,VDOHistorical[[#Headers],[Ausnet]:[Average]],0)),"-")</f>
        <v>10.849248189087444</v>
      </c>
      <c r="M79" s="105" cm="1">
        <f t="array" ref="M79">IFERROR(INDEX(VDOHistorical[[Ausnet]:[Average]],
MATCH(1,(VDOHistorical[[Cost element]:[Cost element]]=CH_CostElements_Anytime!M$52)*(VDOHistorical[[Customer type]:[Customer type]]=$D$50)*(VDOHistorical[[VDO decision]:[VDO decision]]=CH_CostElements_Anytime!$D79),0),
MATCH(CH_CostElements_Anytime!$C79,VDOHistorical[[#Headers],[Ausnet]:[Average]],0)),"-")</f>
        <v>9.2169713091850962</v>
      </c>
      <c r="N79" s="105" cm="1">
        <f t="array" ref="N79">IFERROR(INDEX(VDOHistorical[[Ausnet]:[Average]],
MATCH(1,(VDOHistorical[[Cost element]:[Cost element]]=CH_CostElements_Anytime!N$52)*(VDOHistorical[[Customer type]:[Customer type]]=$D$50)*(VDOHistorical[[VDO decision]:[VDO decision]]=CH_CostElements_Anytime!$D79),0),
MATCH(CH_CostElements_Anytime!$C79,VDOHistorical[[#Headers],[Ausnet]:[Average]],0)),"-")</f>
        <v>69.905705787845207</v>
      </c>
      <c r="O79" s="105" cm="1">
        <f t="array" ref="O79">IFERROR(INDEX(VDOHistorical[[Ausnet]:[Average]],
MATCH(1,(VDOHistorical[[Cost element]:[Cost element]]=CH_CostElements_Anytime!O$52)*(VDOHistorical[[Customer type]:[Customer type]]=$D$50)*(VDOHistorical[[VDO decision]:[VDO decision]]=CH_CostElements_Anytime!$D79),0),
MATCH(CH_CostElements_Anytime!$C79,VDOHistorical[[#Headers],[Ausnet]:[Average]],0)),"-")</f>
        <v>122.72849406859446</v>
      </c>
      <c r="Q79" s="256">
        <f t="shared" si="3"/>
        <v>0</v>
      </c>
    </row>
    <row r="80" spans="3:17" x14ac:dyDescent="0.25">
      <c r="C80" t="s">
        <v>374</v>
      </c>
      <c r="D80" t="s">
        <v>676</v>
      </c>
      <c r="E80" s="251" cm="1">
        <f t="array" ref="E80">IFERROR(INDEX(VDOHistorical[[Ausnet]:[Average]],
MATCH(1,(VDOHistorical[[Cost element]:[Cost element]]=CH_CostElements_Anytime!E$52)*(VDOHistorical[[Customer type]:[Customer type]]=$D$50)*(VDOHistorical[[VDO decision]:[VDO decision]]=CH_CostElements_Anytime!$D80),0),
MATCH(CH_CostElements_Anytime!$C80,VDOHistorical[[#Headers],[Ausnet]:[Average]],0)),"-")</f>
        <v>1411.3749513429952</v>
      </c>
      <c r="F80" s="105" cm="1">
        <f t="array" ref="F80">IFERROR(INDEX(VDOHistorical[[Ausnet]:[Average]],
MATCH(1,(VDOHistorical[[Cost element]:[Cost element]]=CH_CostElements_Anytime!F$52)*(VDOHistorical[[Customer type]:[Customer type]]=$D$50)*(VDOHistorical[[VDO decision]:[VDO decision]]=CH_CostElements_Anytime!$D80),0),
MATCH(CH_CostElements_Anytime!$C80,VDOHistorical[[#Headers],[Ausnet]:[Average]],0)),"-")</f>
        <v>399.43883000330271</v>
      </c>
      <c r="G80" s="250" cm="1">
        <f t="array" ref="G80">IFERROR(INDEX(VDOHistorical[[Ausnet]:[Average]],
MATCH(1,(VDOHistorical[[Cost element]:[Cost element]]=CH_CostElements_Anytime!G$52)*(VDOHistorical[[Customer type]:[Customer type]]=$D$50)*(VDOHistorical[[VDO decision]:[VDO decision]]=CH_CostElements_Anytime!$D80),0),
MATCH(CH_CostElements_Anytime!$C80,VDOHistorical[[#Headers],[Ausnet]:[Average]],0)),"-")</f>
        <v>510.78450000000009</v>
      </c>
      <c r="H80" s="250" cm="1">
        <f t="array" ref="H80">IFERROR(INDEX(VDOHistorical[[Ausnet]:[Average]],
MATCH(1,(VDOHistorical[[Cost element]:[Cost element]]=CH_CostElements_Anytime!H$52)*(VDOHistorical[[Customer type]:[Customer type]]=$D$50)*(VDOHistorical[[VDO decision]:[VDO decision]]=CH_CostElements_Anytime!$D80),0),
MATCH(CH_CostElements_Anytime!$C80,VDOHistorical[[#Headers],[Ausnet]:[Average]],0)),"-")</f>
        <v>0</v>
      </c>
      <c r="I80" s="105" cm="1">
        <f t="array" ref="I80">IFERROR(INDEX(VDOHistorical[[Ausnet]:[Average]],
MATCH(1,(VDOHistorical[[Cost element]:[Cost element]]=CH_CostElements_Anytime!I$52)*(VDOHistorical[[Customer type]:[Customer type]]=$D$50)*(VDOHistorical[[VDO decision]:[VDO decision]]=CH_CostElements_Anytime!$D80),0),
MATCH(CH_CostElements_Anytime!$C80,VDOHistorical[[#Headers],[Ausnet]:[Average]],0)),"-")</f>
        <v>181.75878095302619</v>
      </c>
      <c r="J80" s="105" cm="1">
        <f t="array" ref="J80">IFERROR(INDEX(VDOHistorical[[Ausnet]:[Average]],
MATCH(1,(VDOHistorical[[Cost element]:[Cost element]]=CH_CostElements_Anytime!J$52)*(VDOHistorical[[Customer type]:[Customer type]]=$D$50)*(VDOHistorical[[VDO decision]:[VDO decision]]=CH_CostElements_Anytime!$D80),0),
MATCH(CH_CostElements_Anytime!$C80,VDOHistorical[[#Headers],[Ausnet]:[Average]],0)),"-")</f>
        <v>97.928093250321623</v>
      </c>
      <c r="K80" s="250" cm="1">
        <f t="array" ref="K80">IFERROR(INDEX(VDOHistorical[[Ausnet]:[Average]],
MATCH(1,(VDOHistorical[[Cost element]:[Cost element]]=CH_CostElements_Anytime!K$52)*(VDOHistorical[[Customer type]:[Customer type]]=$D$50)*(VDOHistorical[[VDO decision]:[VDO decision]]=CH_CostElements_Anytime!$D80),0),
MATCH(CH_CostElements_Anytime!$C80,VDOHistorical[[#Headers],[Ausnet]:[Average]],0)),"-")</f>
        <v>0</v>
      </c>
      <c r="L80" s="105" cm="1">
        <f t="array" ref="L80">IFERROR(INDEX(VDOHistorical[[Ausnet]:[Average]],
MATCH(1,(VDOHistorical[[Cost element]:[Cost element]]=CH_CostElements_Anytime!L$52)*(VDOHistorical[[Customer type]:[Customer type]]=$D$50)*(VDOHistorical[[VDO decision]:[VDO decision]]=CH_CostElements_Anytime!$D80),0),
MATCH(CH_CostElements_Anytime!$C80,VDOHistorical[[#Headers],[Ausnet]:[Average]],0)),"-")</f>
        <v>10.849248189087444</v>
      </c>
      <c r="M80" s="105" cm="1">
        <f t="array" ref="M80">IFERROR(INDEX(VDOHistorical[[Ausnet]:[Average]],
MATCH(1,(VDOHistorical[[Cost element]:[Cost element]]=CH_CostElements_Anytime!M$52)*(VDOHistorical[[Customer type]:[Customer type]]=$D$50)*(VDOHistorical[[VDO decision]:[VDO decision]]=CH_CostElements_Anytime!$D80),0),
MATCH(CH_CostElements_Anytime!$C80,VDOHistorical[[#Headers],[Ausnet]:[Average]],0)),"-")</f>
        <v>9.2255887062436805</v>
      </c>
      <c r="N80" s="105" cm="1">
        <f t="array" ref="N80">IFERROR(INDEX(VDOHistorical[[Ausnet]:[Average]],
MATCH(1,(VDOHistorical[[Cost element]:[Cost element]]=CH_CostElements_Anytime!N$52)*(VDOHistorical[[Customer type]:[Customer type]]=$D$50)*(VDOHistorical[[VDO decision]:[VDO decision]]=CH_CostElements_Anytime!$D80),0),
MATCH(CH_CostElements_Anytime!$C80,VDOHistorical[[#Headers],[Ausnet]:[Average]],0)),"-")</f>
        <v>73.083096482559682</v>
      </c>
      <c r="O80" s="105" cm="1">
        <f t="array" ref="O80">IFERROR(INDEX(VDOHistorical[[Ausnet]:[Average]],
MATCH(1,(VDOHistorical[[Cost element]:[Cost element]]=CH_CostElements_Anytime!O$52)*(VDOHistorical[[Customer type]:[Customer type]]=$D$50)*(VDOHistorical[[VDO decision]:[VDO decision]]=CH_CostElements_Anytime!$D80),0),
MATCH(CH_CostElements_Anytime!$C80,VDOHistorical[[#Headers],[Ausnet]:[Average]],0)),"-")</f>
        <v>128.30681375845415</v>
      </c>
      <c r="Q80" s="256">
        <f t="shared" si="3"/>
        <v>0</v>
      </c>
    </row>
    <row r="81" spans="3:17" x14ac:dyDescent="0.25">
      <c r="M81" s="138"/>
      <c r="Q81" s="153"/>
    </row>
    <row r="82" spans="3:17" ht="15.75" x14ac:dyDescent="0.25">
      <c r="E82" s="42" t="s">
        <v>678</v>
      </c>
      <c r="K82" s="138"/>
      <c r="Q82" s="153"/>
    </row>
    <row r="83" spans="3:17" x14ac:dyDescent="0.25">
      <c r="D83" t="s">
        <v>257</v>
      </c>
      <c r="E83" s="2">
        <v>0.6</v>
      </c>
      <c r="K83" s="138"/>
      <c r="Q83" s="153"/>
    </row>
    <row r="84" spans="3:17" x14ac:dyDescent="0.25">
      <c r="D84" t="s">
        <v>676</v>
      </c>
      <c r="E84" s="2">
        <v>0.4</v>
      </c>
      <c r="K84" s="138"/>
      <c r="Q84" s="153"/>
    </row>
    <row r="85" spans="3:17" x14ac:dyDescent="0.25">
      <c r="K85" s="138"/>
      <c r="Q85" s="153"/>
    </row>
    <row r="86" spans="3:17" x14ac:dyDescent="0.25">
      <c r="C86" t="s">
        <v>268</v>
      </c>
      <c r="D86" t="s">
        <v>677</v>
      </c>
      <c r="E86" s="253">
        <f t="shared" ref="E86:O86" si="4">IFERROR((E68*$E$83)+(E75*$E$84),"-")</f>
        <v>1527.5126372984341</v>
      </c>
      <c r="F86" s="171">
        <f t="shared" si="4"/>
        <v>403.34196766499997</v>
      </c>
      <c r="G86" s="173">
        <f t="shared" si="4"/>
        <v>605.3288</v>
      </c>
      <c r="H86" s="173">
        <f t="shared" si="4"/>
        <v>0</v>
      </c>
      <c r="I86" s="171">
        <f t="shared" si="4"/>
        <v>181.75878095302619</v>
      </c>
      <c r="J86" s="171">
        <f t="shared" si="4"/>
        <v>99.012279151499143</v>
      </c>
      <c r="K86" s="173">
        <f t="shared" si="4"/>
        <v>0</v>
      </c>
      <c r="L86" s="171">
        <f t="shared" si="4"/>
        <v>10.849248189087444</v>
      </c>
      <c r="M86" s="171">
        <f t="shared" si="4"/>
        <v>9.2598973434295004</v>
      </c>
      <c r="N86" s="171">
        <f t="shared" si="4"/>
        <v>79.096878787443359</v>
      </c>
      <c r="O86" s="171">
        <f t="shared" si="4"/>
        <v>138.86478520894858</v>
      </c>
      <c r="Q86" s="256">
        <f t="shared" ref="Q86:Q91" si="5">IF(ROUND(E86,8)=ROUND(SUM(F86:O86),8),0,1)</f>
        <v>0</v>
      </c>
    </row>
    <row r="87" spans="3:17" x14ac:dyDescent="0.25">
      <c r="C87" t="s">
        <v>269</v>
      </c>
      <c r="D87" t="s">
        <v>677</v>
      </c>
      <c r="E87" s="253">
        <f t="shared" ref="E87:O87" si="6">IFERROR((E69*$E$83)+(E76*$E$84),"-")</f>
        <v>1295.9609961914409</v>
      </c>
      <c r="F87" s="171">
        <f t="shared" si="6"/>
        <v>374.60133849995998</v>
      </c>
      <c r="G87" s="173">
        <f t="shared" si="6"/>
        <v>437.32359999999994</v>
      </c>
      <c r="H87" s="173">
        <f t="shared" si="6"/>
        <v>0</v>
      </c>
      <c r="I87" s="171">
        <f t="shared" si="6"/>
        <v>181.75878095302619</v>
      </c>
      <c r="J87" s="171">
        <f t="shared" si="6"/>
        <v>97.300862267596088</v>
      </c>
      <c r="K87" s="173">
        <f t="shared" si="6"/>
        <v>0</v>
      </c>
      <c r="L87" s="171">
        <f t="shared" si="6"/>
        <v>10.849248189087444</v>
      </c>
      <c r="M87" s="171">
        <f t="shared" si="6"/>
        <v>9.2057402280494305</v>
      </c>
      <c r="N87" s="171">
        <f t="shared" si="6"/>
        <v>67.10679003631823</v>
      </c>
      <c r="O87" s="171">
        <f t="shared" si="6"/>
        <v>117.81463601740373</v>
      </c>
      <c r="Q87" s="256">
        <f t="shared" si="5"/>
        <v>0</v>
      </c>
    </row>
    <row r="88" spans="3:17" x14ac:dyDescent="0.25">
      <c r="C88" t="s">
        <v>270</v>
      </c>
      <c r="D88" t="s">
        <v>677</v>
      </c>
      <c r="E88" s="253">
        <f t="shared" ref="E88:O88" si="7">IFERROR((E70*$E$83)+(E77*$E$84),"-")</f>
        <v>1351.0370034305952</v>
      </c>
      <c r="F88" s="171">
        <f t="shared" si="7"/>
        <v>407.79431557333345</v>
      </c>
      <c r="G88" s="173">
        <f t="shared" si="7"/>
        <v>452.39640000000003</v>
      </c>
      <c r="H88" s="173">
        <f t="shared" si="7"/>
        <v>0</v>
      </c>
      <c r="I88" s="171">
        <f t="shared" si="7"/>
        <v>181.75878095302619</v>
      </c>
      <c r="J88" s="171">
        <f t="shared" si="7"/>
        <v>96.284429634343809</v>
      </c>
      <c r="K88" s="173">
        <f t="shared" si="7"/>
        <v>0</v>
      </c>
      <c r="L88" s="171">
        <f t="shared" si="7"/>
        <v>10.849248189087444</v>
      </c>
      <c r="M88" s="171">
        <f t="shared" si="7"/>
        <v>9.1735756164268238</v>
      </c>
      <c r="N88" s="171">
        <f t="shared" si="7"/>
        <v>69.958707697959568</v>
      </c>
      <c r="O88" s="171">
        <f t="shared" si="7"/>
        <v>122.82154576641773</v>
      </c>
      <c r="Q88" s="256">
        <f t="shared" si="5"/>
        <v>0</v>
      </c>
    </row>
    <row r="89" spans="3:17" x14ac:dyDescent="0.25">
      <c r="C89" t="s">
        <v>271</v>
      </c>
      <c r="D89" t="s">
        <v>677</v>
      </c>
      <c r="E89" s="253">
        <f t="shared" ref="E89:O89" si="8">IFERROR((E71*$E$83)+(E78*$E$84),"-")</f>
        <v>1390.4011191719678</v>
      </c>
      <c r="F89" s="171">
        <f t="shared" si="8"/>
        <v>396.08606905449994</v>
      </c>
      <c r="G89" s="173">
        <f t="shared" si="8"/>
        <v>494.65100000000001</v>
      </c>
      <c r="H89" s="173">
        <f t="shared" si="8"/>
        <v>0</v>
      </c>
      <c r="I89" s="171">
        <f t="shared" si="8"/>
        <v>181.75878095302619</v>
      </c>
      <c r="J89" s="171">
        <f t="shared" si="8"/>
        <v>99.387119975088353</v>
      </c>
      <c r="K89" s="173">
        <f t="shared" si="8"/>
        <v>0</v>
      </c>
      <c r="L89" s="171">
        <f t="shared" si="8"/>
        <v>10.849248189087444</v>
      </c>
      <c r="M89" s="171">
        <f t="shared" si="8"/>
        <v>9.2717590341275518</v>
      </c>
      <c r="N89" s="171">
        <f t="shared" si="8"/>
        <v>71.997040223232091</v>
      </c>
      <c r="O89" s="171">
        <f t="shared" si="8"/>
        <v>126.40010174290616</v>
      </c>
      <c r="Q89" s="256">
        <f t="shared" si="5"/>
        <v>0</v>
      </c>
    </row>
    <row r="90" spans="3:17" x14ac:dyDescent="0.25">
      <c r="C90" t="s">
        <v>272</v>
      </c>
      <c r="D90" t="s">
        <v>677</v>
      </c>
      <c r="E90" s="253">
        <f t="shared" ref="E90:O90" si="9">IFERROR((E72*$E$83)+(E79*$E$84),"-")</f>
        <v>1331.0835132825393</v>
      </c>
      <c r="F90" s="171">
        <f t="shared" si="9"/>
        <v>415.37045922372005</v>
      </c>
      <c r="G90" s="173">
        <f t="shared" si="9"/>
        <v>426.29920000000004</v>
      </c>
      <c r="H90" s="173">
        <f t="shared" si="9"/>
        <v>0</v>
      </c>
      <c r="I90" s="171">
        <f t="shared" si="9"/>
        <v>181.75878095302619</v>
      </c>
      <c r="J90" s="171">
        <f t="shared" si="9"/>
        <v>97.655775223080724</v>
      </c>
      <c r="K90" s="173">
        <f t="shared" si="9"/>
        <v>0</v>
      </c>
      <c r="L90" s="171">
        <f t="shared" si="9"/>
        <v>10.849248189087444</v>
      </c>
      <c r="M90" s="171">
        <f t="shared" si="9"/>
        <v>9.2169713091850962</v>
      </c>
      <c r="N90" s="171">
        <f t="shared" si="9"/>
        <v>68.925486267845216</v>
      </c>
      <c r="O90" s="171">
        <f t="shared" si="9"/>
        <v>121.00759211659448</v>
      </c>
      <c r="Q90" s="256">
        <f t="shared" si="5"/>
        <v>0</v>
      </c>
    </row>
    <row r="91" spans="3:17" x14ac:dyDescent="0.25">
      <c r="C91" t="s">
        <v>374</v>
      </c>
      <c r="D91" t="s">
        <v>677</v>
      </c>
      <c r="E91" s="253">
        <f t="shared" ref="E91:O91" si="10">IFERROR((E73*$E$83)+(E80*$E$84),"-")</f>
        <v>1379.1990538749956</v>
      </c>
      <c r="F91" s="171">
        <f t="shared" si="10"/>
        <v>399.43883000330271</v>
      </c>
      <c r="G91" s="173">
        <f t="shared" si="10"/>
        <v>483.19979999999998</v>
      </c>
      <c r="H91" s="173">
        <f t="shared" si="10"/>
        <v>0</v>
      </c>
      <c r="I91" s="171">
        <f t="shared" si="10"/>
        <v>181.75878095302619</v>
      </c>
      <c r="J91" s="171">
        <f t="shared" si="10"/>
        <v>97.928093250321638</v>
      </c>
      <c r="K91" s="173">
        <f t="shared" si="10"/>
        <v>0</v>
      </c>
      <c r="L91" s="171">
        <f t="shared" si="10"/>
        <v>10.849248189087444</v>
      </c>
      <c r="M91" s="171">
        <f t="shared" si="10"/>
        <v>9.2255887062436805</v>
      </c>
      <c r="N91" s="171">
        <f t="shared" si="10"/>
        <v>71.41698060255969</v>
      </c>
      <c r="O91" s="171">
        <f t="shared" si="10"/>
        <v>125.38173217045414</v>
      </c>
      <c r="Q91" s="256">
        <f t="shared" si="5"/>
        <v>0</v>
      </c>
    </row>
    <row r="92" spans="3:17" x14ac:dyDescent="0.25">
      <c r="E92" s="252"/>
      <c r="K92" s="138"/>
      <c r="Q92" s="153"/>
    </row>
    <row r="93" spans="3:17" x14ac:dyDescent="0.25">
      <c r="E93" s="252"/>
      <c r="G93" s="287"/>
      <c r="K93" s="138"/>
      <c r="Q93" s="153"/>
    </row>
    <row r="94" spans="3:17" x14ac:dyDescent="0.25">
      <c r="E94" s="252"/>
      <c r="K94" s="138"/>
      <c r="Q94" s="153"/>
    </row>
    <row r="95" spans="3:17" ht="15.75" x14ac:dyDescent="0.25">
      <c r="C95" s="54" t="s">
        <v>703</v>
      </c>
      <c r="D95" s="23" t="str">
        <f>D75</f>
        <v>VDO 2021 Variation - Final</v>
      </c>
      <c r="E95" s="252"/>
      <c r="K95" s="138"/>
      <c r="Q95" s="153"/>
    </row>
    <row r="96" spans="3:17" x14ac:dyDescent="0.25">
      <c r="E96" s="252"/>
      <c r="K96" s="138"/>
      <c r="Q96" s="153"/>
    </row>
    <row r="97" spans="3:19" x14ac:dyDescent="0.25">
      <c r="C97" t="s">
        <v>268</v>
      </c>
      <c r="D97" s="265" t="str">
        <f>$D$95</f>
        <v>VDO 2021 Variation - Final</v>
      </c>
      <c r="E97" s="105" cm="1">
        <f t="array" ref="E97">INDEX($E$75:$O$91,MATCH(1,($D$75:$D$91=$D97)*($C$75:$C$91=$C97),0),MATCH(E$52,$E$52:$O$52,0))</f>
        <v>1559.5818055064342</v>
      </c>
      <c r="F97" s="105" cm="1">
        <f t="array" ref="F97">INDEX($E$75:$O$91,MATCH(1,($D$75:$D$91=$D97)*($C$75:$C$91=$C97),0),MATCH(F$52,$E$52:$O$52,0))</f>
        <v>403.34196766499991</v>
      </c>
      <c r="G97" s="105" cm="1">
        <f t="array" ref="G97">INDEX($E$75:$O$91,MATCH(1,($D$75:$D$91=$D97)*($C$75:$C$91=$C97),0),MATCH(G$52,$E$52:$O$52,0))</f>
        <v>632.82200000000012</v>
      </c>
      <c r="H97" s="105" cm="1">
        <f t="array" ref="H97">INDEX($E$75:$O$91,MATCH(1,($D$75:$D$91=$D97)*($C$75:$C$91=$C97),0),MATCH(H$52,$E$52:$O$52,0))</f>
        <v>0</v>
      </c>
      <c r="I97" s="105" cm="1">
        <f t="array" ref="I97">INDEX($E$75:$O$91,MATCH(1,($D$75:$D$91=$D97)*($C$75:$C$91=$C97),0),MATCH(I$52,$E$52:$O$52,0))</f>
        <v>181.75878095302619</v>
      </c>
      <c r="J97" s="105" cm="1">
        <f t="array" ref="J97">INDEX($E$75:$O$91,MATCH(1,($D$75:$D$91=$D97)*($C$75:$C$91=$C97),0),MATCH(J$52,$E$52:$O$52,0))</f>
        <v>99.012279151499143</v>
      </c>
      <c r="K97" s="105" cm="1">
        <f t="array" ref="K97">INDEX($E$75:$O$91,MATCH(1,($D$75:$D$91=$D97)*($C$75:$C$91=$C97),0),MATCH(K$52,$E$52:$O$52,0))</f>
        <v>0</v>
      </c>
      <c r="L97" s="105" cm="1">
        <f t="array" ref="L97">INDEX($E$75:$O$91,MATCH(1,($D$75:$D$91=$D97)*($C$75:$C$91=$C97),0),MATCH(L$52,$E$52:$O$52,0))</f>
        <v>10.849248189087444</v>
      </c>
      <c r="M97" s="105" cm="1">
        <f t="array" ref="M97">INDEX($E$75:$O$91,MATCH(1,($D$75:$D$91=$D97)*($C$75:$C$91=$C97),0),MATCH(M$52,$E$52:$O$52,0))</f>
        <v>9.2598973434295004</v>
      </c>
      <c r="N97" s="105" cm="1">
        <f t="array" ref="N97">INDEX($E$75:$O$91,MATCH(1,($D$75:$D$91=$D97)*($C$75:$C$91=$C97),0),MATCH(N$52,$E$52:$O$52,0))</f>
        <v>80.757468067443355</v>
      </c>
      <c r="O97" s="105" cm="1">
        <f t="array" ref="O97">INDEX($E$75:$O$91,MATCH(1,($D$75:$D$91=$D97)*($C$75:$C$91=$C97),0),MATCH(O$52,$E$52:$O$52,0))</f>
        <v>141.78016413694857</v>
      </c>
      <c r="Q97" s="153"/>
    </row>
    <row r="98" spans="3:19" x14ac:dyDescent="0.25">
      <c r="C98" t="s">
        <v>269</v>
      </c>
      <c r="D98" s="265" t="str">
        <f t="shared" ref="D98:D102" si="11">$D$95</f>
        <v>VDO 2021 Variation - Final</v>
      </c>
      <c r="E98" s="105" cm="1">
        <f t="array" ref="E98">INDEX($E$75:$O$91,MATCH(1,($D$75:$D$91=$D98)*($C$75:$C$91=$C98),0),MATCH(E$52,$E$52:$O$52,0))</f>
        <v>1335.7195701674411</v>
      </c>
      <c r="F98" s="105" cm="1">
        <f t="array" ref="F98">INDEX($E$75:$O$91,MATCH(1,($D$75:$D$91=$D98)*($C$75:$C$91=$C98),0),MATCH(F$52,$E$52:$O$52,0))</f>
        <v>374.60133849995998</v>
      </c>
      <c r="G98" s="105" cm="1">
        <f t="array" ref="G98">INDEX($E$75:$O$91,MATCH(1,($D$75:$D$91=$D98)*($C$75:$C$91=$C98),0),MATCH(G$52,$E$52:$O$52,0))</f>
        <v>471.40899999999999</v>
      </c>
      <c r="H98" s="105" cm="1">
        <f t="array" ref="H98">INDEX($E$75:$O$91,MATCH(1,($D$75:$D$91=$D98)*($C$75:$C$91=$C98),0),MATCH(H$52,$E$52:$O$52,0))</f>
        <v>0</v>
      </c>
      <c r="I98" s="105" cm="1">
        <f t="array" ref="I98">INDEX($E$75:$O$91,MATCH(1,($D$75:$D$91=$D98)*($C$75:$C$91=$C98),0),MATCH(I$52,$E$52:$O$52,0))</f>
        <v>181.75878095302619</v>
      </c>
      <c r="J98" s="105" cm="1">
        <f t="array" ref="J98">INDEX($E$75:$O$91,MATCH(1,($D$75:$D$91=$D98)*($C$75:$C$91=$C98),0),MATCH(J$52,$E$52:$O$52,0))</f>
        <v>97.300862267596088</v>
      </c>
      <c r="K98" s="105" cm="1">
        <f t="array" ref="K98">INDEX($E$75:$O$91,MATCH(1,($D$75:$D$91=$D98)*($C$75:$C$91=$C98),0),MATCH(K$52,$E$52:$O$52,0))</f>
        <v>0</v>
      </c>
      <c r="L98" s="105" cm="1">
        <f t="array" ref="L98">INDEX($E$75:$O$91,MATCH(1,($D$75:$D$91=$D98)*($C$75:$C$91=$C98),0),MATCH(L$52,$E$52:$O$52,0))</f>
        <v>10.849248189087444</v>
      </c>
      <c r="M98" s="105" cm="1">
        <f t="array" ref="M98">INDEX($E$75:$O$91,MATCH(1,($D$75:$D$91=$D98)*($C$75:$C$91=$C98),0),MATCH(M$52,$E$52:$O$52,0))</f>
        <v>9.2057402280494305</v>
      </c>
      <c r="N98" s="105" cm="1">
        <f t="array" ref="N98">INDEX($E$75:$O$91,MATCH(1,($D$75:$D$91=$D98)*($C$75:$C$91=$C98),0),MATCH(N$52,$E$52:$O$52,0))</f>
        <v>69.165548196318241</v>
      </c>
      <c r="O98" s="105" cm="1">
        <f t="array" ref="O98">INDEX($E$75:$O$91,MATCH(1,($D$75:$D$91=$D98)*($C$75:$C$91=$C98),0),MATCH(O$52,$E$52:$O$52,0))</f>
        <v>121.42905183340375</v>
      </c>
      <c r="Q98" s="153"/>
    </row>
    <row r="99" spans="3:19" x14ac:dyDescent="0.25">
      <c r="C99" t="s">
        <v>270</v>
      </c>
      <c r="D99" s="265" t="str">
        <f t="shared" si="11"/>
        <v>VDO 2021 Variation - Final</v>
      </c>
      <c r="E99" s="105" cm="1">
        <f t="array" ref="E99">INDEX($E$75:$O$91,MATCH(1,($D$75:$D$91=$D99)*($C$75:$C$91=$C99),0),MATCH(E$52,$E$52:$O$52,0))</f>
        <v>1386.9512244545951</v>
      </c>
      <c r="F99" s="105" cm="1">
        <f t="array" ref="F99">INDEX($E$75:$O$91,MATCH(1,($D$75:$D$91=$D99)*($C$75:$C$91=$C99),0),MATCH(F$52,$E$52:$O$52,0))</f>
        <v>407.79431557333345</v>
      </c>
      <c r="G99" s="105" cm="1">
        <f t="array" ref="G99">INDEX($E$75:$O$91,MATCH(1,($D$75:$D$91=$D99)*($C$75:$C$91=$C99),0),MATCH(G$52,$E$52:$O$52,0))</f>
        <v>483.18600000000004</v>
      </c>
      <c r="H99" s="105" cm="1">
        <f t="array" ref="H99">INDEX($E$75:$O$91,MATCH(1,($D$75:$D$91=$D99)*($C$75:$C$91=$C99),0),MATCH(H$52,$E$52:$O$52,0))</f>
        <v>0</v>
      </c>
      <c r="I99" s="105" cm="1">
        <f t="array" ref="I99">INDEX($E$75:$O$91,MATCH(1,($D$75:$D$91=$D99)*($C$75:$C$91=$C99),0),MATCH(I$52,$E$52:$O$52,0))</f>
        <v>181.75878095302619</v>
      </c>
      <c r="J99" s="105" cm="1">
        <f t="array" ref="J99">INDEX($E$75:$O$91,MATCH(1,($D$75:$D$91=$D99)*($C$75:$C$91=$C99),0),MATCH(J$52,$E$52:$O$52,0))</f>
        <v>96.284429634343809</v>
      </c>
      <c r="K99" s="105" cm="1">
        <f t="array" ref="K99">INDEX($E$75:$O$91,MATCH(1,($D$75:$D$91=$D99)*($C$75:$C$91=$C99),0),MATCH(K$52,$E$52:$O$52,0))</f>
        <v>0</v>
      </c>
      <c r="L99" s="105" cm="1">
        <f t="array" ref="L99">INDEX($E$75:$O$91,MATCH(1,($D$75:$D$91=$D99)*($C$75:$C$91=$C99),0),MATCH(L$52,$E$52:$O$52,0))</f>
        <v>10.849248189087444</v>
      </c>
      <c r="M99" s="105" cm="1">
        <f t="array" ref="M99">INDEX($E$75:$O$91,MATCH(1,($D$75:$D$91=$D99)*($C$75:$C$91=$C99),0),MATCH(M$52,$E$52:$O$52,0))</f>
        <v>9.1735756164268238</v>
      </c>
      <c r="N99" s="105" cm="1">
        <f t="array" ref="N99">INDEX($E$75:$O$91,MATCH(1,($D$75:$D$91=$D99)*($C$75:$C$91=$C99),0),MATCH(N$52,$E$52:$O$52,0))</f>
        <v>71.818399537959564</v>
      </c>
      <c r="O99" s="105" cm="1">
        <f t="array" ref="O99">INDEX($E$75:$O$91,MATCH(1,($D$75:$D$91=$D99)*($C$75:$C$91=$C99),0),MATCH(O$52,$E$52:$O$52,0))</f>
        <v>126.08647495041774</v>
      </c>
      <c r="Q99" s="153"/>
    </row>
    <row r="100" spans="3:19" x14ac:dyDescent="0.25">
      <c r="C100" t="s">
        <v>271</v>
      </c>
      <c r="D100" s="265" t="str">
        <f t="shared" si="11"/>
        <v>VDO 2021 Variation - Final</v>
      </c>
      <c r="E100" s="105" cm="1">
        <f t="array" ref="E100">INDEX($E$75:$O$91,MATCH(1,($D$75:$D$91=$D100)*($C$75:$C$91=$C100),0),MATCH(E$52,$E$52:$O$52,0))</f>
        <v>1424.6087218319676</v>
      </c>
      <c r="F100" s="105" cm="1">
        <f t="array" ref="F100">INDEX($E$75:$O$91,MATCH(1,($D$75:$D$91=$D100)*($C$75:$C$91=$C100),0),MATCH(F$52,$E$52:$O$52,0))</f>
        <v>396.08606905449994</v>
      </c>
      <c r="G100" s="105" cm="1">
        <f t="array" ref="G100">INDEX($E$75:$O$91,MATCH(1,($D$75:$D$91=$D100)*($C$75:$C$91=$C100),0),MATCH(G$52,$E$52:$O$52,0))</f>
        <v>523.97749999999996</v>
      </c>
      <c r="H100" s="105" cm="1">
        <f t="array" ref="H100">INDEX($E$75:$O$91,MATCH(1,($D$75:$D$91=$D100)*($C$75:$C$91=$C100),0),MATCH(H$52,$E$52:$O$52,0))</f>
        <v>0</v>
      </c>
      <c r="I100" s="105" cm="1">
        <f t="array" ref="I100">INDEX($E$75:$O$91,MATCH(1,($D$75:$D$91=$D100)*($C$75:$C$91=$C100),0),MATCH(I$52,$E$52:$O$52,0))</f>
        <v>181.75878095302619</v>
      </c>
      <c r="J100" s="105" cm="1">
        <f t="array" ref="J100">INDEX($E$75:$O$91,MATCH(1,($D$75:$D$91=$D100)*($C$75:$C$91=$C100),0),MATCH(J$52,$E$52:$O$52,0))</f>
        <v>99.387119975088339</v>
      </c>
      <c r="K100" s="105" cm="1">
        <f t="array" ref="K100">INDEX($E$75:$O$91,MATCH(1,($D$75:$D$91=$D100)*($C$75:$C$91=$C100),0),MATCH(K$52,$E$52:$O$52,0))</f>
        <v>0</v>
      </c>
      <c r="L100" s="105" cm="1">
        <f t="array" ref="L100">INDEX($E$75:$O$91,MATCH(1,($D$75:$D$91=$D100)*($C$75:$C$91=$C100),0),MATCH(L$52,$E$52:$O$52,0))</f>
        <v>10.849248189087444</v>
      </c>
      <c r="M100" s="105" cm="1">
        <f t="array" ref="M100">INDEX($E$75:$O$91,MATCH(1,($D$75:$D$91=$D100)*($C$75:$C$91=$C100),0),MATCH(M$52,$E$52:$O$52,0))</f>
        <v>9.2717590341275518</v>
      </c>
      <c r="N100" s="105" cm="1">
        <f t="array" ref="N100">INDEX($E$75:$O$91,MATCH(1,($D$75:$D$91=$D100)*($C$75:$C$91=$C100),0),MATCH(N$52,$E$52:$O$52,0))</f>
        <v>73.768360823232086</v>
      </c>
      <c r="O100" s="105" cm="1">
        <f t="array" ref="O100">INDEX($E$75:$O$91,MATCH(1,($D$75:$D$91=$D100)*($C$75:$C$91=$C100),0),MATCH(O$52,$E$52:$O$52,0))</f>
        <v>129.50988380290616</v>
      </c>
      <c r="Q100" s="153"/>
    </row>
    <row r="101" spans="3:19" x14ac:dyDescent="0.25">
      <c r="C101" t="s">
        <v>272</v>
      </c>
      <c r="D101" s="265" t="str">
        <f t="shared" si="11"/>
        <v>VDO 2021 Variation - Final</v>
      </c>
      <c r="E101" s="105" cm="1">
        <f t="array" ref="E101">INDEX($E$75:$O$91,MATCH(1,($D$75:$D$91=$D101)*($C$75:$C$91=$C101),0),MATCH(E$52,$E$52:$O$52,0))</f>
        <v>1350.013434754539</v>
      </c>
      <c r="F101" s="105" cm="1">
        <f t="array" ref="F101">INDEX($E$75:$O$91,MATCH(1,($D$75:$D$91=$D101)*($C$75:$C$91=$C101),0),MATCH(F$52,$E$52:$O$52,0))</f>
        <v>415.37045922372005</v>
      </c>
      <c r="G101" s="105" cm="1">
        <f t="array" ref="G101">INDEX($E$75:$O$91,MATCH(1,($D$75:$D$91=$D101)*($C$75:$C$91=$C101),0),MATCH(G$52,$E$52:$O$52,0))</f>
        <v>442.52800000000002</v>
      </c>
      <c r="H101" s="105" cm="1">
        <f t="array" ref="H101">INDEX($E$75:$O$91,MATCH(1,($D$75:$D$91=$D101)*($C$75:$C$91=$C101),0),MATCH(H$52,$E$52:$O$52,0))</f>
        <v>0</v>
      </c>
      <c r="I101" s="105" cm="1">
        <f t="array" ref="I101">INDEX($E$75:$O$91,MATCH(1,($D$75:$D$91=$D101)*($C$75:$C$91=$C101),0),MATCH(I$52,$E$52:$O$52,0))</f>
        <v>181.75878095302619</v>
      </c>
      <c r="J101" s="105" cm="1">
        <f t="array" ref="J101">INDEX($E$75:$O$91,MATCH(1,($D$75:$D$91=$D101)*($C$75:$C$91=$C101),0),MATCH(J$52,$E$52:$O$52,0))</f>
        <v>97.655775223080724</v>
      </c>
      <c r="K101" s="105" cm="1">
        <f t="array" ref="K101">INDEX($E$75:$O$91,MATCH(1,($D$75:$D$91=$D101)*($C$75:$C$91=$C101),0),MATCH(K$52,$E$52:$O$52,0))</f>
        <v>0</v>
      </c>
      <c r="L101" s="105" cm="1">
        <f t="array" ref="L101">INDEX($E$75:$O$91,MATCH(1,($D$75:$D$91=$D101)*($C$75:$C$91=$C101),0),MATCH(L$52,$E$52:$O$52,0))</f>
        <v>10.849248189087444</v>
      </c>
      <c r="M101" s="105" cm="1">
        <f t="array" ref="M101">INDEX($E$75:$O$91,MATCH(1,($D$75:$D$91=$D101)*($C$75:$C$91=$C101),0),MATCH(M$52,$E$52:$O$52,0))</f>
        <v>9.2169713091850962</v>
      </c>
      <c r="N101" s="105" cm="1">
        <f t="array" ref="N101">INDEX($E$75:$O$91,MATCH(1,($D$75:$D$91=$D101)*($C$75:$C$91=$C101),0),MATCH(N$52,$E$52:$O$52,0))</f>
        <v>69.905705787845207</v>
      </c>
      <c r="O101" s="105" cm="1">
        <f t="array" ref="O101">INDEX($E$75:$O$91,MATCH(1,($D$75:$D$91=$D101)*($C$75:$C$91=$C101),0),MATCH(O$52,$E$52:$O$52,0))</f>
        <v>122.72849406859446</v>
      </c>
      <c r="Q101" s="153"/>
    </row>
    <row r="102" spans="3:19" x14ac:dyDescent="0.25">
      <c r="C102" t="s">
        <v>374</v>
      </c>
      <c r="D102" s="265" t="str">
        <f t="shared" si="11"/>
        <v>VDO 2021 Variation - Final</v>
      </c>
      <c r="E102" s="105" cm="1">
        <f t="array" ref="E102">INDEX($E$75:$O$91,MATCH(1,($D$75:$D$91=$D102)*($C$75:$C$91=$C102),0),MATCH(E$52,$E$52:$O$52,0))</f>
        <v>1411.3749513429952</v>
      </c>
      <c r="F102" s="105" cm="1">
        <f t="array" ref="F102">INDEX($E$75:$O$91,MATCH(1,($D$75:$D$91=$D102)*($C$75:$C$91=$C102),0),MATCH(F$52,$E$52:$O$52,0))</f>
        <v>399.43883000330271</v>
      </c>
      <c r="G102" s="105" cm="1">
        <f t="array" ref="G102">INDEX($E$75:$O$91,MATCH(1,($D$75:$D$91=$D102)*($C$75:$C$91=$C102),0),MATCH(G$52,$E$52:$O$52,0))</f>
        <v>510.78450000000009</v>
      </c>
      <c r="H102" s="105" cm="1">
        <f t="array" ref="H102">INDEX($E$75:$O$91,MATCH(1,($D$75:$D$91=$D102)*($C$75:$C$91=$C102),0),MATCH(H$52,$E$52:$O$52,0))</f>
        <v>0</v>
      </c>
      <c r="I102" s="105" cm="1">
        <f t="array" ref="I102">INDEX($E$75:$O$91,MATCH(1,($D$75:$D$91=$D102)*($C$75:$C$91=$C102),0),MATCH(I$52,$E$52:$O$52,0))</f>
        <v>181.75878095302619</v>
      </c>
      <c r="J102" s="105" cm="1">
        <f t="array" ref="J102">INDEX($E$75:$O$91,MATCH(1,($D$75:$D$91=$D102)*($C$75:$C$91=$C102),0),MATCH(J$52,$E$52:$O$52,0))</f>
        <v>97.928093250321623</v>
      </c>
      <c r="K102" s="105" cm="1">
        <f t="array" ref="K102">INDEX($E$75:$O$91,MATCH(1,($D$75:$D$91=$D102)*($C$75:$C$91=$C102),0),MATCH(K$52,$E$52:$O$52,0))</f>
        <v>0</v>
      </c>
      <c r="L102" s="105" cm="1">
        <f t="array" ref="L102">INDEX($E$75:$O$91,MATCH(1,($D$75:$D$91=$D102)*($C$75:$C$91=$C102),0),MATCH(L$52,$E$52:$O$52,0))</f>
        <v>10.849248189087444</v>
      </c>
      <c r="M102" s="105" cm="1">
        <f t="array" ref="M102">INDEX($E$75:$O$91,MATCH(1,($D$75:$D$91=$D102)*($C$75:$C$91=$C102),0),MATCH(M$52,$E$52:$O$52,0))</f>
        <v>9.2255887062436805</v>
      </c>
      <c r="N102" s="105" cm="1">
        <f t="array" ref="N102">INDEX($E$75:$O$91,MATCH(1,($D$75:$D$91=$D102)*($C$75:$C$91=$C102),0),MATCH(N$52,$E$52:$O$52,0))</f>
        <v>73.083096482559682</v>
      </c>
      <c r="O102" s="105" cm="1">
        <f t="array" ref="O102">INDEX($E$75:$O$91,MATCH(1,($D$75:$D$91=$D102)*($C$75:$C$91=$C102),0),MATCH(O$52,$E$52:$O$52,0))</f>
        <v>128.30681375845415</v>
      </c>
      <c r="Q102" s="153"/>
    </row>
    <row r="103" spans="3:19" x14ac:dyDescent="0.25">
      <c r="E103" s="252"/>
      <c r="K103" s="138"/>
      <c r="Q103" s="153"/>
    </row>
    <row r="104" spans="3:19" x14ac:dyDescent="0.25">
      <c r="E104" s="252"/>
      <c r="K104" s="138"/>
      <c r="Q104" s="153"/>
    </row>
    <row r="105" spans="3:19" x14ac:dyDescent="0.25">
      <c r="C105" t="s">
        <v>268</v>
      </c>
      <c r="D105" s="82" t="str">
        <f>Calc_Rates!$D$254</f>
        <v>VDO 2022 - Final</v>
      </c>
      <c r="E105" s="253">
        <f>IF($D$50="Residential",
INDEX(CostStackCalcs_RES_2[[Ausnet]:[Average]],MATCH(CH_CostElements_Anytime!E$52,CostStackCalcs_RES_2[[Labels]:[Labels]],0),MATCH(CH_CostElements_Anytime!$C105,CostStackCalcs_RES_2[[#Headers],[Ausnet]:[Average]],0)),
IF($D$50="Small business",
INDEX(CostStackCalcs_SME_2[[Ausnet]:[Average]],MATCH(CH_CostElements_Anytime!E$52,CostStackCalcs_SME_2[[Labels]:[Labels]],0),MATCH(CH_CostElements_Anytime!$C105,CostStackCalcs_SME_2[[#Headers],[Ausnet]:[Average]],0)),
IF($D$50="All","-")))</f>
        <v>1494</v>
      </c>
      <c r="F105" s="171">
        <f>IF($D$50="Residential",
INDEX(CostStackCalcs_RES_2[[Ausnet]:[Average]],MATCH(CH_CostElements_Anytime!F$52,CostStackCalcs_RES_2[[Labels]:[Labels]],0),MATCH(CH_CostElements_Anytime!$C105,CostStackCalcs_RES_2[[#Headers],[Ausnet]:[Average]],0)),
IF($D$50="Small business",
INDEX(CostStackCalcs_SME_2[[Ausnet]:[Average]],MATCH(CH_CostElements_Anytime!F$52,CostStackCalcs_SME_2[[Labels]:[Labels]],0),MATCH(CH_CostElements_Anytime!$C105,CostStackCalcs_SME_2[[#Headers],[Ausnet]:[Average]],0)),
IF($D$50="All","-")))</f>
        <v>309.54390613097502</v>
      </c>
      <c r="G105" s="171">
        <f>IF($D$50="Residential",
INDEX(CostStackCalcs_RES_2[[Ausnet]:[Average]],MATCH(CH_CostElements_Anytime!G$52,CostStackCalcs_RES_2[[Labels]:[Labels]],0),MATCH(CH_CostElements_Anytime!$C105,CostStackCalcs_RES_2[[#Headers],[Ausnet]:[Average]],0)),
IF($D$50="Small business",
INDEX(CostStackCalcs_SME_2[[Ausnet]:[Average]],MATCH(CH_CostElements_Anytime!G$52,CostStackCalcs_SME_2[[Labels]:[Labels]],0),MATCH(CH_CostElements_Anytime!$C105,CostStackCalcs_SME_2[[#Headers],[Ausnet]:[Average]],0)),
IF($D$50="All","-")))</f>
        <v>632.82200000000012</v>
      </c>
      <c r="H105" s="171">
        <f>IF($D$50="Residential",
INDEX(CostStackCalcs_RES_2[[Ausnet]:[Average]],MATCH(CH_CostElements_Anytime!H$52,CostStackCalcs_RES_2[[Labels]:[Labels]],0),MATCH(CH_CostElements_Anytime!$C105,CostStackCalcs_RES_2[[#Headers],[Ausnet]:[Average]],0)),
IF($D$50="Small business",
INDEX(CostStackCalcs_SME_2[[Ausnet]:[Average]],MATCH(CH_CostElements_Anytime!H$52,CostStackCalcs_SME_2[[Labels]:[Labels]],0),MATCH(CH_CostElements_Anytime!$C105,CostStackCalcs_SME_2[[#Headers],[Ausnet]:[Average]],0)),
IF($D$50="All","-")))</f>
        <v>11.935672304856654</v>
      </c>
      <c r="I105" s="171">
        <f>IF($D$50="Residential",
INDEX(CostStackCalcs_RES_2[[Ausnet]:[Average]],MATCH(CH_CostElements_Anytime!I$52,CostStackCalcs_RES_2[[Labels]:[Labels]],0),MATCH(CH_CostElements_Anytime!$C105,CostStackCalcs_RES_2[[#Headers],[Ausnet]:[Average]],0)),
IF($D$50="Small business",
INDEX(CostStackCalcs_SME_2[[Ausnet]:[Average]],MATCH(CH_CostElements_Anytime!I$52,CostStackCalcs_SME_2[[Labels]:[Labels]],0),MATCH(CH_CostElements_Anytime!$C105,CostStackCalcs_SME_2[[#Headers],[Ausnet]:[Average]],0)),
IF($D$50="All","-")))</f>
        <v>181.37562065040649</v>
      </c>
      <c r="J105" s="171">
        <f>IF($D$50="Residential",
INDEX(CostStackCalcs_RES_2[[Ausnet]:[Average]],MATCH(CH_CostElements_Anytime!J$52,CostStackCalcs_RES_2[[Labels]:[Labels]],0),MATCH(CH_CostElements_Anytime!$C105,CostStackCalcs_RES_2[[#Headers],[Ausnet]:[Average]],0)),
IF($D$50="Small business",
INDEX(CostStackCalcs_SME_2[[Ausnet]:[Average]],MATCH(CH_CostElements_Anytime!J$52,CostStackCalcs_SME_2[[Labels]:[Labels]],0),MATCH(CH_CostElements_Anytime!$C105,CostStackCalcs_SME_2[[#Headers],[Ausnet]:[Average]],0)),
IF($D$50="All","-")))</f>
        <v>114.20635313207585</v>
      </c>
      <c r="K105" s="173">
        <f>IF($D$50="Residential",
INDEX(CostStackCalcs_RES_2[[Ausnet]:[Average]],MATCH(CH_CostElements_Anytime!K$52,CostStackCalcs_RES_2[[Labels]:[Labels]],0),MATCH(CH_CostElements_Anytime!$C105,CostStackCalcs_RES_2[[#Headers],[Ausnet]:[Average]],0)),
IF($D$50="Small business",
INDEX(CostStackCalcs_SME_2[[Ausnet]:[Average]],MATCH(CH_CostElements_Anytime!K$52,CostStackCalcs_SME_2[[Labels]:[Labels]],0),MATCH(CH_CostElements_Anytime!$C105,CostStackCalcs_SME_2[[#Headers],[Ausnet]:[Average]],0)),
IF($D$50="All","-")))</f>
        <v>13.224681396481557</v>
      </c>
      <c r="L105" s="171">
        <f>IF($D$50="Residential",
INDEX(CostStackCalcs_RES_2[[Ausnet]:[Average]],MATCH(CH_CostElements_Anytime!L$52,CostStackCalcs_RES_2[[Labels]:[Labels]],0),MATCH(CH_CostElements_Anytime!$C105,CostStackCalcs_RES_2[[#Headers],[Ausnet]:[Average]],0)),
IF($D$50="Small business",
INDEX(CostStackCalcs_SME_2[[Ausnet]:[Average]],MATCH(CH_CostElements_Anytime!L$52,CostStackCalcs_SME_2[[Labels]:[Labels]],0),MATCH(CH_CostElements_Anytime!$C105,CostStackCalcs_SME_2[[#Headers],[Ausnet]:[Average]],0)),
IF($D$50="All","-")))</f>
        <v>13.337821545021233</v>
      </c>
      <c r="M105" s="171">
        <f>IF($D$50="Residential",
INDEX(CostStackCalcs_RES_2[[Ausnet]:[Average]],MATCH(CH_CostElements_Anytime!M$52,CostStackCalcs_RES_2[[Labels]:[Labels]],0),MATCH(CH_CostElements_Anytime!$C105,CostStackCalcs_RES_2[[#Headers],[Ausnet]:[Average]],0)),
IF($D$50="Small business",
INDEX(CostStackCalcs_SME_2[[Ausnet]:[Average]],MATCH(CH_CostElements_Anytime!M$52,CostStackCalcs_SME_2[[Labels]:[Labels]],0),MATCH(CH_CostElements_Anytime!$C105,CostStackCalcs_SME_2[[#Headers],[Ausnet]:[Average]],0)),
IF($D$50="All","-")))</f>
        <v>7.9000088300461737</v>
      </c>
      <c r="N105" s="171">
        <f>IF($D$50="Residential",
INDEX(CostStackCalcs_RES_2[[Ausnet]:[Average]],MATCH(CH_CostElements_Anytime!N$52,CostStackCalcs_RES_2[[Labels]:[Labels]],0),MATCH(CH_CostElements_Anytime!$C105,CostStackCalcs_RES_2[[#Headers],[Ausnet]:[Average]],0)),
IF($D$50="Small business",
INDEX(CostStackCalcs_SME_2[[Ausnet]:[Average]],MATCH(CH_CostElements_Anytime!N$52,CostStackCalcs_SME_2[[Labels]:[Labels]],0),MATCH(CH_CostElements_Anytime!$C105,CostStackCalcs_SME_2[[#Headers],[Ausnet]:[Average]],0)),
IF($D$50="All","-")))</f>
        <v>76.054816901426904</v>
      </c>
      <c r="O105" s="171">
        <f>IF($D$50="Residential",
INDEX(CostStackCalcs_RES_2[[Ausnet]:[Average]],MATCH(CH_CostElements_Anytime!O$52,CostStackCalcs_RES_2[[Labels]:[Labels]],0),MATCH(CH_CostElements_Anytime!$C105,CostStackCalcs_RES_2[[#Headers],[Ausnet]:[Average]],0)),
IF($D$50="Small business",
INDEX(CostStackCalcs_SME_2[[Ausnet]:[Average]],MATCH(CH_CostElements_Anytime!O$52,CostStackCalcs_SME_2[[Labels]:[Labels]],0),MATCH(CH_CostElements_Anytime!$C105,CostStackCalcs_SME_2[[#Headers],[Ausnet]:[Average]],0)),
IF($D$50="All","-")))</f>
        <v>133.52405271899519</v>
      </c>
      <c r="Q105" s="256">
        <f>IF(ROUND(E105,8)=ROUND(SUM(F105:O105),8),0,1)</f>
        <v>1</v>
      </c>
    </row>
    <row r="106" spans="3:19" x14ac:dyDescent="0.25">
      <c r="C106" t="s">
        <v>269</v>
      </c>
      <c r="D106" s="82" t="str">
        <f>Calc_Rates!$D$254</f>
        <v>VDO 2022 - Final</v>
      </c>
      <c r="E106" s="253">
        <f>IF($D$50="Residential",
INDEX(CostStackCalcs_RES_2[[Ausnet]:[Average]],MATCH(CH_CostElements_Anytime!E$52,CostStackCalcs_RES_2[[Labels]:[Labels]],0),MATCH(CH_CostElements_Anytime!$C106,CostStackCalcs_RES_2[[#Headers],[Ausnet]:[Average]],0)),
IF($D$50="Small business",
INDEX(CostStackCalcs_SME_2[[Ausnet]:[Average]],MATCH(CH_CostElements_Anytime!E$52,CostStackCalcs_SME_2[[Labels]:[Labels]],0),MATCH(CH_CostElements_Anytime!$C106,CostStackCalcs_SME_2[[#Headers],[Ausnet]:[Average]],0)),
IF($D$50="All","-")))</f>
        <v>1278</v>
      </c>
      <c r="F106" s="171">
        <f>IF($D$50="Residential",
INDEX(CostStackCalcs_RES_2[[Ausnet]:[Average]],MATCH(CH_CostElements_Anytime!F$52,CostStackCalcs_RES_2[[Labels]:[Labels]],0),MATCH(CH_CostElements_Anytime!$C106,CostStackCalcs_RES_2[[#Headers],[Ausnet]:[Average]],0)),
IF($D$50="Small business",
INDEX(CostStackCalcs_SME_2[[Ausnet]:[Average]],MATCH(CH_CostElements_Anytime!F$52,CostStackCalcs_SME_2[[Labels]:[Labels]],0),MATCH(CH_CostElements_Anytime!$C106,CostStackCalcs_SME_2[[#Headers],[Ausnet]:[Average]],0)),
IF($D$50="All","-")))</f>
        <v>285.3291802666667</v>
      </c>
      <c r="G106" s="171">
        <f>IF($D$50="Residential",
INDEX(CostStackCalcs_RES_2[[Ausnet]:[Average]],MATCH(CH_CostElements_Anytime!G$52,CostStackCalcs_RES_2[[Labels]:[Labels]],0),MATCH(CH_CostElements_Anytime!$C106,CostStackCalcs_RES_2[[#Headers],[Ausnet]:[Average]],0)),
IF($D$50="Small business",
INDEX(CostStackCalcs_SME_2[[Ausnet]:[Average]],MATCH(CH_CostElements_Anytime!G$52,CostStackCalcs_SME_2[[Labels]:[Labels]],0),MATCH(CH_CostElements_Anytime!$C106,CostStackCalcs_SME_2[[#Headers],[Ausnet]:[Average]],0)),
IF($D$50="All","-")))</f>
        <v>471.40899999999999</v>
      </c>
      <c r="H106" s="171">
        <f>IF($D$50="Residential",
INDEX(CostStackCalcs_RES_2[[Ausnet]:[Average]],MATCH(CH_CostElements_Anytime!H$52,CostStackCalcs_RES_2[[Labels]:[Labels]],0),MATCH(CH_CostElements_Anytime!$C106,CostStackCalcs_RES_2[[#Headers],[Ausnet]:[Average]],0)),
IF($D$50="Small business",
INDEX(CostStackCalcs_SME_2[[Ausnet]:[Average]],MATCH(CH_CostElements_Anytime!H$52,CostStackCalcs_SME_2[[Labels]:[Labels]],0),MATCH(CH_CostElements_Anytime!$C106,CostStackCalcs_SME_2[[#Headers],[Ausnet]:[Average]],0)),
IF($D$50="All","-")))</f>
        <v>16.187167340424587</v>
      </c>
      <c r="I106" s="171">
        <f>IF($D$50="Residential",
INDEX(CostStackCalcs_RES_2[[Ausnet]:[Average]],MATCH(CH_CostElements_Anytime!I$52,CostStackCalcs_RES_2[[Labels]:[Labels]],0),MATCH(CH_CostElements_Anytime!$C106,CostStackCalcs_RES_2[[#Headers],[Ausnet]:[Average]],0)),
IF($D$50="Small business",
INDEX(CostStackCalcs_SME_2[[Ausnet]:[Average]],MATCH(CH_CostElements_Anytime!I$52,CostStackCalcs_SME_2[[Labels]:[Labels]],0),MATCH(CH_CostElements_Anytime!$C106,CostStackCalcs_SME_2[[#Headers],[Ausnet]:[Average]],0)),
IF($D$50="All","-")))</f>
        <v>181.37562065040649</v>
      </c>
      <c r="J106" s="171">
        <f>IF($D$50="Residential",
INDEX(CostStackCalcs_RES_2[[Ausnet]:[Average]],MATCH(CH_CostElements_Anytime!J$52,CostStackCalcs_RES_2[[Labels]:[Labels]],0),MATCH(CH_CostElements_Anytime!$C106,CostStackCalcs_RES_2[[#Headers],[Ausnet]:[Average]],0)),
IF($D$50="Small business",
INDEX(CostStackCalcs_SME_2[[Ausnet]:[Average]],MATCH(CH_CostElements_Anytime!J$52,CostStackCalcs_SME_2[[Labels]:[Labels]],0),MATCH(CH_CostElements_Anytime!$C106,CostStackCalcs_SME_2[[#Headers],[Ausnet]:[Average]],0)),
IF($D$50="All","-")))</f>
        <v>110.85447438605942</v>
      </c>
      <c r="K106" s="173">
        <f>IF($D$50="Residential",
INDEX(CostStackCalcs_RES_2[[Ausnet]:[Average]],MATCH(CH_CostElements_Anytime!K$52,CostStackCalcs_RES_2[[Labels]:[Labels]],0),MATCH(CH_CostElements_Anytime!$C106,CostStackCalcs_RES_2[[#Headers],[Ausnet]:[Average]],0)),
IF($D$50="Small business",
INDEX(CostStackCalcs_SME_2[[Ausnet]:[Average]],MATCH(CH_CostElements_Anytime!K$52,CostStackCalcs_SME_2[[Labels]:[Labels]],0),MATCH(CH_CostElements_Anytime!$C106,CostStackCalcs_SME_2[[#Headers],[Ausnet]:[Average]],0)),
IF($D$50="All","-")))</f>
        <v>12.996094162452266</v>
      </c>
      <c r="L106" s="171">
        <f>IF($D$50="Residential",
INDEX(CostStackCalcs_RES_2[[Ausnet]:[Average]],MATCH(CH_CostElements_Anytime!L$52,CostStackCalcs_RES_2[[Labels]:[Labels]],0),MATCH(CH_CostElements_Anytime!$C106,CostStackCalcs_RES_2[[#Headers],[Ausnet]:[Average]],0)),
IF($D$50="Small business",
INDEX(CostStackCalcs_SME_2[[Ausnet]:[Average]],MATCH(CH_CostElements_Anytime!L$52,CostStackCalcs_SME_2[[Labels]:[Labels]],0),MATCH(CH_CostElements_Anytime!$C106,CostStackCalcs_SME_2[[#Headers],[Ausnet]:[Average]],0)),
IF($D$50="All","-")))</f>
        <v>13.337821545021233</v>
      </c>
      <c r="M106" s="171">
        <f>IF($D$50="Residential",
INDEX(CostStackCalcs_RES_2[[Ausnet]:[Average]],MATCH(CH_CostElements_Anytime!M$52,CostStackCalcs_RES_2[[Labels]:[Labels]],0),MATCH(CH_CostElements_Anytime!$C106,CostStackCalcs_RES_2[[#Headers],[Ausnet]:[Average]],0)),
IF($D$50="Small business",
INDEX(CostStackCalcs_SME_2[[Ausnet]:[Average]],MATCH(CH_CostElements_Anytime!M$52,CostStackCalcs_SME_2[[Labels]:[Labels]],0),MATCH(CH_CostElements_Anytime!$C106,CostStackCalcs_SME_2[[#Headers],[Ausnet]:[Average]],0)),
IF($D$50="All","-")))</f>
        <v>7.7890638143677391</v>
      </c>
      <c r="N106" s="171">
        <f>IF($D$50="Residential",
INDEX(CostStackCalcs_RES_2[[Ausnet]:[Average]],MATCH(CH_CostElements_Anytime!N$52,CostStackCalcs_RES_2[[Labels]:[Labels]],0),MATCH(CH_CostElements_Anytime!$C106,CostStackCalcs_RES_2[[#Headers],[Ausnet]:[Average]],0)),
IF($D$50="Small business",
INDEX(CostStackCalcs_SME_2[[Ausnet]:[Average]],MATCH(CH_CostElements_Anytime!N$52,CostStackCalcs_SME_2[[Labels]:[Labels]],0),MATCH(CH_CostElements_Anytime!$C106,CostStackCalcs_SME_2[[#Headers],[Ausnet]:[Average]],0)),
IF($D$50="All","-")))</f>
        <v>64.633747704016287</v>
      </c>
      <c r="O106" s="171">
        <f>IF($D$50="Residential",
INDEX(CostStackCalcs_RES_2[[Ausnet]:[Average]],MATCH(CH_CostElements_Anytime!O$52,CostStackCalcs_RES_2[[Labels]:[Labels]],0),MATCH(CH_CostElements_Anytime!$C106,CostStackCalcs_RES_2[[#Headers],[Ausnet]:[Average]],0)),
IF($D$50="Small business",
INDEX(CostStackCalcs_SME_2[[Ausnet]:[Average]],MATCH(CH_CostElements_Anytime!O$52,CostStackCalcs_SME_2[[Labels]:[Labels]],0),MATCH(CH_CostElements_Anytime!$C106,CostStackCalcs_SME_2[[#Headers],[Ausnet]:[Average]],0)),
IF($D$50="All","-")))</f>
        <v>113.47289083665376</v>
      </c>
      <c r="Q106" s="256">
        <f t="shared" ref="Q106:Q110" si="12">IF(ROUND(E106,8)=ROUND(SUM(F106:O106),8),0,1)</f>
        <v>1</v>
      </c>
    </row>
    <row r="107" spans="3:19" x14ac:dyDescent="0.25">
      <c r="C107" t="s">
        <v>270</v>
      </c>
      <c r="D107" s="82" t="str">
        <f>Calc_Rates!$D$254</f>
        <v>VDO 2022 - Final</v>
      </c>
      <c r="E107" s="253">
        <f>IF($D$50="Residential",
INDEX(CostStackCalcs_RES_2[[Ausnet]:[Average]],MATCH(CH_CostElements_Anytime!E$52,CostStackCalcs_RES_2[[Labels]:[Labels]],0),MATCH(CH_CostElements_Anytime!$C107,CostStackCalcs_RES_2[[#Headers],[Ausnet]:[Average]],0)),
IF($D$50="Small business",
INDEX(CostStackCalcs_SME_2[[Ausnet]:[Average]],MATCH(CH_CostElements_Anytime!E$52,CostStackCalcs_SME_2[[Labels]:[Labels]],0),MATCH(CH_CostElements_Anytime!$C107,CostStackCalcs_SME_2[[#Headers],[Ausnet]:[Average]],0)),
IF($D$50="All","-")))</f>
        <v>1315</v>
      </c>
      <c r="F107" s="171">
        <f>IF($D$50="Residential",
INDEX(CostStackCalcs_RES_2[[Ausnet]:[Average]],MATCH(CH_CostElements_Anytime!F$52,CostStackCalcs_RES_2[[Labels]:[Labels]],0),MATCH(CH_CostElements_Anytime!$C107,CostStackCalcs_RES_2[[#Headers],[Ausnet]:[Average]],0)),
IF($D$50="Small business",
INDEX(CostStackCalcs_SME_2[[Ausnet]:[Average]],MATCH(CH_CostElements_Anytime!F$52,CostStackCalcs_SME_2[[Labels]:[Labels]],0),MATCH(CH_CostElements_Anytime!$C107,CostStackCalcs_SME_2[[#Headers],[Ausnet]:[Average]],0)),
IF($D$50="All","-")))</f>
        <v>308.31114940500004</v>
      </c>
      <c r="G107" s="171">
        <f>IF($D$50="Residential",
INDEX(CostStackCalcs_RES_2[[Ausnet]:[Average]],MATCH(CH_CostElements_Anytime!G$52,CostStackCalcs_RES_2[[Labels]:[Labels]],0),MATCH(CH_CostElements_Anytime!$C107,CostStackCalcs_RES_2[[#Headers],[Ausnet]:[Average]],0)),
IF($D$50="Small business",
INDEX(CostStackCalcs_SME_2[[Ausnet]:[Average]],MATCH(CH_CostElements_Anytime!G$52,CostStackCalcs_SME_2[[Labels]:[Labels]],0),MATCH(CH_CostElements_Anytime!$C107,CostStackCalcs_SME_2[[#Headers],[Ausnet]:[Average]],0)),
IF($D$50="All","-")))</f>
        <v>483.18600000000004</v>
      </c>
      <c r="H107" s="171">
        <f>IF($D$50="Residential",
INDEX(CostStackCalcs_RES_2[[Ausnet]:[Average]],MATCH(CH_CostElements_Anytime!H$52,CostStackCalcs_RES_2[[Labels]:[Labels]],0),MATCH(CH_CostElements_Anytime!$C107,CostStackCalcs_RES_2[[#Headers],[Ausnet]:[Average]],0)),
IF($D$50="Small business",
INDEX(CostStackCalcs_SME_2[[Ausnet]:[Average]],MATCH(CH_CostElements_Anytime!H$52,CostStackCalcs_SME_2[[Labels]:[Labels]],0),MATCH(CH_CostElements_Anytime!$C107,CostStackCalcs_SME_2[[#Headers],[Ausnet]:[Average]],0)),
IF($D$50="All","-")))</f>
        <v>14.087579955431812</v>
      </c>
      <c r="I107" s="171">
        <f>IF($D$50="Residential",
INDEX(CostStackCalcs_RES_2[[Ausnet]:[Average]],MATCH(CH_CostElements_Anytime!I$52,CostStackCalcs_RES_2[[Labels]:[Labels]],0),MATCH(CH_CostElements_Anytime!$C107,CostStackCalcs_RES_2[[#Headers],[Ausnet]:[Average]],0)),
IF($D$50="Small business",
INDEX(CostStackCalcs_SME_2[[Ausnet]:[Average]],MATCH(CH_CostElements_Anytime!I$52,CostStackCalcs_SME_2[[Labels]:[Labels]],0),MATCH(CH_CostElements_Anytime!$C107,CostStackCalcs_SME_2[[#Headers],[Ausnet]:[Average]],0)),
IF($D$50="All","-")))</f>
        <v>181.37562065040649</v>
      </c>
      <c r="J107" s="171">
        <f>IF($D$50="Residential",
INDEX(CostStackCalcs_RES_2[[Ausnet]:[Average]],MATCH(CH_CostElements_Anytime!J$52,CostStackCalcs_RES_2[[Labels]:[Labels]],0),MATCH(CH_CostElements_Anytime!$C107,CostStackCalcs_RES_2[[#Headers],[Ausnet]:[Average]],0)),
IF($D$50="Small business",
INDEX(CostStackCalcs_SME_2[[Ausnet]:[Average]],MATCH(CH_CostElements_Anytime!J$52,CostStackCalcs_SME_2[[Labels]:[Labels]],0),MATCH(CH_CostElements_Anytime!$C107,CostStackCalcs_SME_2[[#Headers],[Ausnet]:[Average]],0)),
IF($D$50="All","-")))</f>
        <v>110.27514499501036</v>
      </c>
      <c r="K107" s="173">
        <f>IF($D$50="Residential",
INDEX(CostStackCalcs_RES_2[[Ausnet]:[Average]],MATCH(CH_CostElements_Anytime!K$52,CostStackCalcs_RES_2[[Labels]:[Labels]],0),MATCH(CH_CostElements_Anytime!$C107,CostStackCalcs_RES_2[[#Headers],[Ausnet]:[Average]],0)),
IF($D$50="Small business",
INDEX(CostStackCalcs_SME_2[[Ausnet]:[Average]],MATCH(CH_CostElements_Anytime!K$52,CostStackCalcs_SME_2[[Labels]:[Labels]],0),MATCH(CH_CostElements_Anytime!$C107,CostStackCalcs_SME_2[[#Headers],[Ausnet]:[Average]],0)),
IF($D$50="All","-")))</f>
        <v>12.860333246221057</v>
      </c>
      <c r="L107" s="171">
        <f>IF($D$50="Residential",
INDEX(CostStackCalcs_RES_2[[Ausnet]:[Average]],MATCH(CH_CostElements_Anytime!L$52,CostStackCalcs_RES_2[[Labels]:[Labels]],0),MATCH(CH_CostElements_Anytime!$C107,CostStackCalcs_RES_2[[#Headers],[Ausnet]:[Average]],0)),
IF($D$50="Small business",
INDEX(CostStackCalcs_SME_2[[Ausnet]:[Average]],MATCH(CH_CostElements_Anytime!L$52,CostStackCalcs_SME_2[[Labels]:[Labels]],0),MATCH(CH_CostElements_Anytime!$C107,CostStackCalcs_SME_2[[#Headers],[Ausnet]:[Average]],0)),
IF($D$50="All","-")))</f>
        <v>13.337821545021233</v>
      </c>
      <c r="M107" s="171">
        <f>IF($D$50="Residential",
INDEX(CostStackCalcs_RES_2[[Ausnet]:[Average]],MATCH(CH_CostElements_Anytime!M$52,CostStackCalcs_RES_2[[Labels]:[Labels]],0),MATCH(CH_CostElements_Anytime!$C107,CostStackCalcs_RES_2[[#Headers],[Ausnet]:[Average]],0)),
IF($D$50="Small business",
INDEX(CostStackCalcs_SME_2[[Ausnet]:[Average]],MATCH(CH_CostElements_Anytime!M$52,CostStackCalcs_SME_2[[Labels]:[Labels]],0),MATCH(CH_CostElements_Anytime!$C107,CostStackCalcs_SME_2[[#Headers],[Ausnet]:[Average]],0)),
IF($D$50="All","-")))</f>
        <v>7.7698883867215862</v>
      </c>
      <c r="N107" s="171">
        <f>IF($D$50="Residential",
INDEX(CostStackCalcs_RES_2[[Ausnet]:[Average]],MATCH(CH_CostElements_Anytime!N$52,CostStackCalcs_RES_2[[Labels]:[Labels]],0),MATCH(CH_CostElements_Anytime!$C107,CostStackCalcs_RES_2[[#Headers],[Ausnet]:[Average]],0)),
IF($D$50="Small business",
INDEX(CostStackCalcs_SME_2[[Ausnet]:[Average]],MATCH(CH_CostElements_Anytime!N$52,CostStackCalcs_SME_2[[Labels]:[Labels]],0),MATCH(CH_CostElements_Anytime!$C107,CostStackCalcs_SME_2[[#Headers],[Ausnet]:[Average]],0)),
IF($D$50="All","-")))</f>
        <v>66.697039748922435</v>
      </c>
      <c r="O107" s="171">
        <f>IF($D$50="Residential",
INDEX(CostStackCalcs_RES_2[[Ausnet]:[Average]],MATCH(CH_CostElements_Anytime!O$52,CostStackCalcs_RES_2[[Labels]:[Labels]],0),MATCH(CH_CostElements_Anytime!$C107,CostStackCalcs_RES_2[[#Headers],[Ausnet]:[Average]],0)),
IF($D$50="Small business",
INDEX(CostStackCalcs_SME_2[[Ausnet]:[Average]],MATCH(CH_CostElements_Anytime!O$52,CostStackCalcs_SME_2[[Labels]:[Labels]],0),MATCH(CH_CostElements_Anytime!$C107,CostStackCalcs_SME_2[[#Headers],[Ausnet]:[Average]],0)),
IF($D$50="All","-")))</f>
        <v>117.09526647310821</v>
      </c>
      <c r="Q107" s="256">
        <f t="shared" si="12"/>
        <v>1</v>
      </c>
    </row>
    <row r="108" spans="3:19" x14ac:dyDescent="0.25">
      <c r="C108" t="s">
        <v>271</v>
      </c>
      <c r="D108" s="82" t="str">
        <f>Calc_Rates!$D$254</f>
        <v>VDO 2022 - Final</v>
      </c>
      <c r="E108" s="253">
        <f>IF($D$50="Residential",
INDEX(CostStackCalcs_RES_2[[Ausnet]:[Average]],MATCH(CH_CostElements_Anytime!E$52,CostStackCalcs_RES_2[[Labels]:[Labels]],0),MATCH(CH_CostElements_Anytime!$C108,CostStackCalcs_RES_2[[#Headers],[Ausnet]:[Average]],0)),
IF($D$50="Small business",
INDEX(CostStackCalcs_SME_2[[Ausnet]:[Average]],MATCH(CH_CostElements_Anytime!E$52,CostStackCalcs_SME_2[[Labels]:[Labels]],0),MATCH(CH_CostElements_Anytime!$C108,CostStackCalcs_SME_2[[#Headers],[Ausnet]:[Average]],0)),
IF($D$50="All","-")))</f>
        <v>1358</v>
      </c>
      <c r="F108" s="171">
        <f>IF($D$50="Residential",
INDEX(CostStackCalcs_RES_2[[Ausnet]:[Average]],MATCH(CH_CostElements_Anytime!F$52,CostStackCalcs_RES_2[[Labels]:[Labels]],0),MATCH(CH_CostElements_Anytime!$C108,CostStackCalcs_RES_2[[#Headers],[Ausnet]:[Average]],0)),
IF($D$50="Small business",
INDEX(CostStackCalcs_SME_2[[Ausnet]:[Average]],MATCH(CH_CostElements_Anytime!F$52,CostStackCalcs_SME_2[[Labels]:[Labels]],0),MATCH(CH_CostElements_Anytime!$C108,CostStackCalcs_SME_2[[#Headers],[Ausnet]:[Average]],0)),
IF($D$50="All","-")))</f>
        <v>300.28489709751079</v>
      </c>
      <c r="G108" s="171">
        <f>IF($D$50="Residential",
INDEX(CostStackCalcs_RES_2[[Ausnet]:[Average]],MATCH(CH_CostElements_Anytime!G$52,CostStackCalcs_RES_2[[Labels]:[Labels]],0),MATCH(CH_CostElements_Anytime!$C108,CostStackCalcs_RES_2[[#Headers],[Ausnet]:[Average]],0)),
IF($D$50="Small business",
INDEX(CostStackCalcs_SME_2[[Ausnet]:[Average]],MATCH(CH_CostElements_Anytime!G$52,CostStackCalcs_SME_2[[Labels]:[Labels]],0),MATCH(CH_CostElements_Anytime!$C108,CostStackCalcs_SME_2[[#Headers],[Ausnet]:[Average]],0)),
IF($D$50="All","-")))</f>
        <v>523.97749999999996</v>
      </c>
      <c r="H108" s="171">
        <f>IF($D$50="Residential",
INDEX(CostStackCalcs_RES_2[[Ausnet]:[Average]],MATCH(CH_CostElements_Anytime!H$52,CostStackCalcs_RES_2[[Labels]:[Labels]],0),MATCH(CH_CostElements_Anytime!$C108,CostStackCalcs_RES_2[[#Headers],[Ausnet]:[Average]],0)),
IF($D$50="Small business",
INDEX(CostStackCalcs_SME_2[[Ausnet]:[Average]],MATCH(CH_CostElements_Anytime!H$52,CostStackCalcs_SME_2[[Labels]:[Labels]],0),MATCH(CH_CostElements_Anytime!$C108,CostStackCalcs_SME_2[[#Headers],[Ausnet]:[Average]],0)),
IF($D$50="All","-")))</f>
        <v>14.085074916598433</v>
      </c>
      <c r="I108" s="171">
        <f>IF($D$50="Residential",
INDEX(CostStackCalcs_RES_2[[Ausnet]:[Average]],MATCH(CH_CostElements_Anytime!I$52,CostStackCalcs_RES_2[[Labels]:[Labels]],0),MATCH(CH_CostElements_Anytime!$C108,CostStackCalcs_RES_2[[#Headers],[Ausnet]:[Average]],0)),
IF($D$50="Small business",
INDEX(CostStackCalcs_SME_2[[Ausnet]:[Average]],MATCH(CH_CostElements_Anytime!I$52,CostStackCalcs_SME_2[[Labels]:[Labels]],0),MATCH(CH_CostElements_Anytime!$C108,CostStackCalcs_SME_2[[#Headers],[Ausnet]:[Average]],0)),
IF($D$50="All","-")))</f>
        <v>181.37562065040649</v>
      </c>
      <c r="J108" s="171">
        <f>IF($D$50="Residential",
INDEX(CostStackCalcs_RES_2[[Ausnet]:[Average]],MATCH(CH_CostElements_Anytime!J$52,CostStackCalcs_RES_2[[Labels]:[Labels]],0),MATCH(CH_CostElements_Anytime!$C108,CostStackCalcs_RES_2[[#Headers],[Ausnet]:[Average]],0)),
IF($D$50="Small business",
INDEX(CostStackCalcs_SME_2[[Ausnet]:[Average]],MATCH(CH_CostElements_Anytime!J$52,CostStackCalcs_SME_2[[Labels]:[Labels]],0),MATCH(CH_CostElements_Anytime!$C108,CostStackCalcs_SME_2[[#Headers],[Ausnet]:[Average]],0)),
IF($D$50="All","-")))</f>
        <v>113.36785832784992</v>
      </c>
      <c r="K108" s="173">
        <f>IF($D$50="Residential",
INDEX(CostStackCalcs_RES_2[[Ausnet]:[Average]],MATCH(CH_CostElements_Anytime!K$52,CostStackCalcs_RES_2[[Labels]:[Labels]],0),MATCH(CH_CostElements_Anytime!$C108,CostStackCalcs_RES_2[[#Headers],[Ausnet]:[Average]],0)),
IF($D$50="Small business",
INDEX(CostStackCalcs_SME_2[[Ausnet]:[Average]],MATCH(CH_CostElements_Anytime!K$52,CostStackCalcs_SME_2[[Labels]:[Labels]],0),MATCH(CH_CostElements_Anytime!$C108,CostStackCalcs_SME_2[[#Headers],[Ausnet]:[Average]],0)),
IF($D$50="All","-")))</f>
        <v>13.274747413634611</v>
      </c>
      <c r="L108" s="171">
        <f>IF($D$50="Residential",
INDEX(CostStackCalcs_RES_2[[Ausnet]:[Average]],MATCH(CH_CostElements_Anytime!L$52,CostStackCalcs_RES_2[[Labels]:[Labels]],0),MATCH(CH_CostElements_Anytime!$C108,CostStackCalcs_RES_2[[#Headers],[Ausnet]:[Average]],0)),
IF($D$50="Small business",
INDEX(CostStackCalcs_SME_2[[Ausnet]:[Average]],MATCH(CH_CostElements_Anytime!L$52,CostStackCalcs_SME_2[[Labels]:[Labels]],0),MATCH(CH_CostElements_Anytime!$C108,CostStackCalcs_SME_2[[#Headers],[Ausnet]:[Average]],0)),
IF($D$50="All","-")))</f>
        <v>13.337821545021233</v>
      </c>
      <c r="M108" s="171">
        <f>IF($D$50="Residential",
INDEX(CostStackCalcs_RES_2[[Ausnet]:[Average]],MATCH(CH_CostElements_Anytime!M$52,CostStackCalcs_RES_2[[Labels]:[Labels]],0),MATCH(CH_CostElements_Anytime!$C108,CostStackCalcs_RES_2[[#Headers],[Ausnet]:[Average]],0)),
IF($D$50="Small business",
INDEX(CostStackCalcs_SME_2[[Ausnet]:[Average]],MATCH(CH_CostElements_Anytime!M$52,CostStackCalcs_SME_2[[Labels]:[Labels]],0),MATCH(CH_CostElements_Anytime!$C108,CostStackCalcs_SME_2[[#Headers],[Ausnet]:[Average]],0)),
IF($D$50="All","-")))</f>
        <v>7.8722551950700606</v>
      </c>
      <c r="N108" s="171">
        <f>IF($D$50="Residential",
INDEX(CostStackCalcs_RES_2[[Ausnet]:[Average]],MATCH(CH_CostElements_Anytime!N$52,CostStackCalcs_RES_2[[Labels]:[Labels]],0),MATCH(CH_CostElements_Anytime!$C108,CostStackCalcs_RES_2[[#Headers],[Ausnet]:[Average]],0)),
IF($D$50="Small business",
INDEX(CostStackCalcs_SME_2[[Ausnet]:[Average]],MATCH(CH_CostElements_Anytime!N$52,CostStackCalcs_SME_2[[Labels]:[Labels]],0),MATCH(CH_CostElements_Anytime!$C108,CostStackCalcs_SME_2[[#Headers],[Ausnet]:[Average]],0)),
IF($D$50="All","-")))</f>
        <v>68.869043550077848</v>
      </c>
      <c r="O108" s="171">
        <f>IF($D$50="Residential",
INDEX(CostStackCalcs_RES_2[[Ausnet]:[Average]],MATCH(CH_CostElements_Anytime!O$52,CostStackCalcs_RES_2[[Labels]:[Labels]],0),MATCH(CH_CostElements_Anytime!$C108,CostStackCalcs_RES_2[[#Headers],[Ausnet]:[Average]],0)),
IF($D$50="Small business",
INDEX(CostStackCalcs_SME_2[[Ausnet]:[Average]],MATCH(CH_CostElements_Anytime!O$52,CostStackCalcs_SME_2[[Labels]:[Labels]],0),MATCH(CH_CostElements_Anytime!$C108,CostStackCalcs_SME_2[[#Headers],[Ausnet]:[Average]],0)),
IF($D$50="All","-")))</f>
        <v>120.90849963659362</v>
      </c>
      <c r="Q108" s="256">
        <f t="shared" si="12"/>
        <v>1</v>
      </c>
    </row>
    <row r="109" spans="3:19" x14ac:dyDescent="0.25">
      <c r="C109" t="s">
        <v>272</v>
      </c>
      <c r="D109" s="82" t="str">
        <f>Calc_Rates!$D$254</f>
        <v>VDO 2022 - Final</v>
      </c>
      <c r="E109" s="253">
        <f>IF($D$50="Residential",
INDEX(CostStackCalcs_RES_2[[Ausnet]:[Average]],MATCH(CH_CostElements_Anytime!E$52,CostStackCalcs_RES_2[[Labels]:[Labels]],0),MATCH(CH_CostElements_Anytime!$C109,CostStackCalcs_RES_2[[#Headers],[Ausnet]:[Average]],0)),
IF($D$50="Small business",
INDEX(CostStackCalcs_SME_2[[Ausnet]:[Average]],MATCH(CH_CostElements_Anytime!E$52,CostStackCalcs_SME_2[[Labels]:[Labels]],0),MATCH(CH_CostElements_Anytime!$C109,CostStackCalcs_SME_2[[#Headers],[Ausnet]:[Average]],0)),
IF($D$50="All","-")))</f>
        <v>1266</v>
      </c>
      <c r="F109" s="171">
        <f>IF($D$50="Residential",
INDEX(CostStackCalcs_RES_2[[Ausnet]:[Average]],MATCH(CH_CostElements_Anytime!F$52,CostStackCalcs_RES_2[[Labels]:[Labels]],0),MATCH(CH_CostElements_Anytime!$C109,CostStackCalcs_RES_2[[#Headers],[Ausnet]:[Average]],0)),
IF($D$50="Small business",
INDEX(CostStackCalcs_SME_2[[Ausnet]:[Average]],MATCH(CH_CostElements_Anytime!F$52,CostStackCalcs_SME_2[[Labels]:[Labels]],0),MATCH(CH_CostElements_Anytime!$C109,CostStackCalcs_SME_2[[#Headers],[Ausnet]:[Average]],0)),
IF($D$50="All","-")))</f>
        <v>312.2430037881818</v>
      </c>
      <c r="G109" s="171">
        <f>IF($D$50="Residential",
INDEX(CostStackCalcs_RES_2[[Ausnet]:[Average]],MATCH(CH_CostElements_Anytime!G$52,CostStackCalcs_RES_2[[Labels]:[Labels]],0),MATCH(CH_CostElements_Anytime!$C109,CostStackCalcs_RES_2[[#Headers],[Ausnet]:[Average]],0)),
IF($D$50="Small business",
INDEX(CostStackCalcs_SME_2[[Ausnet]:[Average]],MATCH(CH_CostElements_Anytime!G$52,CostStackCalcs_SME_2[[Labels]:[Labels]],0),MATCH(CH_CostElements_Anytime!$C109,CostStackCalcs_SME_2[[#Headers],[Ausnet]:[Average]],0)),
IF($D$50="All","-")))</f>
        <v>442.52800000000002</v>
      </c>
      <c r="H109" s="171">
        <f>IF($D$50="Residential",
INDEX(CostStackCalcs_RES_2[[Ausnet]:[Average]],MATCH(CH_CostElements_Anytime!H$52,CostStackCalcs_RES_2[[Labels]:[Labels]],0),MATCH(CH_CostElements_Anytime!$C109,CostStackCalcs_RES_2[[#Headers],[Ausnet]:[Average]],0)),
IF($D$50="Small business",
INDEX(CostStackCalcs_SME_2[[Ausnet]:[Average]],MATCH(CH_CostElements_Anytime!H$52,CostStackCalcs_SME_2[[Labels]:[Labels]],0),MATCH(CH_CostElements_Anytime!$C109,CostStackCalcs_SME_2[[#Headers],[Ausnet]:[Average]],0)),
IF($D$50="All","-")))</f>
        <v>6.3579032626155501</v>
      </c>
      <c r="I109" s="171">
        <f>IF($D$50="Residential",
INDEX(CostStackCalcs_RES_2[[Ausnet]:[Average]],MATCH(CH_CostElements_Anytime!I$52,CostStackCalcs_RES_2[[Labels]:[Labels]],0),MATCH(CH_CostElements_Anytime!$C109,CostStackCalcs_RES_2[[#Headers],[Ausnet]:[Average]],0)),
IF($D$50="Small business",
INDEX(CostStackCalcs_SME_2[[Ausnet]:[Average]],MATCH(CH_CostElements_Anytime!I$52,CostStackCalcs_SME_2[[Labels]:[Labels]],0),MATCH(CH_CostElements_Anytime!$C109,CostStackCalcs_SME_2[[#Headers],[Ausnet]:[Average]],0)),
IF($D$50="All","-")))</f>
        <v>181.37562065040649</v>
      </c>
      <c r="J109" s="171">
        <f>IF($D$50="Residential",
INDEX(CostStackCalcs_RES_2[[Ausnet]:[Average]],MATCH(CH_CostElements_Anytime!J$52,CostStackCalcs_RES_2[[Labels]:[Labels]],0),MATCH(CH_CostElements_Anytime!$C109,CostStackCalcs_RES_2[[#Headers],[Ausnet]:[Average]],0)),
IF($D$50="Small business",
INDEX(CostStackCalcs_SME_2[[Ausnet]:[Average]],MATCH(CH_CostElements_Anytime!J$52,CostStackCalcs_SME_2[[Labels]:[Labels]],0),MATCH(CH_CostElements_Anytime!$C109,CostStackCalcs_SME_2[[#Headers],[Ausnet]:[Average]],0)),
IF($D$50="All","-")))</f>
        <v>110.87185848457094</v>
      </c>
      <c r="K109" s="173">
        <f>IF($D$50="Residential",
INDEX(CostStackCalcs_RES_2[[Ausnet]:[Average]],MATCH(CH_CostElements_Anytime!K$52,CostStackCalcs_RES_2[[Labels]:[Labels]],0),MATCH(CH_CostElements_Anytime!$C109,CostStackCalcs_RES_2[[#Headers],[Ausnet]:[Average]],0)),
IF($D$50="Small business",
INDEX(CostStackCalcs_SME_2[[Ausnet]:[Average]],MATCH(CH_CostElements_Anytime!K$52,CostStackCalcs_SME_2[[Labels]:[Labels]],0),MATCH(CH_CostElements_Anytime!$C109,CostStackCalcs_SME_2[[#Headers],[Ausnet]:[Average]],0)),
IF($D$50="All","-")))</f>
        <v>13.04349849250093</v>
      </c>
      <c r="L109" s="171">
        <f>IF($D$50="Residential",
INDEX(CostStackCalcs_RES_2[[Ausnet]:[Average]],MATCH(CH_CostElements_Anytime!L$52,CostStackCalcs_RES_2[[Labels]:[Labels]],0),MATCH(CH_CostElements_Anytime!$C109,CostStackCalcs_RES_2[[#Headers],[Ausnet]:[Average]],0)),
IF($D$50="Small business",
INDEX(CostStackCalcs_SME_2[[Ausnet]:[Average]],MATCH(CH_CostElements_Anytime!L$52,CostStackCalcs_SME_2[[Labels]:[Labels]],0),MATCH(CH_CostElements_Anytime!$C109,CostStackCalcs_SME_2[[#Headers],[Ausnet]:[Average]],0)),
IF($D$50="All","-")))</f>
        <v>13.337821545021233</v>
      </c>
      <c r="M109" s="171">
        <f>IF($D$50="Residential",
INDEX(CostStackCalcs_RES_2[[Ausnet]:[Average]],MATCH(CH_CostElements_Anytime!M$52,CostStackCalcs_RES_2[[Labels]:[Labels]],0),MATCH(CH_CostElements_Anytime!$C109,CostStackCalcs_RES_2[[#Headers],[Ausnet]:[Average]],0)),
IF($D$50="Small business",
INDEX(CostStackCalcs_SME_2[[Ausnet]:[Average]],MATCH(CH_CostElements_Anytime!M$52,CostStackCalcs_SME_2[[Labels]:[Labels]],0),MATCH(CH_CostElements_Anytime!$C109,CostStackCalcs_SME_2[[#Headers],[Ausnet]:[Average]],0)),
IF($D$50="All","-")))</f>
        <v>7.7896392167698121</v>
      </c>
      <c r="N109" s="171">
        <f>IF($D$50="Residential",
INDEX(CostStackCalcs_RES_2[[Ausnet]:[Average]],MATCH(CH_CostElements_Anytime!N$52,CostStackCalcs_RES_2[[Labels]:[Labels]],0),MATCH(CH_CostElements_Anytime!$C109,CostStackCalcs_RES_2[[#Headers],[Ausnet]:[Average]],0)),
IF($D$50="Small business",
INDEX(CostStackCalcs_SME_2[[Ausnet]:[Average]],MATCH(CH_CostElements_Anytime!N$52,CostStackCalcs_SME_2[[Labels]:[Labels]],0),MATCH(CH_CostElements_Anytime!$C109,CostStackCalcs_SME_2[[#Headers],[Ausnet]:[Average]],0)),
IF($D$50="All","-")))</f>
        <v>64.516014998570995</v>
      </c>
      <c r="O109" s="171">
        <f>IF($D$50="Residential",
INDEX(CostStackCalcs_RES_2[[Ausnet]:[Average]],MATCH(CH_CostElements_Anytime!O$52,CostStackCalcs_RES_2[[Labels]:[Labels]],0),MATCH(CH_CostElements_Anytime!$C109,CostStackCalcs_RES_2[[#Headers],[Ausnet]:[Average]],0)),
IF($D$50="Small business",
INDEX(CostStackCalcs_SME_2[[Ausnet]:[Average]],MATCH(CH_CostElements_Anytime!O$52,CostStackCalcs_SME_2[[Labels]:[Labels]],0),MATCH(CH_CostElements_Anytime!$C109,CostStackCalcs_SME_2[[#Headers],[Ausnet]:[Average]],0)),
IF($D$50="All","-")))</f>
        <v>113.26619586835214</v>
      </c>
      <c r="Q109" s="256">
        <f t="shared" si="12"/>
        <v>1</v>
      </c>
      <c r="R109" s="121"/>
      <c r="S109" s="121"/>
    </row>
    <row r="110" spans="3:19" x14ac:dyDescent="0.25">
      <c r="C110" t="s">
        <v>374</v>
      </c>
      <c r="D110" s="82" t="str">
        <f>Calc_Rates!$D$254</f>
        <v>VDO 2022 - Final</v>
      </c>
      <c r="E110" s="253">
        <f>IF($D$50="Residential",
INDEX(CostStackCalcs_RES_2[[Ausnet]:[Average]],MATCH(CH_CostElements_Anytime!E$52,CostStackCalcs_RES_2[[Labels]:[Labels]],0),MATCH(CH_CostElements_Anytime!$C110,CostStackCalcs_RES_2[[#Headers],[Ausnet]:[Average]],0)),
IF($D$50="Small business",
INDEX(CostStackCalcs_SME_2[[Ausnet]:[Average]],MATCH(CH_CostElements_Anytime!E$52,CostStackCalcs_SME_2[[Labels]:[Labels]],0),MATCH(CH_CostElements_Anytime!$C110,CostStackCalcs_SME_2[[#Headers],[Ausnet]:[Average]],0)),
IF($D$50="All","-")))</f>
        <v>1342</v>
      </c>
      <c r="F110" s="171">
        <f>IF($D$50="Residential",
INDEX(CostStackCalcs_RES_2[[Ausnet]:[Average]],MATCH(CH_CostElements_Anytime!F$52,CostStackCalcs_RES_2[[Labels]:[Labels]],0),MATCH(CH_CostElements_Anytime!$C110,CostStackCalcs_RES_2[[#Headers],[Ausnet]:[Average]],0)),
IF($D$50="Small business",
INDEX(CostStackCalcs_SME_2[[Ausnet]:[Average]],MATCH(CH_CostElements_Anytime!F$52,CostStackCalcs_SME_2[[Labels]:[Labels]],0),MATCH(CH_CostElements_Anytime!$C110,CostStackCalcs_SME_2[[#Headers],[Ausnet]:[Average]],0)),
IF($D$50="All","-")))</f>
        <v>303.14242733766685</v>
      </c>
      <c r="G110" s="171">
        <f>IF($D$50="Residential",
INDEX(CostStackCalcs_RES_2[[Ausnet]:[Average]],MATCH(CH_CostElements_Anytime!G$52,CostStackCalcs_RES_2[[Labels]:[Labels]],0),MATCH(CH_CostElements_Anytime!$C110,CostStackCalcs_RES_2[[#Headers],[Ausnet]:[Average]],0)),
IF($D$50="Small business",
INDEX(CostStackCalcs_SME_2[[Ausnet]:[Average]],MATCH(CH_CostElements_Anytime!G$52,CostStackCalcs_SME_2[[Labels]:[Labels]],0),MATCH(CH_CostElements_Anytime!$C110,CostStackCalcs_SME_2[[#Headers],[Ausnet]:[Average]],0)),
IF($D$50="All","-")))</f>
        <v>510.78450000000009</v>
      </c>
      <c r="H110" s="171">
        <f>IF($D$50="Residential",
INDEX(CostStackCalcs_RES_2[[Ausnet]:[Average]],MATCH(CH_CostElements_Anytime!H$52,CostStackCalcs_RES_2[[Labels]:[Labels]],0),MATCH(CH_CostElements_Anytime!$C110,CostStackCalcs_RES_2[[#Headers],[Ausnet]:[Average]],0)),
IF($D$50="Small business",
INDEX(CostStackCalcs_SME_2[[Ausnet]:[Average]],MATCH(CH_CostElements_Anytime!H$52,CostStackCalcs_SME_2[[Labels]:[Labels]],0),MATCH(CH_CostElements_Anytime!$C110,CostStackCalcs_SME_2[[#Headers],[Ausnet]:[Average]],0)),
IF($D$50="All","-")))</f>
        <v>12.530679555985406</v>
      </c>
      <c r="I110" s="171">
        <f>IF($D$50="Residential",
INDEX(CostStackCalcs_RES_2[[Ausnet]:[Average]],MATCH(CH_CostElements_Anytime!I$52,CostStackCalcs_RES_2[[Labels]:[Labels]],0),MATCH(CH_CostElements_Anytime!$C110,CostStackCalcs_RES_2[[#Headers],[Ausnet]:[Average]],0)),
IF($D$50="Small business",
INDEX(CostStackCalcs_SME_2[[Ausnet]:[Average]],MATCH(CH_CostElements_Anytime!I$52,CostStackCalcs_SME_2[[Labels]:[Labels]],0),MATCH(CH_CostElements_Anytime!$C110,CostStackCalcs_SME_2[[#Headers],[Ausnet]:[Average]],0)),
IF($D$50="All","-")))</f>
        <v>181.37562065040649</v>
      </c>
      <c r="J110" s="171">
        <f>IF($D$50="Residential",
INDEX(CostStackCalcs_RES_2[[Ausnet]:[Average]],MATCH(CH_CostElements_Anytime!J$52,CostStackCalcs_RES_2[[Labels]:[Labels]],0),MATCH(CH_CostElements_Anytime!$C110,CostStackCalcs_RES_2[[#Headers],[Ausnet]:[Average]],0)),
IF($D$50="Small business",
INDEX(CostStackCalcs_SME_2[[Ausnet]:[Average]],MATCH(CH_CostElements_Anytime!J$52,CostStackCalcs_SME_2[[Labels]:[Labels]],0),MATCH(CH_CostElements_Anytime!$C110,CostStackCalcs_SME_2[[#Headers],[Ausnet]:[Average]],0)),
IF($D$50="All","-")))</f>
        <v>111.91513786511329</v>
      </c>
      <c r="K110" s="173">
        <f>IF($D$50="Residential",
INDEX(CostStackCalcs_RES_2[[Ausnet]:[Average]],MATCH(CH_CostElements_Anytime!K$52,CostStackCalcs_RES_2[[Labels]:[Labels]],0),MATCH(CH_CostElements_Anytime!$C110,CostStackCalcs_RES_2[[#Headers],[Ausnet]:[Average]],0)),
IF($D$50="Small business",
INDEX(CostStackCalcs_SME_2[[Ausnet]:[Average]],MATCH(CH_CostElements_Anytime!K$52,CostStackCalcs_SME_2[[Labels]:[Labels]],0),MATCH(CH_CostElements_Anytime!$C110,CostStackCalcs_SME_2[[#Headers],[Ausnet]:[Average]],0)),
IF($D$50="All","-")))</f>
        <v>13.079870942258086</v>
      </c>
      <c r="L110" s="171">
        <f>IF($D$50="Residential",
INDEX(CostStackCalcs_RES_2[[Ausnet]:[Average]],MATCH(CH_CostElements_Anytime!L$52,CostStackCalcs_RES_2[[Labels]:[Labels]],0),MATCH(CH_CostElements_Anytime!$C110,CostStackCalcs_RES_2[[#Headers],[Ausnet]:[Average]],0)),
IF($D$50="Small business",
INDEX(CostStackCalcs_SME_2[[Ausnet]:[Average]],MATCH(CH_CostElements_Anytime!L$52,CostStackCalcs_SME_2[[Labels]:[Labels]],0),MATCH(CH_CostElements_Anytime!$C110,CostStackCalcs_SME_2[[#Headers],[Ausnet]:[Average]],0)),
IF($D$50="All","-")))</f>
        <v>13.337821545021233</v>
      </c>
      <c r="M110" s="171">
        <f>IF($D$50="Residential",
INDEX(CostStackCalcs_RES_2[[Ausnet]:[Average]],MATCH(CH_CostElements_Anytime!M$52,CostStackCalcs_RES_2[[Labels]:[Labels]],0),MATCH(CH_CostElements_Anytime!$C110,CostStackCalcs_RES_2[[#Headers],[Ausnet]:[Average]],0)),
IF($D$50="Small business",
INDEX(CostStackCalcs_SME_2[[Ausnet]:[Average]],MATCH(CH_CostElements_Anytime!M$52,CostStackCalcs_SME_2[[Labels]:[Labels]],0),MATCH(CH_CostElements_Anytime!$C110,CostStackCalcs_SME_2[[#Headers],[Ausnet]:[Average]],0)),
IF($D$50="All","-")))</f>
        <v>7.8241710885950742</v>
      </c>
      <c r="N110" s="171">
        <f>IF($D$50="Residential",
INDEX(CostStackCalcs_RES_2[[Ausnet]:[Average]],MATCH(CH_CostElements_Anytime!N$52,CostStackCalcs_RES_2[[Labels]:[Labels]],0),MATCH(CH_CostElements_Anytime!$C110,CostStackCalcs_RES_2[[#Headers],[Ausnet]:[Average]],0)),
IF($D$50="Small business",
INDEX(CostStackCalcs_SME_2[[Ausnet]:[Average]],MATCH(CH_CostElements_Anytime!N$52,CostStackCalcs_SME_2[[Labels]:[Labels]],0),MATCH(CH_CostElements_Anytime!$C110,CostStackCalcs_SME_2[[#Headers],[Ausnet]:[Average]],0)),
IF($D$50="All","-")))</f>
        <v>68.154132580602891</v>
      </c>
      <c r="O110" s="171">
        <f>IF($D$50="Residential",
INDEX(CostStackCalcs_RES_2[[Ausnet]:[Average]],MATCH(CH_CostElements_Anytime!O$52,CostStackCalcs_RES_2[[Labels]:[Labels]],0),MATCH(CH_CostElements_Anytime!$C110,CostStackCalcs_RES_2[[#Headers],[Ausnet]:[Average]],0)),
IF($D$50="Small business",
INDEX(CostStackCalcs_SME_2[[Ausnet]:[Average]],MATCH(CH_CostElements_Anytime!O$52,CostStackCalcs_SME_2[[Labels]:[Labels]],0),MATCH(CH_CostElements_Anytime!$C110,CostStackCalcs_SME_2[[#Headers],[Ausnet]:[Average]],0)),
IF($D$50="All","-")))</f>
        <v>119.65338110674058</v>
      </c>
      <c r="Q110" s="256">
        <f t="shared" si="12"/>
        <v>1</v>
      </c>
    </row>
    <row r="111" spans="3:19" x14ac:dyDescent="0.25">
      <c r="E111" s="252"/>
      <c r="Q111" s="153"/>
    </row>
    <row r="112" spans="3:19" x14ac:dyDescent="0.25">
      <c r="E112" s="252"/>
      <c r="Q112" s="153"/>
    </row>
    <row r="113" spans="3:19" x14ac:dyDescent="0.25">
      <c r="C113" t="s">
        <v>268</v>
      </c>
      <c r="D113" t="s">
        <v>684</v>
      </c>
      <c r="E113" s="254">
        <f>IFERROR(
(E105-E97)/E97,"-")</f>
        <v>-4.2050891639594488E-2</v>
      </c>
      <c r="F113" s="255">
        <f>IFERROR(
(F105-F97)/$E97,"-")</f>
        <v>-6.0143085282766802E-2</v>
      </c>
      <c r="G113" s="255">
        <f t="shared" ref="G113:O113" si="13">IFERROR(
(G105-G97)/$E97,"-")</f>
        <v>0</v>
      </c>
      <c r="H113" s="255">
        <f t="shared" si="13"/>
        <v>7.6531235891026889E-3</v>
      </c>
      <c r="I113" s="255">
        <f t="shared" si="13"/>
        <v>-2.4568143925946781E-4</v>
      </c>
      <c r="J113" s="255">
        <f t="shared" si="13"/>
        <v>9.7424026921388834E-3</v>
      </c>
      <c r="K113" s="255">
        <f t="shared" si="13"/>
        <v>8.4796330335407972E-3</v>
      </c>
      <c r="L113" s="255">
        <f t="shared" si="13"/>
        <v>1.595667086617293E-3</v>
      </c>
      <c r="M113" s="255">
        <f t="shared" si="13"/>
        <v>-8.7195715452818953E-4</v>
      </c>
      <c r="N113" s="255">
        <f t="shared" si="13"/>
        <v>-3.0153283075070154E-3</v>
      </c>
      <c r="O113" s="255">
        <f t="shared" si="13"/>
        <v>-5.2937982405305232E-3</v>
      </c>
      <c r="Q113" s="256">
        <f t="shared" ref="Q113:Q118" si="14">IF(ROUND(E113,8)=ROUND(SUM(F113:O113),8),0,1)</f>
        <v>1</v>
      </c>
      <c r="S113" s="118"/>
    </row>
    <row r="114" spans="3:19" x14ac:dyDescent="0.25">
      <c r="C114" t="s">
        <v>269</v>
      </c>
      <c r="D114" t="s">
        <v>684</v>
      </c>
      <c r="E114" s="254">
        <f t="shared" ref="E114:E118" si="15">IFERROR(
(E106-E98)/E98,"-")</f>
        <v>-4.3212341464912138E-2</v>
      </c>
      <c r="F114" s="255">
        <f t="shared" ref="F114:O118" si="16">IFERROR(
(F106-F98)/$E98,"-")</f>
        <v>-6.6834506454152232E-2</v>
      </c>
      <c r="G114" s="255">
        <f t="shared" si="16"/>
        <v>0</v>
      </c>
      <c r="H114" s="255">
        <f t="shared" si="16"/>
        <v>1.2118686962410396E-2</v>
      </c>
      <c r="I114" s="255">
        <f t="shared" si="16"/>
        <v>-2.8685684568630564E-4</v>
      </c>
      <c r="J114" s="255">
        <f t="shared" si="16"/>
        <v>1.0147049142032336E-2</v>
      </c>
      <c r="K114" s="255">
        <f t="shared" si="16"/>
        <v>9.7296576712004902E-3</v>
      </c>
      <c r="L114" s="255">
        <f t="shared" si="16"/>
        <v>1.8630956763041444E-3</v>
      </c>
      <c r="M114" s="255">
        <f t="shared" si="16"/>
        <v>-1.0606091617749538E-3</v>
      </c>
      <c r="N114" s="255">
        <f t="shared" si="16"/>
        <v>-3.3927783896539479E-3</v>
      </c>
      <c r="O114" s="255">
        <f t="shared" si="16"/>
        <v>-5.9564606032931223E-3</v>
      </c>
      <c r="Q114" s="256">
        <f t="shared" si="14"/>
        <v>1</v>
      </c>
    </row>
    <row r="115" spans="3:19" x14ac:dyDescent="0.25">
      <c r="C115" t="s">
        <v>270</v>
      </c>
      <c r="D115" t="s">
        <v>684</v>
      </c>
      <c r="E115" s="254">
        <f t="shared" si="15"/>
        <v>-5.1877256522044786E-2</v>
      </c>
      <c r="F115" s="255">
        <f t="shared" si="16"/>
        <v>-7.1727948621592069E-2</v>
      </c>
      <c r="G115" s="255">
        <f t="shared" si="16"/>
        <v>0</v>
      </c>
      <c r="H115" s="255">
        <f t="shared" si="16"/>
        <v>1.015722810365708E-2</v>
      </c>
      <c r="I115" s="255">
        <f t="shared" si="16"/>
        <v>-2.7626083445751607E-4</v>
      </c>
      <c r="J115" s="255">
        <f t="shared" si="16"/>
        <v>1.0087388160436764E-2</v>
      </c>
      <c r="K115" s="255">
        <f t="shared" si="16"/>
        <v>9.2723759995801264E-3</v>
      </c>
      <c r="L115" s="255">
        <f t="shared" si="16"/>
        <v>1.7942760437825755E-3</v>
      </c>
      <c r="M115" s="255">
        <f t="shared" si="16"/>
        <v>-1.0120667583369586E-3</v>
      </c>
      <c r="N115" s="255">
        <f t="shared" si="16"/>
        <v>-3.6925305654141177E-3</v>
      </c>
      <c r="O115" s="255">
        <f t="shared" si="16"/>
        <v>-6.482714257558142E-3</v>
      </c>
      <c r="Q115" s="256">
        <f t="shared" si="14"/>
        <v>1</v>
      </c>
    </row>
    <row r="116" spans="3:19" x14ac:dyDescent="0.25">
      <c r="C116" t="s">
        <v>271</v>
      </c>
      <c r="D116" t="s">
        <v>684</v>
      </c>
      <c r="E116" s="254">
        <f t="shared" si="15"/>
        <v>-4.6755800951655345E-2</v>
      </c>
      <c r="F116" s="255">
        <f>IFERROR(
(F108-F100)/$E100,"-")</f>
        <v>-6.7247357459523455E-2</v>
      </c>
      <c r="G116" s="255">
        <f t="shared" si="16"/>
        <v>0</v>
      </c>
      <c r="H116" s="255">
        <f t="shared" si="16"/>
        <v>9.8869778773260711E-3</v>
      </c>
      <c r="I116" s="255">
        <f t="shared" si="16"/>
        <v>-2.6895827376865789E-4</v>
      </c>
      <c r="J116" s="255">
        <f t="shared" si="16"/>
        <v>9.8137391260549947E-3</v>
      </c>
      <c r="K116" s="255">
        <f t="shared" si="16"/>
        <v>9.3181708143440425E-3</v>
      </c>
      <c r="L116" s="255">
        <f t="shared" si="16"/>
        <v>1.7468469185936352E-3</v>
      </c>
      <c r="M116" s="255">
        <f t="shared" si="16"/>
        <v>-9.8237769965201882E-4</v>
      </c>
      <c r="N116" s="255">
        <f t="shared" si="16"/>
        <v>-3.4390616862530429E-3</v>
      </c>
      <c r="O116" s="255">
        <f t="shared" si="16"/>
        <v>-6.0377169074548693E-3</v>
      </c>
      <c r="Q116" s="256">
        <f t="shared" si="14"/>
        <v>1</v>
      </c>
    </row>
    <row r="117" spans="3:19" x14ac:dyDescent="0.25">
      <c r="C117" t="s">
        <v>272</v>
      </c>
      <c r="D117" t="s">
        <v>684</v>
      </c>
      <c r="E117" s="254">
        <f t="shared" si="15"/>
        <v>-6.2231554584354538E-2</v>
      </c>
      <c r="F117" s="255">
        <f t="shared" si="16"/>
        <v>-7.6389947522477061E-2</v>
      </c>
      <c r="G117" s="255">
        <f t="shared" si="16"/>
        <v>0</v>
      </c>
      <c r="H117" s="255">
        <f t="shared" si="16"/>
        <v>4.7095111048073022E-3</v>
      </c>
      <c r="I117" s="255">
        <f t="shared" si="16"/>
        <v>-2.838196219057381E-4</v>
      </c>
      <c r="J117" s="255">
        <f t="shared" si="16"/>
        <v>9.7895938819995334E-3</v>
      </c>
      <c r="K117" s="255">
        <f t="shared" si="16"/>
        <v>9.6617545845923483E-3</v>
      </c>
      <c r="L117" s="255">
        <f t="shared" si="16"/>
        <v>1.843369326458788E-3</v>
      </c>
      <c r="M117" s="255">
        <f t="shared" si="16"/>
        <v>-1.0572725097915809E-3</v>
      </c>
      <c r="N117" s="255">
        <f t="shared" si="16"/>
        <v>-3.9923238173212488E-3</v>
      </c>
      <c r="O117" s="255">
        <f t="shared" si="16"/>
        <v>-7.0090400263037094E-3</v>
      </c>
      <c r="Q117" s="256">
        <f t="shared" si="14"/>
        <v>1</v>
      </c>
    </row>
    <row r="118" spans="3:19" x14ac:dyDescent="0.25">
      <c r="C118" t="s">
        <v>374</v>
      </c>
      <c r="D118" t="s">
        <v>684</v>
      </c>
      <c r="E118" s="254">
        <f t="shared" si="15"/>
        <v>-4.9154160825216175E-2</v>
      </c>
      <c r="F118" s="255">
        <f t="shared" si="16"/>
        <v>-6.8228788228106879E-2</v>
      </c>
      <c r="G118" s="255">
        <f t="shared" si="16"/>
        <v>0</v>
      </c>
      <c r="H118" s="255">
        <f t="shared" si="16"/>
        <v>8.8783491191067442E-3</v>
      </c>
      <c r="I118" s="255">
        <f t="shared" si="16"/>
        <v>-2.7148016354910053E-4</v>
      </c>
      <c r="J118" s="255">
        <f t="shared" si="16"/>
        <v>9.9102259123149978E-3</v>
      </c>
      <c r="K118" s="255">
        <f t="shared" si="16"/>
        <v>9.2674671105732187E-3</v>
      </c>
      <c r="L118" s="255">
        <f t="shared" si="16"/>
        <v>1.763226245134778E-3</v>
      </c>
      <c r="M118" s="255">
        <f t="shared" si="16"/>
        <v>-9.9294494089971356E-4</v>
      </c>
      <c r="N118" s="255">
        <f t="shared" si="16"/>
        <v>-3.492313574976395E-3</v>
      </c>
      <c r="O118" s="255">
        <f t="shared" si="16"/>
        <v>-6.1312074750082468E-3</v>
      </c>
      <c r="Q118" s="256">
        <f t="shared" si="14"/>
        <v>1</v>
      </c>
    </row>
    <row r="119" spans="3:19" x14ac:dyDescent="0.25">
      <c r="Q119" s="153"/>
    </row>
    <row r="120" spans="3:19" x14ac:dyDescent="0.25">
      <c r="C120" t="s">
        <v>268</v>
      </c>
      <c r="D120" t="s">
        <v>682</v>
      </c>
      <c r="E120" s="266">
        <f>IFERROR((E105-E97)/E97,"-")</f>
        <v>-4.2050891639594488E-2</v>
      </c>
      <c r="F120" s="255">
        <f t="shared" ref="F120:O120" si="17">IFERROR((F105-F97)/F97,"-")</f>
        <v>-0.23255219901126159</v>
      </c>
      <c r="G120" s="255">
        <f t="shared" si="17"/>
        <v>0</v>
      </c>
      <c r="H120" s="267" t="str">
        <f t="shared" si="17"/>
        <v>-</v>
      </c>
      <c r="I120" s="255">
        <f t="shared" si="17"/>
        <v>-2.1080703810327835E-3</v>
      </c>
      <c r="J120" s="255">
        <f t="shared" si="17"/>
        <v>0.15345646126707357</v>
      </c>
      <c r="K120" s="267" t="str">
        <f t="shared" si="17"/>
        <v>-</v>
      </c>
      <c r="L120" s="255">
        <f t="shared" si="17"/>
        <v>0.22937749349645117</v>
      </c>
      <c r="M120" s="255">
        <f t="shared" si="17"/>
        <v>-0.14685783901786514</v>
      </c>
      <c r="N120" s="255">
        <f t="shared" si="17"/>
        <v>-5.8231780645835812E-2</v>
      </c>
      <c r="O120" s="255">
        <f t="shared" si="17"/>
        <v>-5.823178064583575E-2</v>
      </c>
    </row>
    <row r="121" spans="3:19" x14ac:dyDescent="0.25">
      <c r="C121" t="s">
        <v>269</v>
      </c>
      <c r="D121" t="s">
        <v>682</v>
      </c>
      <c r="E121" s="266">
        <f t="shared" ref="E121:O121" si="18">IFERROR((E106-E98)/E98,"-")</f>
        <v>-4.3212341464912138E-2</v>
      </c>
      <c r="F121" s="255">
        <f t="shared" si="18"/>
        <v>-0.23831243793941442</v>
      </c>
      <c r="G121" s="255">
        <f t="shared" si="18"/>
        <v>0</v>
      </c>
      <c r="H121" s="267" t="str">
        <f t="shared" si="18"/>
        <v>-</v>
      </c>
      <c r="I121" s="255">
        <f t="shared" si="18"/>
        <v>-2.1080703810327835E-3</v>
      </c>
      <c r="J121" s="255">
        <f t="shared" si="18"/>
        <v>0.1392959096414613</v>
      </c>
      <c r="K121" s="267" t="str">
        <f t="shared" si="18"/>
        <v>-</v>
      </c>
      <c r="L121" s="255">
        <f t="shared" si="18"/>
        <v>0.22937749349645117</v>
      </c>
      <c r="M121" s="255">
        <f t="shared" si="18"/>
        <v>-0.15389054856937515</v>
      </c>
      <c r="N121" s="255">
        <f t="shared" si="18"/>
        <v>-6.5521066636224354E-2</v>
      </c>
      <c r="O121" s="255">
        <f t="shared" si="18"/>
        <v>-6.552106663622434E-2</v>
      </c>
    </row>
    <row r="122" spans="3:19" x14ac:dyDescent="0.25">
      <c r="C122" t="s">
        <v>270</v>
      </c>
      <c r="D122" t="s">
        <v>682</v>
      </c>
      <c r="E122" s="266">
        <f t="shared" ref="E122:O122" si="19">IFERROR((E107-E99)/E99,"-")</f>
        <v>-5.1877256522044786E-2</v>
      </c>
      <c r="F122" s="255">
        <f t="shared" si="19"/>
        <v>-0.2439542739296556</v>
      </c>
      <c r="G122" s="255">
        <f t="shared" si="19"/>
        <v>0</v>
      </c>
      <c r="H122" s="267" t="str">
        <f t="shared" si="19"/>
        <v>-</v>
      </c>
      <c r="I122" s="255">
        <f t="shared" si="19"/>
        <v>-2.1080703810327835E-3</v>
      </c>
      <c r="J122" s="255">
        <f t="shared" si="19"/>
        <v>0.14530610415202783</v>
      </c>
      <c r="K122" s="267" t="str">
        <f t="shared" si="19"/>
        <v>-</v>
      </c>
      <c r="L122" s="255">
        <f t="shared" si="19"/>
        <v>0.22937749349645117</v>
      </c>
      <c r="M122" s="255">
        <f t="shared" si="19"/>
        <v>-0.15301418862146843</v>
      </c>
      <c r="N122" s="255">
        <f t="shared" si="19"/>
        <v>-7.1309856833139784E-2</v>
      </c>
      <c r="O122" s="255">
        <f t="shared" si="19"/>
        <v>-7.1309856833139562E-2</v>
      </c>
    </row>
    <row r="123" spans="3:19" x14ac:dyDescent="0.25">
      <c r="C123" t="s">
        <v>271</v>
      </c>
      <c r="D123" t="s">
        <v>682</v>
      </c>
      <c r="E123" s="266">
        <f t="shared" ref="E123:O123" si="20">IFERROR((E108-E100)/E100,"-")</f>
        <v>-4.6755800951655345E-2</v>
      </c>
      <c r="F123" s="255">
        <f t="shared" si="20"/>
        <v>-0.24186958199685452</v>
      </c>
      <c r="G123" s="255">
        <f t="shared" si="20"/>
        <v>0</v>
      </c>
      <c r="H123" s="267" t="str">
        <f t="shared" si="20"/>
        <v>-</v>
      </c>
      <c r="I123" s="255">
        <f t="shared" si="20"/>
        <v>-2.1080703810327835E-3</v>
      </c>
      <c r="J123" s="255">
        <f t="shared" si="20"/>
        <v>0.14066951891015544</v>
      </c>
      <c r="K123" s="267" t="str">
        <f t="shared" si="20"/>
        <v>-</v>
      </c>
      <c r="L123" s="255">
        <f t="shared" si="20"/>
        <v>0.22937749349645117</v>
      </c>
      <c r="M123" s="255">
        <f t="shared" si="20"/>
        <v>-0.15094264571654509</v>
      </c>
      <c r="N123" s="255">
        <f t="shared" si="20"/>
        <v>-6.6414885982003305E-2</v>
      </c>
      <c r="O123" s="255">
        <f t="shared" si="20"/>
        <v>-6.6414885982003555E-2</v>
      </c>
    </row>
    <row r="124" spans="3:19" x14ac:dyDescent="0.25">
      <c r="C124" t="s">
        <v>272</v>
      </c>
      <c r="D124" t="s">
        <v>682</v>
      </c>
      <c r="E124" s="266">
        <f t="shared" ref="E124:O124" si="21">IFERROR((E109-E101)/E101,"-")</f>
        <v>-6.2231554584354538E-2</v>
      </c>
      <c r="F124" s="255">
        <f t="shared" si="21"/>
        <v>-0.2482782613579976</v>
      </c>
      <c r="G124" s="255">
        <f t="shared" si="21"/>
        <v>0</v>
      </c>
      <c r="H124" s="267" t="str">
        <f t="shared" si="21"/>
        <v>-</v>
      </c>
      <c r="I124" s="255">
        <f t="shared" si="21"/>
        <v>-2.1080703810327835E-3</v>
      </c>
      <c r="J124" s="255">
        <f t="shared" si="21"/>
        <v>0.13533335054992857</v>
      </c>
      <c r="K124" s="267" t="str">
        <f t="shared" si="21"/>
        <v>-</v>
      </c>
      <c r="L124" s="255">
        <f t="shared" si="21"/>
        <v>0.22937749349645117</v>
      </c>
      <c r="M124" s="255">
        <f t="shared" si="21"/>
        <v>-0.15485912286532652</v>
      </c>
      <c r="N124" s="255">
        <f t="shared" si="21"/>
        <v>-7.7099440289341015E-2</v>
      </c>
      <c r="O124" s="255">
        <f t="shared" si="21"/>
        <v>-7.7099440289340807E-2</v>
      </c>
    </row>
    <row r="125" spans="3:19" x14ac:dyDescent="0.25">
      <c r="C125" t="s">
        <v>374</v>
      </c>
      <c r="D125" t="s">
        <v>682</v>
      </c>
      <c r="E125" s="266">
        <f t="shared" ref="E125:O125" si="22">IFERROR((E110-E102)/E102,"-")</f>
        <v>-4.9154160825216175E-2</v>
      </c>
      <c r="F125" s="255">
        <f t="shared" si="22"/>
        <v>-0.24107922273064852</v>
      </c>
      <c r="G125" s="255">
        <f t="shared" si="22"/>
        <v>0</v>
      </c>
      <c r="H125" s="267" t="str">
        <f t="shared" si="22"/>
        <v>-</v>
      </c>
      <c r="I125" s="255">
        <f t="shared" si="22"/>
        <v>-2.1080703810327835E-3</v>
      </c>
      <c r="J125" s="255">
        <f t="shared" si="22"/>
        <v>0.14282974528094095</v>
      </c>
      <c r="K125" s="267" t="str">
        <f t="shared" si="22"/>
        <v>-</v>
      </c>
      <c r="L125" s="255">
        <f t="shared" si="22"/>
        <v>0.22937749349645117</v>
      </c>
      <c r="M125" s="255">
        <f t="shared" si="22"/>
        <v>-0.15190549484393956</v>
      </c>
      <c r="N125" s="255">
        <f t="shared" si="22"/>
        <v>-6.7443282225090495E-2</v>
      </c>
      <c r="O125" s="255">
        <f t="shared" si="22"/>
        <v>-6.7443282225090689E-2</v>
      </c>
    </row>
  </sheetData>
  <sheetProtection algorithmName="SHA-512" hashValue="lDw15U9n5yPw6nEdwWkxryFdercaGgd+/+UpC/D1kOdC5W2xZ/qujvu7BAOaLkvavZSozUPN97uY6INBC3ykkg==" saltValue="sHGZAlyH76SS3QDLI2Wuvw==" spinCount="100000" sheet="1" objects="1" scenarios="1"/>
  <mergeCells count="1">
    <mergeCell ref="A2:A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D823BA2-70E1-432A-82C2-59009DA36C2D}">
          <x14:formula1>
            <xm:f>'Lookup refs'!$G$8:$G$10</xm:f>
          </x14:formula1>
          <xm:sqref>D50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7AEF0-E3B4-430B-9D34-4B8EDDBD05A4}">
  <sheetPr>
    <tabColor rgb="FF4986A0"/>
  </sheetPr>
  <dimension ref="A1:Z133"/>
  <sheetViews>
    <sheetView showGridLines="0" topLeftCell="B1" zoomScale="85" zoomScaleNormal="85" workbookViewId="0">
      <pane ySplit="3" topLeftCell="A4" activePane="bottomLeft" state="frozen"/>
      <selection pane="bottomLeft" activeCell="M12" sqref="M12"/>
    </sheetView>
  </sheetViews>
  <sheetFormatPr defaultColWidth="9.42578125" defaultRowHeight="15" outlineLevelCol="1" x14ac:dyDescent="0.25"/>
  <cols>
    <col min="1" max="1" width="100.5703125" hidden="1" customWidth="1" outlineLevel="1"/>
    <col min="2" max="2" width="10.5703125" style="6" customWidth="1" collapsed="1"/>
    <col min="3" max="3" width="41.42578125" bestFit="1" customWidth="1"/>
    <col min="4" max="26" width="25.5703125" customWidth="1"/>
  </cols>
  <sheetData>
    <row r="1" spans="1:26" ht="15" customHeight="1" x14ac:dyDescent="0.25">
      <c r="A1" s="1" t="s">
        <v>20</v>
      </c>
      <c r="B1" s="21"/>
      <c r="C1" s="22"/>
      <c r="D1" s="22"/>
      <c r="E1" s="22"/>
      <c r="F1" s="22"/>
      <c r="G1" s="22"/>
      <c r="H1" s="22"/>
      <c r="I1" s="22"/>
      <c r="J1" s="22"/>
      <c r="K1" s="22"/>
      <c r="L1" s="22"/>
      <c r="M1" s="22"/>
      <c r="N1" s="22"/>
      <c r="O1" s="22"/>
      <c r="P1" s="22"/>
      <c r="Q1" s="22"/>
      <c r="R1" s="22"/>
      <c r="S1" s="22"/>
      <c r="T1" s="22"/>
      <c r="U1" s="22"/>
      <c r="V1" s="22"/>
      <c r="W1" s="22"/>
      <c r="X1" s="22"/>
      <c r="Y1" s="22"/>
      <c r="Z1" s="22"/>
    </row>
    <row r="2" spans="1:26" s="4" customFormat="1" ht="50.1" customHeight="1" x14ac:dyDescent="0.25">
      <c r="A2" s="382" t="s">
        <v>21</v>
      </c>
      <c r="B2" s="25"/>
      <c r="C2" s="25" t="str">
        <f>Disclaimer!$B$1</f>
        <v>VDO calculation model</v>
      </c>
      <c r="D2" s="25"/>
      <c r="E2" s="25"/>
      <c r="F2" s="25"/>
      <c r="G2" s="25"/>
      <c r="H2" s="25"/>
      <c r="I2" s="25"/>
      <c r="J2" s="25"/>
      <c r="K2" s="25"/>
      <c r="L2" s="25"/>
      <c r="M2" s="25"/>
      <c r="N2" s="25"/>
      <c r="O2" s="25"/>
      <c r="P2" s="25"/>
      <c r="Q2" s="25"/>
      <c r="R2" s="25"/>
      <c r="S2" s="25"/>
      <c r="T2" s="25"/>
      <c r="U2" s="25"/>
      <c r="V2" s="25"/>
      <c r="W2" s="25"/>
      <c r="X2" s="25"/>
      <c r="Y2" s="25"/>
      <c r="Z2" s="25"/>
    </row>
    <row r="3" spans="1:26" s="4" customFormat="1" ht="30" customHeight="1" x14ac:dyDescent="0.25">
      <c r="A3" s="383"/>
      <c r="B3" s="27">
        <f ca="1">_xlfn.SHEET()</f>
        <v>32</v>
      </c>
      <c r="C3" s="26" t="s">
        <v>336</v>
      </c>
      <c r="D3" s="26"/>
      <c r="E3" s="26"/>
      <c r="F3" s="26"/>
      <c r="G3" s="26"/>
      <c r="H3" s="26"/>
      <c r="I3" s="26"/>
      <c r="J3" s="26"/>
      <c r="K3" s="26"/>
      <c r="L3" s="26"/>
      <c r="M3" s="26"/>
      <c r="N3" s="26"/>
      <c r="O3" s="26"/>
      <c r="P3" s="26"/>
      <c r="Q3" s="26"/>
      <c r="R3" s="26"/>
      <c r="S3" s="26"/>
      <c r="T3" s="26"/>
      <c r="U3" s="26"/>
      <c r="V3" s="26"/>
      <c r="W3" s="26"/>
      <c r="X3" s="26"/>
      <c r="Y3" s="26"/>
      <c r="Z3" s="26"/>
    </row>
    <row r="4" spans="1:26" x14ac:dyDescent="0.25">
      <c r="B4"/>
    </row>
    <row r="5" spans="1:26" ht="16.5" thickBot="1" x14ac:dyDescent="0.3">
      <c r="A5" s="1" t="s">
        <v>23</v>
      </c>
      <c r="B5" s="9">
        <f ca="1">MAX(B$3:B4)+0.1</f>
        <v>32.1</v>
      </c>
      <c r="C5" s="28" t="s">
        <v>44</v>
      </c>
      <c r="D5" s="28"/>
      <c r="E5" s="28"/>
      <c r="F5" s="28"/>
      <c r="G5" s="28"/>
      <c r="H5" s="28"/>
      <c r="I5" s="28"/>
      <c r="J5" s="28"/>
      <c r="K5" s="28"/>
      <c r="L5" s="28"/>
      <c r="M5" s="28"/>
      <c r="N5" s="28"/>
      <c r="O5" s="28"/>
      <c r="P5" s="28"/>
      <c r="Q5" s="28"/>
      <c r="R5" s="28"/>
      <c r="S5" s="28"/>
      <c r="T5" s="28"/>
      <c r="U5" s="28"/>
      <c r="V5" s="28"/>
      <c r="W5" s="28"/>
      <c r="X5" s="28"/>
      <c r="Y5" s="28"/>
      <c r="Z5" s="28"/>
    </row>
    <row r="7" spans="1:26" ht="15.75" x14ac:dyDescent="0.25">
      <c r="C7" s="52" t="s">
        <v>102</v>
      </c>
      <c r="E7" s="52" t="s">
        <v>337</v>
      </c>
      <c r="G7" s="52" t="s">
        <v>91</v>
      </c>
      <c r="I7" s="52" t="s">
        <v>338</v>
      </c>
      <c r="K7" s="42" t="s">
        <v>766</v>
      </c>
      <c r="M7" s="42" t="s">
        <v>804</v>
      </c>
    </row>
    <row r="8" spans="1:26" x14ac:dyDescent="0.25">
      <c r="C8" s="51" t="s">
        <v>9</v>
      </c>
      <c r="E8" s="51" t="s">
        <v>282</v>
      </c>
      <c r="G8" s="51" t="s">
        <v>110</v>
      </c>
      <c r="I8" s="51" t="s">
        <v>220</v>
      </c>
      <c r="K8" s="17" t="s">
        <v>639</v>
      </c>
      <c r="M8" s="17" t="s">
        <v>639</v>
      </c>
    </row>
    <row r="9" spans="1:26" x14ac:dyDescent="0.25">
      <c r="C9" s="53" t="s">
        <v>108</v>
      </c>
      <c r="E9" s="51" t="s">
        <v>131</v>
      </c>
      <c r="G9" s="51" t="s">
        <v>92</v>
      </c>
      <c r="I9" s="51" t="s">
        <v>223</v>
      </c>
      <c r="K9" s="17" t="s">
        <v>317</v>
      </c>
      <c r="M9" s="17" t="s">
        <v>317</v>
      </c>
    </row>
    <row r="10" spans="1:26" x14ac:dyDescent="0.25">
      <c r="C10" s="53" t="s">
        <v>130</v>
      </c>
      <c r="E10" s="51" t="s">
        <v>109</v>
      </c>
      <c r="G10" s="53" t="s">
        <v>93</v>
      </c>
      <c r="I10" s="51" t="s">
        <v>224</v>
      </c>
      <c r="K10" s="17" t="s">
        <v>767</v>
      </c>
    </row>
    <row r="11" spans="1:26" x14ac:dyDescent="0.25">
      <c r="E11" s="51" t="s">
        <v>119</v>
      </c>
      <c r="I11" s="51" t="s">
        <v>225</v>
      </c>
    </row>
    <row r="12" spans="1:26" x14ac:dyDescent="0.25">
      <c r="E12" s="51" t="s">
        <v>153</v>
      </c>
      <c r="I12" s="51" t="s">
        <v>226</v>
      </c>
    </row>
    <row r="13" spans="1:26" x14ac:dyDescent="0.25">
      <c r="E13" s="51" t="s">
        <v>222</v>
      </c>
      <c r="I13" s="53" t="s">
        <v>227</v>
      </c>
    </row>
    <row r="14" spans="1:26" x14ac:dyDescent="0.25">
      <c r="E14" s="51" t="s">
        <v>165</v>
      </c>
    </row>
    <row r="15" spans="1:26" x14ac:dyDescent="0.25">
      <c r="E15" s="51" t="s">
        <v>204</v>
      </c>
    </row>
    <row r="16" spans="1:26" x14ac:dyDescent="0.25">
      <c r="E16" s="53" t="s">
        <v>633</v>
      </c>
    </row>
    <row r="17" spans="1:26" x14ac:dyDescent="0.25">
      <c r="E17" s="53" t="s">
        <v>252</v>
      </c>
    </row>
    <row r="18" spans="1:26" x14ac:dyDescent="0.25">
      <c r="E18" s="53" t="s">
        <v>339</v>
      </c>
    </row>
    <row r="19" spans="1:26" x14ac:dyDescent="0.25">
      <c r="E19" s="53" t="s">
        <v>123</v>
      </c>
    </row>
    <row r="20" spans="1:26" x14ac:dyDescent="0.25">
      <c r="E20" s="53" t="s">
        <v>157</v>
      </c>
    </row>
    <row r="23" spans="1:26" ht="16.5" thickBot="1" x14ac:dyDescent="0.3">
      <c r="A23" s="1" t="s">
        <v>23</v>
      </c>
      <c r="B23" s="9">
        <f ca="1">MAX(B$3:B22)+0.1</f>
        <v>32.200000000000003</v>
      </c>
      <c r="C23" s="28" t="s">
        <v>340</v>
      </c>
      <c r="D23" s="28"/>
      <c r="E23" s="28"/>
      <c r="F23" s="28"/>
      <c r="G23" s="28"/>
      <c r="H23" s="28"/>
      <c r="I23" s="28"/>
      <c r="J23" s="28"/>
      <c r="K23" s="28"/>
      <c r="L23" s="28"/>
      <c r="M23" s="28"/>
      <c r="N23" s="28"/>
      <c r="O23" s="28"/>
      <c r="P23" s="28"/>
      <c r="Q23" s="28"/>
      <c r="R23" s="28"/>
      <c r="S23" s="28"/>
      <c r="T23" s="28"/>
      <c r="U23" s="28"/>
      <c r="V23" s="28"/>
      <c r="W23" s="28"/>
      <c r="X23" s="28"/>
      <c r="Y23" s="28"/>
      <c r="Z23" s="28"/>
    </row>
    <row r="25" spans="1:26" ht="15.75" x14ac:dyDescent="0.25">
      <c r="C25" s="42" t="s">
        <v>101</v>
      </c>
      <c r="D25" s="17" t="s">
        <v>257</v>
      </c>
    </row>
    <row r="27" spans="1:26" ht="15.75" x14ac:dyDescent="0.25">
      <c r="C27" s="43" t="s">
        <v>341</v>
      </c>
      <c r="D27" s="60" t="s">
        <v>268</v>
      </c>
      <c r="E27" s="60" t="s">
        <v>269</v>
      </c>
      <c r="F27" s="60" t="s">
        <v>270</v>
      </c>
      <c r="G27" s="60" t="s">
        <v>271</v>
      </c>
      <c r="H27" s="85" t="s">
        <v>272</v>
      </c>
    </row>
    <row r="28" spans="1:26" x14ac:dyDescent="0.25">
      <c r="C28" s="23" t="s">
        <v>408</v>
      </c>
      <c r="D28" s="83">
        <v>1.1643139530913376</v>
      </c>
      <c r="E28" s="83">
        <v>1.1329958380228444</v>
      </c>
      <c r="F28" s="83">
        <v>1.0675154117214745</v>
      </c>
      <c r="G28" s="83">
        <v>1.2918234215844884</v>
      </c>
      <c r="H28" s="84">
        <v>0.98241322761188543</v>
      </c>
    </row>
    <row r="29" spans="1:26" x14ac:dyDescent="0.25">
      <c r="C29" s="23" t="s">
        <v>342</v>
      </c>
      <c r="D29" s="83" t="s">
        <v>9</v>
      </c>
      <c r="E29" s="83" t="s">
        <v>9</v>
      </c>
      <c r="F29" s="83" t="s">
        <v>9</v>
      </c>
      <c r="G29" s="83" t="s">
        <v>9</v>
      </c>
      <c r="H29" s="83" t="s">
        <v>9</v>
      </c>
    </row>
    <row r="30" spans="1:26" x14ac:dyDescent="0.25">
      <c r="C30" s="23" t="s">
        <v>343</v>
      </c>
      <c r="D30" s="83" t="s">
        <v>9</v>
      </c>
      <c r="E30" s="83" t="s">
        <v>9</v>
      </c>
      <c r="F30" s="83" t="s">
        <v>9</v>
      </c>
      <c r="G30" s="83" t="s">
        <v>9</v>
      </c>
      <c r="H30" s="83" t="s">
        <v>9</v>
      </c>
    </row>
    <row r="31" spans="1:26" x14ac:dyDescent="0.25">
      <c r="C31" s="23" t="s">
        <v>344</v>
      </c>
      <c r="D31" s="83">
        <v>0.27028964973702402</v>
      </c>
      <c r="E31" s="83" t="s">
        <v>9</v>
      </c>
      <c r="F31" s="83" t="s">
        <v>9</v>
      </c>
      <c r="G31" s="83" t="s">
        <v>9</v>
      </c>
      <c r="H31" s="84" t="s">
        <v>9</v>
      </c>
    </row>
    <row r="32" spans="1:26" x14ac:dyDescent="0.25">
      <c r="C32" s="23" t="s">
        <v>345</v>
      </c>
      <c r="D32" s="83">
        <v>0.288237662017024</v>
      </c>
      <c r="E32" s="83" t="s">
        <v>9</v>
      </c>
      <c r="F32" s="83" t="s">
        <v>9</v>
      </c>
      <c r="G32" s="83" t="s">
        <v>9</v>
      </c>
      <c r="H32" s="84" t="s">
        <v>9</v>
      </c>
    </row>
    <row r="33" spans="1:26" x14ac:dyDescent="0.25">
      <c r="C33" s="23" t="s">
        <v>346</v>
      </c>
      <c r="D33" s="83" t="s">
        <v>9</v>
      </c>
      <c r="E33" s="83">
        <v>0.21397794983227572</v>
      </c>
      <c r="F33" s="83">
        <v>0.23436276603406417</v>
      </c>
      <c r="G33" s="83">
        <v>0.22402012546340738</v>
      </c>
      <c r="H33" s="84">
        <v>0.23997068438905028</v>
      </c>
    </row>
    <row r="34" spans="1:26" x14ac:dyDescent="0.25">
      <c r="C34" s="23" t="s">
        <v>347</v>
      </c>
      <c r="D34" s="83">
        <v>0.192443777017024</v>
      </c>
      <c r="E34" s="83">
        <v>0.16288787783227573</v>
      </c>
      <c r="F34" s="83">
        <v>0.18189629483406419</v>
      </c>
      <c r="G34" s="83">
        <v>0.17036388546340739</v>
      </c>
      <c r="H34" s="84">
        <v>0.17068414838905027</v>
      </c>
    </row>
    <row r="35" spans="1:26" x14ac:dyDescent="0.25">
      <c r="C35" s="23" t="s">
        <v>409</v>
      </c>
      <c r="D35" s="83">
        <v>1.1643139530913376</v>
      </c>
      <c r="E35" s="83">
        <v>1.3566966599406525</v>
      </c>
      <c r="F35" s="83">
        <v>1.2263781482694198</v>
      </c>
      <c r="G35" s="83">
        <v>1.4196524626803786</v>
      </c>
      <c r="H35" s="84">
        <v>1.0463341396118855</v>
      </c>
    </row>
    <row r="36" spans="1:26" x14ac:dyDescent="0.25">
      <c r="C36" s="23" t="s">
        <v>348</v>
      </c>
      <c r="D36" s="83" t="s">
        <v>9</v>
      </c>
      <c r="E36" s="83" t="s">
        <v>9</v>
      </c>
      <c r="F36" s="83" t="s">
        <v>9</v>
      </c>
      <c r="G36" s="83" t="s">
        <v>9</v>
      </c>
      <c r="H36" s="83" t="s">
        <v>9</v>
      </c>
    </row>
    <row r="37" spans="1:26" x14ac:dyDescent="0.25">
      <c r="C37" s="23" t="s">
        <v>349</v>
      </c>
      <c r="D37" s="83" t="s">
        <v>9</v>
      </c>
      <c r="E37" s="83" t="s">
        <v>9</v>
      </c>
      <c r="F37" s="83" t="s">
        <v>9</v>
      </c>
      <c r="G37" s="83" t="s">
        <v>9</v>
      </c>
      <c r="H37" s="83" t="s">
        <v>9</v>
      </c>
    </row>
    <row r="38" spans="1:26" x14ac:dyDescent="0.25">
      <c r="C38" s="23" t="s">
        <v>350</v>
      </c>
      <c r="D38" s="83">
        <v>0.29545622046732462</v>
      </c>
      <c r="E38" s="83" t="s">
        <v>9</v>
      </c>
      <c r="F38" s="83" t="s">
        <v>9</v>
      </c>
      <c r="G38" s="83" t="s">
        <v>9</v>
      </c>
      <c r="H38" s="84" t="s">
        <v>9</v>
      </c>
    </row>
    <row r="39" spans="1:26" x14ac:dyDescent="0.25">
      <c r="C39" s="23" t="s">
        <v>351</v>
      </c>
      <c r="D39" s="83">
        <v>0.33015431114732463</v>
      </c>
      <c r="E39" s="83" t="s">
        <v>9</v>
      </c>
      <c r="F39" s="83" t="s">
        <v>9</v>
      </c>
      <c r="G39" s="83" t="s">
        <v>9</v>
      </c>
      <c r="H39" s="84" t="s">
        <v>9</v>
      </c>
    </row>
    <row r="40" spans="1:26" x14ac:dyDescent="0.25">
      <c r="C40" s="23" t="s">
        <v>352</v>
      </c>
      <c r="D40" s="83" t="s">
        <v>9</v>
      </c>
      <c r="E40" s="83">
        <v>0.22177428039519706</v>
      </c>
      <c r="F40" s="83">
        <v>0.24047061408215717</v>
      </c>
      <c r="G40" s="83">
        <v>0.22881989228956526</v>
      </c>
      <c r="H40" s="84">
        <v>0.24435686750333541</v>
      </c>
    </row>
    <row r="43" spans="1:26" ht="16.5" thickBot="1" x14ac:dyDescent="0.3">
      <c r="A43" s="1" t="s">
        <v>23</v>
      </c>
      <c r="B43" s="9">
        <f ca="1">MAX(B$3:B42)+0.1</f>
        <v>32.300000000000004</v>
      </c>
      <c r="C43" s="28" t="s">
        <v>674</v>
      </c>
      <c r="D43" s="28"/>
      <c r="E43" s="28"/>
      <c r="F43" s="28"/>
      <c r="G43" s="28"/>
      <c r="H43" s="28"/>
      <c r="I43" s="28"/>
      <c r="J43" s="28"/>
      <c r="K43" s="28"/>
      <c r="L43" s="28"/>
      <c r="M43" s="28"/>
      <c r="N43" s="28"/>
      <c r="O43" s="28"/>
      <c r="P43" s="28"/>
      <c r="Q43" s="28"/>
      <c r="R43" s="28"/>
      <c r="S43" s="28"/>
      <c r="T43" s="28"/>
      <c r="U43" s="28"/>
      <c r="V43" s="28"/>
      <c r="W43" s="28"/>
      <c r="X43" s="28"/>
      <c r="Y43" s="28"/>
      <c r="Z43" s="28"/>
    </row>
    <row r="45" spans="1:26" ht="15.75" x14ac:dyDescent="0.25">
      <c r="C45" s="43" t="s">
        <v>101</v>
      </c>
      <c r="D45" s="43" t="s">
        <v>91</v>
      </c>
      <c r="E45" s="43" t="s">
        <v>45</v>
      </c>
      <c r="F45" s="169" t="s">
        <v>268</v>
      </c>
      <c r="G45" s="169" t="s">
        <v>269</v>
      </c>
      <c r="H45" s="169" t="s">
        <v>270</v>
      </c>
      <c r="I45" s="169" t="s">
        <v>271</v>
      </c>
      <c r="J45" s="169" t="s">
        <v>272</v>
      </c>
      <c r="K45" s="213" t="s">
        <v>374</v>
      </c>
    </row>
    <row r="46" spans="1:26" x14ac:dyDescent="0.25">
      <c r="C46" t="s">
        <v>673</v>
      </c>
      <c r="D46" s="23" t="s">
        <v>92</v>
      </c>
      <c r="E46" s="23" t="s">
        <v>375</v>
      </c>
      <c r="F46" s="244">
        <v>1527.8509585118993</v>
      </c>
      <c r="G46" s="244">
        <v>1333.6293965975781</v>
      </c>
      <c r="H46" s="244">
        <v>1385.2863289060126</v>
      </c>
      <c r="I46" s="244">
        <v>1411.2558006237807</v>
      </c>
      <c r="J46" s="244">
        <v>1380.4973533747207</v>
      </c>
      <c r="K46" s="245">
        <v>1407.7039676027982</v>
      </c>
      <c r="M46" s="121" t="s">
        <v>621</v>
      </c>
      <c r="N46" t="s">
        <v>622</v>
      </c>
    </row>
    <row r="47" spans="1:26" x14ac:dyDescent="0.25">
      <c r="C47" t="s">
        <v>673</v>
      </c>
      <c r="D47" s="23" t="s">
        <v>92</v>
      </c>
      <c r="E47" s="23" t="s">
        <v>128</v>
      </c>
      <c r="F47" s="244">
        <v>442.60601471400008</v>
      </c>
      <c r="G47" s="244">
        <v>431.59282379135993</v>
      </c>
      <c r="H47" s="244">
        <v>452.93898497377774</v>
      </c>
      <c r="I47" s="244">
        <v>433.07596988040001</v>
      </c>
      <c r="J47" s="244">
        <v>459.59114697999991</v>
      </c>
      <c r="K47" s="245">
        <v>443.96098806790752</v>
      </c>
    </row>
    <row r="48" spans="1:26" x14ac:dyDescent="0.25">
      <c r="C48" t="s">
        <v>673</v>
      </c>
      <c r="D48" s="23" t="s">
        <v>92</v>
      </c>
      <c r="E48" s="23" t="s">
        <v>121</v>
      </c>
      <c r="F48" s="244">
        <v>581.69329600000003</v>
      </c>
      <c r="G48" s="244">
        <v>426.6</v>
      </c>
      <c r="H48" s="244">
        <v>449.94799999999998</v>
      </c>
      <c r="I48" s="244">
        <v>491.8</v>
      </c>
      <c r="J48" s="244">
        <v>438.00741333713455</v>
      </c>
      <c r="K48" s="245">
        <v>477.60974186742698</v>
      </c>
    </row>
    <row r="49" spans="3:15" x14ac:dyDescent="0.25">
      <c r="C49" t="s">
        <v>673</v>
      </c>
      <c r="D49" s="23" t="s">
        <v>92</v>
      </c>
      <c r="E49" s="23" t="s">
        <v>106</v>
      </c>
      <c r="F49" s="244">
        <v>172</v>
      </c>
      <c r="G49" s="244">
        <v>172</v>
      </c>
      <c r="H49" s="244">
        <v>172</v>
      </c>
      <c r="I49" s="244">
        <v>172</v>
      </c>
      <c r="J49" s="244">
        <v>172</v>
      </c>
      <c r="K49" s="245">
        <v>172</v>
      </c>
    </row>
    <row r="50" spans="3:15" x14ac:dyDescent="0.25">
      <c r="C50" t="s">
        <v>673</v>
      </c>
      <c r="D50" s="23" t="s">
        <v>92</v>
      </c>
      <c r="E50" s="23" t="s">
        <v>679</v>
      </c>
      <c r="F50" s="244">
        <v>98.570398528509571</v>
      </c>
      <c r="G50" s="244">
        <v>98.184757703722909</v>
      </c>
      <c r="H50" s="244">
        <v>97.79268247929005</v>
      </c>
      <c r="I50" s="244">
        <v>98.05672038494086</v>
      </c>
      <c r="J50" s="244">
        <v>98.928788098814238</v>
      </c>
      <c r="K50" s="245">
        <v>98.306669439055526</v>
      </c>
      <c r="M50" t="s">
        <v>673</v>
      </c>
      <c r="N50" t="s">
        <v>92</v>
      </c>
      <c r="O50" s="121" t="s">
        <v>621</v>
      </c>
    </row>
    <row r="51" spans="3:15" x14ac:dyDescent="0.25">
      <c r="C51" t="s">
        <v>673</v>
      </c>
      <c r="D51" s="23" t="s">
        <v>92</v>
      </c>
      <c r="E51" s="23" t="s">
        <v>675</v>
      </c>
      <c r="F51" s="244">
        <v>6.6485375744689605</v>
      </c>
      <c r="G51" s="244">
        <v>6.6485375744689605</v>
      </c>
      <c r="H51" s="244">
        <v>6.6485375744689605</v>
      </c>
      <c r="I51" s="244">
        <v>6.6485375744689605</v>
      </c>
      <c r="J51" s="244">
        <v>6.6485375744689605</v>
      </c>
      <c r="K51" s="245">
        <v>6.6485375744689605</v>
      </c>
      <c r="M51" t="s">
        <v>672</v>
      </c>
      <c r="N51" t="s">
        <v>92</v>
      </c>
      <c r="O51" s="121" t="s">
        <v>621</v>
      </c>
    </row>
    <row r="52" spans="3:15" x14ac:dyDescent="0.25">
      <c r="C52" t="s">
        <v>673</v>
      </c>
      <c r="D52" s="23" t="s">
        <v>92</v>
      </c>
      <c r="E52" s="23" t="s">
        <v>273</v>
      </c>
      <c r="F52" s="244">
        <v>8.3227724483924597</v>
      </c>
      <c r="G52" s="244">
        <v>8.3069255770466981</v>
      </c>
      <c r="H52" s="244">
        <v>8.2908143013722828</v>
      </c>
      <c r="I52" s="244">
        <v>8.3016642281754596</v>
      </c>
      <c r="J52" s="244">
        <v>8.3374995028100578</v>
      </c>
      <c r="K52" s="245">
        <v>8.3119352115593923</v>
      </c>
      <c r="M52" t="s">
        <v>257</v>
      </c>
      <c r="N52" t="s">
        <v>92</v>
      </c>
      <c r="O52" s="121" t="s">
        <v>621</v>
      </c>
    </row>
    <row r="53" spans="3:15" x14ac:dyDescent="0.25">
      <c r="C53" t="s">
        <v>673</v>
      </c>
      <c r="D53" s="23" t="s">
        <v>92</v>
      </c>
      <c r="E53" s="23" t="s">
        <v>202</v>
      </c>
      <c r="F53" s="244">
        <v>79.114397563628415</v>
      </c>
      <c r="G53" s="244">
        <v>69.057315896654544</v>
      </c>
      <c r="H53" s="244">
        <v>71.732188767466099</v>
      </c>
      <c r="I53" s="244">
        <v>73.076926680906311</v>
      </c>
      <c r="J53" s="244">
        <v>71.484208483790965</v>
      </c>
      <c r="K53" s="245">
        <v>72.893007478489253</v>
      </c>
      <c r="M53" t="s">
        <v>673</v>
      </c>
      <c r="N53" t="s">
        <v>93</v>
      </c>
      <c r="O53" s="121" t="s">
        <v>621</v>
      </c>
    </row>
    <row r="54" spans="3:15" x14ac:dyDescent="0.25">
      <c r="C54" t="s">
        <v>673</v>
      </c>
      <c r="D54" s="23" t="s">
        <v>92</v>
      </c>
      <c r="E54" s="23" t="s">
        <v>277</v>
      </c>
      <c r="F54" s="244">
        <v>138.89554168289996</v>
      </c>
      <c r="G54" s="244">
        <v>121.2390360543253</v>
      </c>
      <c r="H54" s="244">
        <v>125.93512080963751</v>
      </c>
      <c r="I54" s="244">
        <v>128.29598187488918</v>
      </c>
      <c r="J54" s="244">
        <v>125.49975939770189</v>
      </c>
      <c r="K54" s="245">
        <v>127.97308796389075</v>
      </c>
      <c r="M54" t="s">
        <v>672</v>
      </c>
      <c r="N54" t="s">
        <v>93</v>
      </c>
      <c r="O54" s="121" t="s">
        <v>621</v>
      </c>
    </row>
    <row r="55" spans="3:15" x14ac:dyDescent="0.25">
      <c r="C55" t="s">
        <v>672</v>
      </c>
      <c r="D55" s="23" t="s">
        <v>92</v>
      </c>
      <c r="E55" s="23" t="s">
        <v>375</v>
      </c>
      <c r="F55" s="244">
        <v>1645.0868307368989</v>
      </c>
      <c r="G55" s="244">
        <v>1419.6034655693966</v>
      </c>
      <c r="H55" s="244">
        <v>1495.4373770266125</v>
      </c>
      <c r="I55" s="244">
        <v>1516.7903773165822</v>
      </c>
      <c r="J55" s="244">
        <v>1507.7246825417187</v>
      </c>
      <c r="K55" s="245">
        <v>1516.9285466382419</v>
      </c>
      <c r="M55" t="s">
        <v>257</v>
      </c>
      <c r="N55" t="s">
        <v>93</v>
      </c>
      <c r="O55" s="121" t="s">
        <v>621</v>
      </c>
    </row>
    <row r="56" spans="3:15" x14ac:dyDescent="0.25">
      <c r="C56" t="s">
        <v>672</v>
      </c>
      <c r="D56" s="23" t="s">
        <v>92</v>
      </c>
      <c r="E56" s="23" t="s">
        <v>128</v>
      </c>
      <c r="F56" s="244">
        <v>512.16903559111108</v>
      </c>
      <c r="G56" s="244">
        <v>494.81347888639999</v>
      </c>
      <c r="H56" s="244">
        <v>526.88983326719995</v>
      </c>
      <c r="I56" s="244">
        <v>500.20962878879993</v>
      </c>
      <c r="J56" s="244">
        <v>537.39101088680002</v>
      </c>
      <c r="K56" s="245">
        <v>514.29459748406214</v>
      </c>
      <c r="M56" t="s">
        <v>676</v>
      </c>
      <c r="N56" t="s">
        <v>92</v>
      </c>
      <c r="O56" s="121" t="s">
        <v>621</v>
      </c>
    </row>
    <row r="57" spans="3:15" x14ac:dyDescent="0.25">
      <c r="C57" t="s">
        <v>672</v>
      </c>
      <c r="D57" s="23" t="s">
        <v>92</v>
      </c>
      <c r="E57" s="23" t="s">
        <v>121</v>
      </c>
      <c r="F57" s="244">
        <v>623.98</v>
      </c>
      <c r="G57" s="244">
        <v>448.7</v>
      </c>
      <c r="H57" s="244">
        <v>482.02</v>
      </c>
      <c r="I57" s="244">
        <v>526.5</v>
      </c>
      <c r="J57" s="244">
        <v>481.02449999999999</v>
      </c>
      <c r="K57" s="245">
        <v>512.44489999999996</v>
      </c>
      <c r="M57" t="s">
        <v>676</v>
      </c>
      <c r="N57" t="s">
        <v>93</v>
      </c>
      <c r="O57" s="121" t="s">
        <v>621</v>
      </c>
    </row>
    <row r="58" spans="3:15" x14ac:dyDescent="0.25">
      <c r="C58" t="s">
        <v>672</v>
      </c>
      <c r="D58" s="23" t="s">
        <v>92</v>
      </c>
      <c r="E58" s="23" t="s">
        <v>106</v>
      </c>
      <c r="F58" s="244">
        <v>174.40888630791068</v>
      </c>
      <c r="G58" s="244">
        <v>174.40888630791068</v>
      </c>
      <c r="H58" s="244">
        <v>174.40888630791068</v>
      </c>
      <c r="I58" s="244">
        <v>174.40888630791068</v>
      </c>
      <c r="J58" s="244">
        <v>174.40888630791068</v>
      </c>
      <c r="K58" s="245">
        <v>174.40888630791068</v>
      </c>
    </row>
    <row r="59" spans="3:15" x14ac:dyDescent="0.25">
      <c r="C59" t="s">
        <v>672</v>
      </c>
      <c r="D59" s="23" t="s">
        <v>92</v>
      </c>
      <c r="E59" s="23" t="s">
        <v>679</v>
      </c>
      <c r="F59" s="244">
        <v>82.266793890124106</v>
      </c>
      <c r="G59" s="244">
        <v>81.627152672234246</v>
      </c>
      <c r="H59" s="244">
        <v>81.263167308449624</v>
      </c>
      <c r="I59" s="244">
        <v>81.744076458604852</v>
      </c>
      <c r="J59" s="244">
        <v>82.239877912772613</v>
      </c>
      <c r="K59" s="245">
        <v>81.828213648437085</v>
      </c>
      <c r="M59" t="s">
        <v>673</v>
      </c>
      <c r="N59" t="s">
        <v>92</v>
      </c>
      <c r="O59" t="s">
        <v>622</v>
      </c>
    </row>
    <row r="60" spans="3:15" x14ac:dyDescent="0.25">
      <c r="C60" t="s">
        <v>672</v>
      </c>
      <c r="D60" s="23" t="s">
        <v>92</v>
      </c>
      <c r="E60" s="23" t="s">
        <v>675</v>
      </c>
      <c r="F60" s="244">
        <v>8.392848052444899</v>
      </c>
      <c r="G60" s="244">
        <v>8.392848052444899</v>
      </c>
      <c r="H60" s="244">
        <v>8.392848052444899</v>
      </c>
      <c r="I60" s="244">
        <v>8.392848052444899</v>
      </c>
      <c r="J60" s="244">
        <v>8.392848052444899</v>
      </c>
      <c r="K60" s="245">
        <v>8.392848052444899</v>
      </c>
      <c r="M60" t="s">
        <v>672</v>
      </c>
      <c r="N60" t="s">
        <v>92</v>
      </c>
      <c r="O60" t="s">
        <v>622</v>
      </c>
    </row>
    <row r="61" spans="3:15" x14ac:dyDescent="0.25">
      <c r="C61" t="s">
        <v>672</v>
      </c>
      <c r="D61" s="23" t="s">
        <v>92</v>
      </c>
      <c r="E61" s="23" t="s">
        <v>273</v>
      </c>
      <c r="F61" s="244">
        <v>9.1308730577774266</v>
      </c>
      <c r="G61" s="244">
        <v>9.097057942843227</v>
      </c>
      <c r="H61" s="244">
        <v>9.0778155823347095</v>
      </c>
      <c r="I61" s="244">
        <v>9.1032392069082722</v>
      </c>
      <c r="J61" s="244">
        <v>9.12945012435436</v>
      </c>
      <c r="K61" s="245">
        <v>9.1076871828436001</v>
      </c>
      <c r="M61" t="s">
        <v>257</v>
      </c>
      <c r="N61" t="s">
        <v>92</v>
      </c>
      <c r="O61" t="s">
        <v>622</v>
      </c>
    </row>
    <row r="62" spans="3:15" x14ac:dyDescent="0.25">
      <c r="C62" t="s">
        <v>672</v>
      </c>
      <c r="D62" s="23" t="s">
        <v>92</v>
      </c>
      <c r="E62" s="23" t="s">
        <v>202</v>
      </c>
      <c r="F62" s="244">
        <v>85.185045588721835</v>
      </c>
      <c r="G62" s="244">
        <v>73.509181201254719</v>
      </c>
      <c r="H62" s="244">
        <v>77.435974051307738</v>
      </c>
      <c r="I62" s="244">
        <v>78.54166420040599</v>
      </c>
      <c r="J62" s="244">
        <v>78.072229026370678</v>
      </c>
      <c r="K62" s="245">
        <v>78.548818813612186</v>
      </c>
      <c r="M62" t="s">
        <v>673</v>
      </c>
      <c r="N62" t="s">
        <v>93</v>
      </c>
      <c r="O62" t="s">
        <v>622</v>
      </c>
    </row>
    <row r="63" spans="3:15" x14ac:dyDescent="0.25">
      <c r="C63" t="s">
        <v>672</v>
      </c>
      <c r="D63" s="23" t="s">
        <v>92</v>
      </c>
      <c r="E63" s="23" t="s">
        <v>277</v>
      </c>
      <c r="F63" s="244">
        <v>149.55334824880899</v>
      </c>
      <c r="G63" s="244">
        <v>129.05486050630878</v>
      </c>
      <c r="H63" s="244">
        <v>135.94885245696477</v>
      </c>
      <c r="I63" s="244">
        <v>137.89003430150748</v>
      </c>
      <c r="J63" s="244">
        <v>137.06588023106534</v>
      </c>
      <c r="K63" s="245">
        <v>137.90259514893108</v>
      </c>
      <c r="M63" t="s">
        <v>672</v>
      </c>
      <c r="N63" t="s">
        <v>93</v>
      </c>
      <c r="O63" t="s">
        <v>622</v>
      </c>
    </row>
    <row r="64" spans="3:15" x14ac:dyDescent="0.25">
      <c r="C64" t="s">
        <v>257</v>
      </c>
      <c r="D64" s="23" t="s">
        <v>92</v>
      </c>
      <c r="E64" s="23" t="s">
        <v>375</v>
      </c>
      <c r="F64" s="244">
        <v>1506.1331918264343</v>
      </c>
      <c r="G64" s="244">
        <v>1269.4552802074409</v>
      </c>
      <c r="H64" s="244">
        <v>1327.0941894145951</v>
      </c>
      <c r="I64" s="244">
        <v>1367.5960507319678</v>
      </c>
      <c r="J64" s="244">
        <v>1318.4635656345395</v>
      </c>
      <c r="K64" s="245">
        <v>1357.7484555629956</v>
      </c>
      <c r="M64" t="s">
        <v>257</v>
      </c>
      <c r="N64" t="s">
        <v>93</v>
      </c>
      <c r="O64" t="s">
        <v>622</v>
      </c>
    </row>
    <row r="65" spans="3:15" x14ac:dyDescent="0.25">
      <c r="C65" t="s">
        <v>257</v>
      </c>
      <c r="D65" s="23" t="s">
        <v>92</v>
      </c>
      <c r="E65" s="23" t="s">
        <v>128</v>
      </c>
      <c r="F65" s="244">
        <v>403.34196766499997</v>
      </c>
      <c r="G65" s="244">
        <v>374.60133849995998</v>
      </c>
      <c r="H65" s="244">
        <v>407.79431557333345</v>
      </c>
      <c r="I65" s="244">
        <v>396.08606905449994</v>
      </c>
      <c r="J65" s="244">
        <v>415.37045922372005</v>
      </c>
      <c r="K65" s="245">
        <v>399.43883000330271</v>
      </c>
      <c r="M65" t="s">
        <v>676</v>
      </c>
      <c r="N65" t="s">
        <v>92</v>
      </c>
      <c r="O65" t="s">
        <v>622</v>
      </c>
    </row>
    <row r="66" spans="3:15" x14ac:dyDescent="0.25">
      <c r="C66" t="s">
        <v>257</v>
      </c>
      <c r="D66" s="23" t="s">
        <v>92</v>
      </c>
      <c r="E66" s="23" t="s">
        <v>121</v>
      </c>
      <c r="F66" s="244">
        <v>587</v>
      </c>
      <c r="G66" s="244">
        <v>414.59999999999997</v>
      </c>
      <c r="H66" s="244">
        <v>431.87</v>
      </c>
      <c r="I66" s="244">
        <v>475.1</v>
      </c>
      <c r="J66" s="244">
        <v>415.48</v>
      </c>
      <c r="K66" s="245">
        <v>464.80999999999995</v>
      </c>
      <c r="M66" t="s">
        <v>676</v>
      </c>
      <c r="N66" t="s">
        <v>93</v>
      </c>
      <c r="O66" t="s">
        <v>622</v>
      </c>
    </row>
    <row r="67" spans="3:15" x14ac:dyDescent="0.25">
      <c r="C67" t="s">
        <v>257</v>
      </c>
      <c r="D67" s="23" t="s">
        <v>92</v>
      </c>
      <c r="E67" s="23" t="s">
        <v>106</v>
      </c>
      <c r="F67" s="244">
        <v>181.75878095302622</v>
      </c>
      <c r="G67" s="244">
        <v>181.75878095302622</v>
      </c>
      <c r="H67" s="244">
        <v>181.75878095302622</v>
      </c>
      <c r="I67" s="244">
        <v>181.75878095302622</v>
      </c>
      <c r="J67" s="244">
        <v>181.75878095302622</v>
      </c>
      <c r="K67" s="245">
        <v>181.75878095302622</v>
      </c>
    </row>
    <row r="68" spans="3:15" x14ac:dyDescent="0.25">
      <c r="C68" t="s">
        <v>257</v>
      </c>
      <c r="D68" s="23" t="s">
        <v>92</v>
      </c>
      <c r="E68" s="23" t="s">
        <v>679</v>
      </c>
      <c r="F68" s="244">
        <v>99.012279151499143</v>
      </c>
      <c r="G68" s="244">
        <v>97.300862267596088</v>
      </c>
      <c r="H68" s="244">
        <v>96.284429634343809</v>
      </c>
      <c r="I68" s="244">
        <v>99.387119975088353</v>
      </c>
      <c r="J68" s="244">
        <v>97.655775223080738</v>
      </c>
      <c r="K68" s="245">
        <v>97.928093250321638</v>
      </c>
    </row>
    <row r="69" spans="3:15" x14ac:dyDescent="0.25">
      <c r="C69" t="s">
        <v>257</v>
      </c>
      <c r="D69" s="23" t="s">
        <v>92</v>
      </c>
      <c r="E69" s="23" t="s">
        <v>675</v>
      </c>
      <c r="F69" s="244">
        <v>10.849248189087444</v>
      </c>
      <c r="G69" s="244">
        <v>10.849248189087444</v>
      </c>
      <c r="H69" s="244">
        <v>10.849248189087444</v>
      </c>
      <c r="I69" s="244">
        <v>10.849248189087444</v>
      </c>
      <c r="J69" s="244">
        <v>10.849248189087444</v>
      </c>
      <c r="K69" s="245">
        <v>10.849248189087444</v>
      </c>
    </row>
    <row r="70" spans="3:15" x14ac:dyDescent="0.25">
      <c r="C70" t="s">
        <v>257</v>
      </c>
      <c r="D70" s="23" t="s">
        <v>92</v>
      </c>
      <c r="E70" s="23" t="s">
        <v>273</v>
      </c>
      <c r="F70" s="244">
        <v>9.2598973434295004</v>
      </c>
      <c r="G70" s="244">
        <v>9.2057402280494305</v>
      </c>
      <c r="H70" s="244">
        <v>9.1735756164268238</v>
      </c>
      <c r="I70" s="244">
        <v>9.2717590341275518</v>
      </c>
      <c r="J70" s="244">
        <v>9.2169713091850962</v>
      </c>
      <c r="K70" s="245">
        <v>9.2255887062436805</v>
      </c>
    </row>
    <row r="71" spans="3:15" x14ac:dyDescent="0.25">
      <c r="C71" t="s">
        <v>257</v>
      </c>
      <c r="D71" s="23" t="s">
        <v>92</v>
      </c>
      <c r="E71" s="23" t="s">
        <v>202</v>
      </c>
      <c r="F71" s="244">
        <v>77.989819267443366</v>
      </c>
      <c r="G71" s="244">
        <v>65.734284596318233</v>
      </c>
      <c r="H71" s="244">
        <v>68.718913137959561</v>
      </c>
      <c r="I71" s="244">
        <v>70.816159823232098</v>
      </c>
      <c r="J71" s="244">
        <v>68.272006587845226</v>
      </c>
      <c r="K71" s="245">
        <v>70.3062366825597</v>
      </c>
    </row>
    <row r="72" spans="3:15" x14ac:dyDescent="0.25">
      <c r="C72" t="s">
        <v>257</v>
      </c>
      <c r="D72" s="23" t="s">
        <v>92</v>
      </c>
      <c r="E72" s="23" t="s">
        <v>277</v>
      </c>
      <c r="F72" s="244">
        <v>136.9211992569486</v>
      </c>
      <c r="G72" s="244">
        <v>115.40502547340373</v>
      </c>
      <c r="H72" s="244">
        <v>120.64492631041774</v>
      </c>
      <c r="I72" s="244">
        <v>124.32691370290615</v>
      </c>
      <c r="J72" s="244">
        <v>119.86032414859449</v>
      </c>
      <c r="K72" s="245">
        <v>123.43167777845414</v>
      </c>
    </row>
    <row r="73" spans="3:15" x14ac:dyDescent="0.25">
      <c r="C73" t="s">
        <v>673</v>
      </c>
      <c r="D73" s="23" t="s">
        <v>93</v>
      </c>
      <c r="E73" s="23" t="s">
        <v>375</v>
      </c>
      <c r="F73" s="244">
        <v>7440.7041857101312</v>
      </c>
      <c r="G73" s="244">
        <v>5400.9046660759795</v>
      </c>
      <c r="H73" s="244">
        <v>5781.9132070721316</v>
      </c>
      <c r="I73" s="244">
        <v>5285.1373174630971</v>
      </c>
      <c r="J73" s="244">
        <v>5788.2998878791041</v>
      </c>
      <c r="K73" s="245">
        <v>5939.3918528400882</v>
      </c>
    </row>
    <row r="74" spans="3:15" x14ac:dyDescent="0.25">
      <c r="C74" t="s">
        <v>673</v>
      </c>
      <c r="D74" s="23" t="s">
        <v>93</v>
      </c>
      <c r="E74" s="23" t="s">
        <v>128</v>
      </c>
      <c r="F74" s="244">
        <v>2091.0983075440004</v>
      </c>
      <c r="G74" s="244">
        <v>2113.2286426944002</v>
      </c>
      <c r="H74" s="244">
        <v>2108.5377865355554</v>
      </c>
      <c r="I74" s="244">
        <v>2014.6466975250003</v>
      </c>
      <c r="J74" s="244">
        <v>2155.9922000399993</v>
      </c>
      <c r="K74" s="245">
        <v>2096.7007268677908</v>
      </c>
    </row>
    <row r="75" spans="3:15" x14ac:dyDescent="0.25">
      <c r="C75" t="s">
        <v>673</v>
      </c>
      <c r="D75" s="23" t="s">
        <v>93</v>
      </c>
      <c r="E75" s="23" t="s">
        <v>121</v>
      </c>
      <c r="F75" s="244">
        <v>3591.8622399999999</v>
      </c>
      <c r="G75" s="244">
        <v>1823</v>
      </c>
      <c r="H75" s="244">
        <v>2156.3739999999998</v>
      </c>
      <c r="I75" s="244">
        <v>1823</v>
      </c>
      <c r="J75" s="244">
        <v>2108.480994009838</v>
      </c>
      <c r="K75" s="245">
        <v>2300.5434468019675</v>
      </c>
    </row>
    <row r="76" spans="3:15" x14ac:dyDescent="0.25">
      <c r="C76" t="s">
        <v>673</v>
      </c>
      <c r="D76" s="23" t="s">
        <v>93</v>
      </c>
      <c r="E76" s="23" t="s">
        <v>106</v>
      </c>
      <c r="F76" s="244">
        <v>172</v>
      </c>
      <c r="G76" s="244">
        <v>172</v>
      </c>
      <c r="H76" s="244">
        <v>172</v>
      </c>
      <c r="I76" s="244">
        <v>172</v>
      </c>
      <c r="J76" s="244">
        <v>172</v>
      </c>
      <c r="K76" s="245">
        <v>172</v>
      </c>
    </row>
    <row r="77" spans="3:15" x14ac:dyDescent="0.25">
      <c r="C77" t="s">
        <v>673</v>
      </c>
      <c r="D77" s="23" t="s">
        <v>93</v>
      </c>
      <c r="E77" s="23" t="s">
        <v>679</v>
      </c>
      <c r="F77" s="244">
        <v>492.85199264254777</v>
      </c>
      <c r="G77" s="244">
        <v>490.92378851861451</v>
      </c>
      <c r="H77" s="244">
        <v>488.96341239645028</v>
      </c>
      <c r="I77" s="244">
        <v>490.28360192470427</v>
      </c>
      <c r="J77" s="244">
        <v>494.6439404940711</v>
      </c>
      <c r="K77" s="245">
        <v>491.53334719527754</v>
      </c>
    </row>
    <row r="78" spans="3:15" x14ac:dyDescent="0.25">
      <c r="C78" t="s">
        <v>673</v>
      </c>
      <c r="D78" s="23" t="s">
        <v>93</v>
      </c>
      <c r="E78" s="23" t="s">
        <v>675</v>
      </c>
      <c r="F78" s="244">
        <v>6.6485375744689605</v>
      </c>
      <c r="G78" s="244">
        <v>6.6485375744689605</v>
      </c>
      <c r="H78" s="244">
        <v>6.6485375744689605</v>
      </c>
      <c r="I78" s="244">
        <v>6.6485375744689605</v>
      </c>
      <c r="J78" s="244">
        <v>6.6485375744689605</v>
      </c>
      <c r="K78" s="245">
        <v>6.6485375744689605</v>
      </c>
    </row>
    <row r="79" spans="3:15" x14ac:dyDescent="0.25">
      <c r="C79" t="s">
        <v>673</v>
      </c>
      <c r="D79" s="23" t="s">
        <v>93</v>
      </c>
      <c r="E79" s="23" t="s">
        <v>273</v>
      </c>
      <c r="F79" s="244">
        <v>24.52471294414606</v>
      </c>
      <c r="G79" s="244">
        <v>24.445478587417256</v>
      </c>
      <c r="H79" s="244">
        <v>24.364922209045169</v>
      </c>
      <c r="I79" s="244">
        <v>24.419171843061061</v>
      </c>
      <c r="J79" s="244">
        <v>24.598348216234054</v>
      </c>
      <c r="K79" s="245">
        <v>24.470526759980721</v>
      </c>
    </row>
    <row r="80" spans="3:15" x14ac:dyDescent="0.25">
      <c r="C80" t="s">
        <v>673</v>
      </c>
      <c r="D80" s="23" t="s">
        <v>93</v>
      </c>
      <c r="E80" s="23" t="s">
        <v>202</v>
      </c>
      <c r="F80" s="244">
        <v>385.29074175859188</v>
      </c>
      <c r="G80" s="244">
        <v>279.66688542144408</v>
      </c>
      <c r="H80" s="244">
        <v>299.39607498641743</v>
      </c>
      <c r="I80" s="244">
        <v>273.67227973558096</v>
      </c>
      <c r="J80" s="244">
        <v>299.72678682821055</v>
      </c>
      <c r="K80" s="245">
        <v>307.55055374604899</v>
      </c>
    </row>
    <row r="81" spans="3:11" x14ac:dyDescent="0.25">
      <c r="C81" t="s">
        <v>673</v>
      </c>
      <c r="D81" s="23" t="s">
        <v>93</v>
      </c>
      <c r="E81" s="23" t="s">
        <v>277</v>
      </c>
      <c r="F81" s="244">
        <v>676.4276532463756</v>
      </c>
      <c r="G81" s="244">
        <v>490.99133327963455</v>
      </c>
      <c r="H81" s="244">
        <v>525.62847337019377</v>
      </c>
      <c r="I81" s="244">
        <v>480.46702886028152</v>
      </c>
      <c r="J81" s="244">
        <v>526.20908071628219</v>
      </c>
      <c r="K81" s="245">
        <v>539.9447138945535</v>
      </c>
    </row>
    <row r="82" spans="3:11" x14ac:dyDescent="0.25">
      <c r="C82" t="s">
        <v>672</v>
      </c>
      <c r="D82" s="23" t="s">
        <v>93</v>
      </c>
      <c r="E82" s="23" t="s">
        <v>375</v>
      </c>
      <c r="F82" s="244">
        <v>7848.1593170074084</v>
      </c>
      <c r="G82" s="244">
        <v>5821.8302682619278</v>
      </c>
      <c r="H82" s="244">
        <v>6238.5177829380591</v>
      </c>
      <c r="I82" s="244">
        <v>5745.446695964928</v>
      </c>
      <c r="J82" s="244">
        <v>6368.5295238992685</v>
      </c>
      <c r="K82" s="245">
        <v>6404.4967176143191</v>
      </c>
    </row>
    <row r="83" spans="3:11" x14ac:dyDescent="0.25">
      <c r="C83" t="s">
        <v>672</v>
      </c>
      <c r="D83" s="23" t="s">
        <v>93</v>
      </c>
      <c r="E83" s="23" t="s">
        <v>128</v>
      </c>
      <c r="F83" s="244">
        <v>2370.6771519938884</v>
      </c>
      <c r="G83" s="244">
        <v>2414.5142519139999</v>
      </c>
      <c r="H83" s="244">
        <v>2395.0105221119998</v>
      </c>
      <c r="I83" s="244">
        <v>2310.4143705894999</v>
      </c>
      <c r="J83" s="244">
        <v>2468.2175866319999</v>
      </c>
      <c r="K83" s="245">
        <v>2391.7667766482778</v>
      </c>
    </row>
    <row r="84" spans="3:11" x14ac:dyDescent="0.25">
      <c r="C84" t="s">
        <v>672</v>
      </c>
      <c r="D84" s="23" t="s">
        <v>93</v>
      </c>
      <c r="E84" s="23" t="s">
        <v>121</v>
      </c>
      <c r="F84" s="244">
        <v>3736.9608000000003</v>
      </c>
      <c r="G84" s="244">
        <v>1959.3</v>
      </c>
      <c r="H84" s="244">
        <v>2337.9499999999998</v>
      </c>
      <c r="I84" s="244">
        <v>1997.3</v>
      </c>
      <c r="J84" s="244">
        <v>2371.0614999999998</v>
      </c>
      <c r="K84" s="245">
        <v>2480.5144599999999</v>
      </c>
    </row>
    <row r="85" spans="3:11" x14ac:dyDescent="0.25">
      <c r="C85" t="s">
        <v>672</v>
      </c>
      <c r="D85" s="23" t="s">
        <v>93</v>
      </c>
      <c r="E85" s="23" t="s">
        <v>106</v>
      </c>
      <c r="F85" s="244">
        <v>174.40888630791068</v>
      </c>
      <c r="G85" s="244">
        <v>174.40888630791068</v>
      </c>
      <c r="H85" s="244">
        <v>174.40888630791068</v>
      </c>
      <c r="I85" s="244">
        <v>174.40888630791068</v>
      </c>
      <c r="J85" s="244">
        <v>174.40888630791068</v>
      </c>
      <c r="K85" s="245">
        <v>174.40888630791068</v>
      </c>
    </row>
    <row r="86" spans="3:11" x14ac:dyDescent="0.25">
      <c r="C86" t="s">
        <v>672</v>
      </c>
      <c r="D86" s="23" t="s">
        <v>93</v>
      </c>
      <c r="E86" s="23" t="s">
        <v>679</v>
      </c>
      <c r="F86" s="244">
        <v>411.33396945062043</v>
      </c>
      <c r="G86" s="244">
        <v>408.13576336117114</v>
      </c>
      <c r="H86" s="244">
        <v>406.31583654224801</v>
      </c>
      <c r="I86" s="244">
        <v>408.72038229302427</v>
      </c>
      <c r="J86" s="244">
        <v>411.19938956386306</v>
      </c>
      <c r="K86" s="245">
        <v>409.14106824218533</v>
      </c>
    </row>
    <row r="87" spans="3:11" x14ac:dyDescent="0.25">
      <c r="C87" t="s">
        <v>672</v>
      </c>
      <c r="D87" s="23" t="s">
        <v>93</v>
      </c>
      <c r="E87" s="23" t="s">
        <v>675</v>
      </c>
      <c r="F87" s="244">
        <v>8.392848052444899</v>
      </c>
      <c r="G87" s="244">
        <v>8.392848052444899</v>
      </c>
      <c r="H87" s="244">
        <v>8.392848052444899</v>
      </c>
      <c r="I87" s="244">
        <v>8.392848052444899</v>
      </c>
      <c r="J87" s="244">
        <v>8.392848052444899</v>
      </c>
      <c r="K87" s="245">
        <v>8.392848052444899</v>
      </c>
    </row>
    <row r="88" spans="3:11" x14ac:dyDescent="0.25">
      <c r="C88" t="s">
        <v>672</v>
      </c>
      <c r="D88" s="23" t="s">
        <v>93</v>
      </c>
      <c r="E88" s="23" t="s">
        <v>273</v>
      </c>
      <c r="F88" s="244">
        <v>26.527257236019459</v>
      </c>
      <c r="G88" s="244">
        <v>26.358181661348464</v>
      </c>
      <c r="H88" s="244">
        <v>26.261969858805877</v>
      </c>
      <c r="I88" s="244">
        <v>26.38908798167369</v>
      </c>
      <c r="J88" s="244">
        <v>26.520142568904127</v>
      </c>
      <c r="K88" s="245">
        <v>26.411327861350326</v>
      </c>
    </row>
    <row r="89" spans="3:11" x14ac:dyDescent="0.25">
      <c r="C89" t="s">
        <v>672</v>
      </c>
      <c r="D89" s="23" t="s">
        <v>93</v>
      </c>
      <c r="E89" s="23" t="s">
        <v>202</v>
      </c>
      <c r="F89" s="244">
        <v>406.3893751476694</v>
      </c>
      <c r="G89" s="244">
        <v>301.46303985033131</v>
      </c>
      <c r="H89" s="244">
        <v>323.03973979755392</v>
      </c>
      <c r="I89" s="244">
        <v>297.50778474356304</v>
      </c>
      <c r="J89" s="244">
        <v>329.77194132875741</v>
      </c>
      <c r="K89" s="245">
        <v>331.63437617357505</v>
      </c>
    </row>
    <row r="90" spans="3:11" x14ac:dyDescent="0.25">
      <c r="C90" t="s">
        <v>672</v>
      </c>
      <c r="D90" s="23" t="s">
        <v>93</v>
      </c>
      <c r="E90" s="23" t="s">
        <v>277</v>
      </c>
      <c r="F90" s="244">
        <v>713.46902881885535</v>
      </c>
      <c r="G90" s="244">
        <v>529.2572971147207</v>
      </c>
      <c r="H90" s="244">
        <v>567.13798026709628</v>
      </c>
      <c r="I90" s="244">
        <v>522.3133359968117</v>
      </c>
      <c r="J90" s="244">
        <v>578.95722944538807</v>
      </c>
      <c r="K90" s="245">
        <v>582.22697432857444</v>
      </c>
    </row>
    <row r="91" spans="3:11" x14ac:dyDescent="0.25">
      <c r="C91" t="s">
        <v>257</v>
      </c>
      <c r="D91" s="23" t="s">
        <v>93</v>
      </c>
      <c r="E91" s="23" t="s">
        <v>375</v>
      </c>
      <c r="F91" s="244">
        <v>6886.4926058504307</v>
      </c>
      <c r="G91" s="244">
        <v>4930.6798887822788</v>
      </c>
      <c r="H91" s="244">
        <v>5257.0403057614812</v>
      </c>
      <c r="I91" s="244">
        <v>5094.5709946696434</v>
      </c>
      <c r="J91" s="244">
        <v>5269.0493110250463</v>
      </c>
      <c r="K91" s="245">
        <v>5487.5666212177766</v>
      </c>
    </row>
    <row r="92" spans="3:11" x14ac:dyDescent="0.25">
      <c r="C92" t="s">
        <v>257</v>
      </c>
      <c r="D92" s="23" t="s">
        <v>93</v>
      </c>
      <c r="E92" s="23" t="s">
        <v>128</v>
      </c>
      <c r="F92" s="244">
        <v>1763.1806015069999</v>
      </c>
      <c r="G92" s="244">
        <v>1792.6840451783999</v>
      </c>
      <c r="H92" s="244">
        <v>1761.2978912320004</v>
      </c>
      <c r="I92" s="244">
        <v>1722.7280515609996</v>
      </c>
      <c r="J92" s="244">
        <v>1832.0586181632002</v>
      </c>
      <c r="K92" s="245">
        <v>1774.3898415283202</v>
      </c>
    </row>
    <row r="93" spans="3:11" x14ac:dyDescent="0.25">
      <c r="C93" t="s">
        <v>257</v>
      </c>
      <c r="D93" s="23" t="s">
        <v>93</v>
      </c>
      <c r="E93" s="23" t="s">
        <v>121</v>
      </c>
      <c r="F93" s="244">
        <v>3431.2122399999998</v>
      </c>
      <c r="G93" s="244">
        <v>1733.8</v>
      </c>
      <c r="H93" s="244">
        <v>2050.2210000000005</v>
      </c>
      <c r="I93" s="244">
        <v>1933.4999999999998</v>
      </c>
      <c r="J93" s="244">
        <v>1982.6819999999998</v>
      </c>
      <c r="K93" s="245">
        <v>2226.2830479999998</v>
      </c>
    </row>
    <row r="94" spans="3:11" x14ac:dyDescent="0.25">
      <c r="C94" t="s">
        <v>257</v>
      </c>
      <c r="D94" s="23" t="s">
        <v>93</v>
      </c>
      <c r="E94" s="23" t="s">
        <v>106</v>
      </c>
      <c r="F94" s="244">
        <v>181.75878095302622</v>
      </c>
      <c r="G94" s="244">
        <v>181.75878095302622</v>
      </c>
      <c r="H94" s="244">
        <v>181.75878095302622</v>
      </c>
      <c r="I94" s="244">
        <v>181.75878095302622</v>
      </c>
      <c r="J94" s="244">
        <v>181.75878095302622</v>
      </c>
      <c r="K94" s="245">
        <v>181.75878095302622</v>
      </c>
    </row>
    <row r="95" spans="3:11" x14ac:dyDescent="0.25">
      <c r="C95" t="s">
        <v>257</v>
      </c>
      <c r="D95" s="23" t="s">
        <v>93</v>
      </c>
      <c r="E95" s="23" t="s">
        <v>679</v>
      </c>
      <c r="F95" s="244">
        <v>495.06139575749569</v>
      </c>
      <c r="G95" s="244">
        <v>486.50431133798043</v>
      </c>
      <c r="H95" s="244">
        <v>481.42214817171907</v>
      </c>
      <c r="I95" s="244">
        <v>496.93559987544177</v>
      </c>
      <c r="J95" s="244">
        <v>488.2788761154037</v>
      </c>
      <c r="K95" s="245">
        <v>489.64046625160819</v>
      </c>
    </row>
    <row r="96" spans="3:11" x14ac:dyDescent="0.25">
      <c r="C96" t="s">
        <v>257</v>
      </c>
      <c r="D96" s="23" t="s">
        <v>93</v>
      </c>
      <c r="E96" s="23" t="s">
        <v>675</v>
      </c>
      <c r="F96" s="244">
        <v>10.849248189087444</v>
      </c>
      <c r="G96" s="244">
        <v>10.849248189087444</v>
      </c>
      <c r="H96" s="244">
        <v>10.849248189087444</v>
      </c>
      <c r="I96" s="244">
        <v>10.849248189087444</v>
      </c>
      <c r="J96" s="244">
        <v>10.849248189087444</v>
      </c>
      <c r="K96" s="245">
        <v>10.849248189087444</v>
      </c>
    </row>
    <row r="97" spans="3:11" x14ac:dyDescent="0.25">
      <c r="C97" t="s">
        <v>257</v>
      </c>
      <c r="D97" s="23" t="s">
        <v>93</v>
      </c>
      <c r="E97" s="23" t="s">
        <v>273</v>
      </c>
      <c r="F97" s="244">
        <v>21.792716147512866</v>
      </c>
      <c r="G97" s="244">
        <v>21.521930570612515</v>
      </c>
      <c r="H97" s="244">
        <v>21.361107512499487</v>
      </c>
      <c r="I97" s="244">
        <v>21.852024601003123</v>
      </c>
      <c r="J97" s="244">
        <v>21.578085976290847</v>
      </c>
      <c r="K97" s="245">
        <v>21.62117296158377</v>
      </c>
    </row>
    <row r="98" spans="3:11" x14ac:dyDescent="0.25">
      <c r="C98" t="s">
        <v>257</v>
      </c>
      <c r="D98" s="23" t="s">
        <v>93</v>
      </c>
      <c r="E98" s="23" t="s">
        <v>202</v>
      </c>
      <c r="F98" s="244">
        <v>356.59284094626901</v>
      </c>
      <c r="G98" s="244">
        <v>255.31794630023802</v>
      </c>
      <c r="H98" s="244">
        <v>272.21737463392327</v>
      </c>
      <c r="I98" s="244">
        <v>263.80447179284533</v>
      </c>
      <c r="J98" s="244">
        <v>272.8392188075793</v>
      </c>
      <c r="K98" s="245">
        <v>284.154370496171</v>
      </c>
    </row>
    <row r="99" spans="3:11" x14ac:dyDescent="0.25">
      <c r="C99" t="s">
        <v>257</v>
      </c>
      <c r="D99" s="23" t="s">
        <v>93</v>
      </c>
      <c r="E99" s="23" t="s">
        <v>277</v>
      </c>
      <c r="F99" s="244">
        <v>626.04478235003921</v>
      </c>
      <c r="G99" s="244">
        <v>448.24362625293446</v>
      </c>
      <c r="H99" s="244">
        <v>477.91275506922557</v>
      </c>
      <c r="I99" s="244">
        <v>463.14281769724033</v>
      </c>
      <c r="J99" s="244">
        <v>479.00448282045875</v>
      </c>
      <c r="K99" s="245">
        <v>498.8696928379797</v>
      </c>
    </row>
    <row r="100" spans="3:11" x14ac:dyDescent="0.25">
      <c r="C100" t="s">
        <v>676</v>
      </c>
      <c r="D100" s="23" t="s">
        <v>92</v>
      </c>
      <c r="E100" s="23" t="s">
        <v>375</v>
      </c>
      <c r="F100" s="244">
        <v>1559.5818055064342</v>
      </c>
      <c r="G100" s="244">
        <v>1335.7195701674411</v>
      </c>
      <c r="H100" s="244">
        <v>1386.9512244545951</v>
      </c>
      <c r="I100" s="244">
        <v>1424.6087218319676</v>
      </c>
      <c r="J100" s="244">
        <v>1350.013434754539</v>
      </c>
      <c r="K100" s="244">
        <v>1411.3749513429952</v>
      </c>
    </row>
    <row r="101" spans="3:11" x14ac:dyDescent="0.25">
      <c r="C101" t="s">
        <v>676</v>
      </c>
      <c r="D101" s="23" t="s">
        <v>92</v>
      </c>
      <c r="E101" s="23" t="s">
        <v>128</v>
      </c>
      <c r="F101" s="244">
        <v>403.34196766499991</v>
      </c>
      <c r="G101" s="244">
        <v>374.60133849995998</v>
      </c>
      <c r="H101" s="244">
        <v>407.79431557333345</v>
      </c>
      <c r="I101" s="244">
        <v>396.08606905449994</v>
      </c>
      <c r="J101" s="244">
        <v>415.37045922372005</v>
      </c>
      <c r="K101" s="244">
        <v>399.43883000330271</v>
      </c>
    </row>
    <row r="102" spans="3:11" x14ac:dyDescent="0.25">
      <c r="C102" t="s">
        <v>676</v>
      </c>
      <c r="D102" s="23" t="s">
        <v>92</v>
      </c>
      <c r="E102" s="23" t="s">
        <v>121</v>
      </c>
      <c r="F102" s="244">
        <v>632.82200000000012</v>
      </c>
      <c r="G102" s="244">
        <v>471.40899999999999</v>
      </c>
      <c r="H102" s="244">
        <v>483.18600000000004</v>
      </c>
      <c r="I102" s="244">
        <v>523.97749999999996</v>
      </c>
      <c r="J102" s="244">
        <v>442.52800000000002</v>
      </c>
      <c r="K102" s="244">
        <v>510.78450000000009</v>
      </c>
    </row>
    <row r="103" spans="3:11" x14ac:dyDescent="0.25">
      <c r="C103" t="s">
        <v>676</v>
      </c>
      <c r="D103" s="23" t="s">
        <v>92</v>
      </c>
      <c r="E103" s="23" t="s">
        <v>106</v>
      </c>
      <c r="F103" s="244">
        <v>181.75878095302619</v>
      </c>
      <c r="G103" s="244">
        <v>181.75878095302619</v>
      </c>
      <c r="H103" s="244">
        <v>181.75878095302619</v>
      </c>
      <c r="I103" s="244">
        <v>181.75878095302619</v>
      </c>
      <c r="J103" s="244">
        <v>181.75878095302619</v>
      </c>
      <c r="K103" s="244">
        <v>181.75878095302619</v>
      </c>
    </row>
    <row r="104" spans="3:11" x14ac:dyDescent="0.25">
      <c r="C104" t="s">
        <v>676</v>
      </c>
      <c r="D104" s="23" t="s">
        <v>92</v>
      </c>
      <c r="E104" s="23" t="s">
        <v>679</v>
      </c>
      <c r="F104" s="244">
        <v>99.012279151499143</v>
      </c>
      <c r="G104" s="244">
        <v>97.300862267596088</v>
      </c>
      <c r="H104" s="244">
        <v>96.284429634343809</v>
      </c>
      <c r="I104" s="244">
        <v>99.387119975088339</v>
      </c>
      <c r="J104" s="244">
        <v>97.655775223080724</v>
      </c>
      <c r="K104" s="244">
        <v>97.928093250321623</v>
      </c>
    </row>
    <row r="105" spans="3:11" x14ac:dyDescent="0.25">
      <c r="C105" t="s">
        <v>676</v>
      </c>
      <c r="D105" s="23" t="s">
        <v>92</v>
      </c>
      <c r="E105" s="23" t="s">
        <v>675</v>
      </c>
      <c r="F105" s="244">
        <v>10.849248189087444</v>
      </c>
      <c r="G105" s="244">
        <v>10.849248189087444</v>
      </c>
      <c r="H105" s="244">
        <v>10.849248189087444</v>
      </c>
      <c r="I105" s="244">
        <v>10.849248189087444</v>
      </c>
      <c r="J105" s="244">
        <v>10.849248189087444</v>
      </c>
      <c r="K105" s="244">
        <v>10.849248189087444</v>
      </c>
    </row>
    <row r="106" spans="3:11" x14ac:dyDescent="0.25">
      <c r="C106" t="s">
        <v>676</v>
      </c>
      <c r="D106" s="23" t="s">
        <v>92</v>
      </c>
      <c r="E106" s="23" t="s">
        <v>273</v>
      </c>
      <c r="F106" s="244">
        <v>9.2598973434295004</v>
      </c>
      <c r="G106" s="244">
        <v>9.2057402280494305</v>
      </c>
      <c r="H106" s="244">
        <v>9.1735756164268238</v>
      </c>
      <c r="I106" s="244">
        <v>9.2717590341275518</v>
      </c>
      <c r="J106" s="244">
        <v>9.2169713091850962</v>
      </c>
      <c r="K106" s="244">
        <v>9.2255887062436805</v>
      </c>
    </row>
    <row r="107" spans="3:11" x14ac:dyDescent="0.25">
      <c r="C107" t="s">
        <v>676</v>
      </c>
      <c r="D107" s="23" t="s">
        <v>92</v>
      </c>
      <c r="E107" s="23" t="s">
        <v>202</v>
      </c>
      <c r="F107" s="244">
        <v>80.757468067443355</v>
      </c>
      <c r="G107" s="244">
        <v>69.165548196318241</v>
      </c>
      <c r="H107" s="244">
        <v>71.818399537959564</v>
      </c>
      <c r="I107" s="244">
        <v>73.768360823232086</v>
      </c>
      <c r="J107" s="244">
        <v>69.905705787845207</v>
      </c>
      <c r="K107" s="244">
        <v>73.083096482559682</v>
      </c>
    </row>
    <row r="108" spans="3:11" x14ac:dyDescent="0.25">
      <c r="C108" t="s">
        <v>676</v>
      </c>
      <c r="D108" s="23" t="s">
        <v>92</v>
      </c>
      <c r="E108" s="23" t="s">
        <v>277</v>
      </c>
      <c r="F108" s="244">
        <v>141.78016413694857</v>
      </c>
      <c r="G108" s="244">
        <v>121.42905183340375</v>
      </c>
      <c r="H108" s="244">
        <v>126.08647495041774</v>
      </c>
      <c r="I108" s="244">
        <v>129.50988380290616</v>
      </c>
      <c r="J108" s="244">
        <v>122.72849406859446</v>
      </c>
      <c r="K108" s="244">
        <v>128.30681375845415</v>
      </c>
    </row>
    <row r="109" spans="3:11" x14ac:dyDescent="0.25">
      <c r="C109" t="s">
        <v>676</v>
      </c>
      <c r="D109" s="23" t="s">
        <v>93</v>
      </c>
      <c r="E109" s="23" t="s">
        <v>375</v>
      </c>
      <c r="F109" s="244">
        <v>7219.6643560936291</v>
      </c>
      <c r="G109" s="244">
        <v>5079.5362958222786</v>
      </c>
      <c r="H109" s="244">
        <v>5645.5056511614821</v>
      </c>
      <c r="I109" s="244">
        <v>5284.0959155296432</v>
      </c>
      <c r="J109" s="244">
        <v>5197.0216410250468</v>
      </c>
      <c r="K109" s="244">
        <v>5685.1647719264165</v>
      </c>
    </row>
    <row r="110" spans="3:11" x14ac:dyDescent="0.25">
      <c r="C110" t="s">
        <v>676</v>
      </c>
      <c r="D110" s="23" t="s">
        <v>93</v>
      </c>
      <c r="E110" s="23" t="s">
        <v>128</v>
      </c>
      <c r="F110" s="244">
        <v>1763.1806015069999</v>
      </c>
      <c r="G110" s="244">
        <v>1792.6840451783999</v>
      </c>
      <c r="H110" s="244">
        <v>1761.2978912320004</v>
      </c>
      <c r="I110" s="244">
        <v>1722.7280515609996</v>
      </c>
      <c r="J110" s="244">
        <v>1832.0586181632002</v>
      </c>
      <c r="K110" s="244">
        <v>1774.3898415283202</v>
      </c>
    </row>
    <row r="111" spans="3:11" x14ac:dyDescent="0.25">
      <c r="C111" t="s">
        <v>676</v>
      </c>
      <c r="D111" s="23" t="s">
        <v>93</v>
      </c>
      <c r="E111" s="23" t="s">
        <v>121</v>
      </c>
      <c r="F111" s="244">
        <v>3716.8435199999994</v>
      </c>
      <c r="G111" s="244">
        <v>1861.4160000000002</v>
      </c>
      <c r="H111" s="244">
        <v>2383.2560000000003</v>
      </c>
      <c r="I111" s="244">
        <v>2095.9814999999999</v>
      </c>
      <c r="J111" s="244">
        <v>1920.9319999999998</v>
      </c>
      <c r="K111" s="244">
        <v>2395.6858039999997</v>
      </c>
    </row>
    <row r="112" spans="3:11" x14ac:dyDescent="0.25">
      <c r="C112" t="s">
        <v>676</v>
      </c>
      <c r="D112" s="23" t="s">
        <v>93</v>
      </c>
      <c r="E112" s="23" t="s">
        <v>106</v>
      </c>
      <c r="F112" s="244">
        <v>181.75878095302619</v>
      </c>
      <c r="G112" s="244">
        <v>181.75878095302619</v>
      </c>
      <c r="H112" s="244">
        <v>181.75878095302619</v>
      </c>
      <c r="I112" s="244">
        <v>181.75878095302619</v>
      </c>
      <c r="J112" s="244">
        <v>181.75878095302619</v>
      </c>
      <c r="K112" s="244">
        <v>181.75878095302619</v>
      </c>
    </row>
    <row r="113" spans="3:11" x14ac:dyDescent="0.25">
      <c r="C113" t="s">
        <v>676</v>
      </c>
      <c r="D113" s="23" t="s">
        <v>93</v>
      </c>
      <c r="E113" s="23" t="s">
        <v>679</v>
      </c>
      <c r="F113" s="244">
        <v>495.06139575749569</v>
      </c>
      <c r="G113" s="244">
        <v>486.50431133798043</v>
      </c>
      <c r="H113" s="244">
        <v>481.42214817171907</v>
      </c>
      <c r="I113" s="244">
        <v>496.93559987544171</v>
      </c>
      <c r="J113" s="244">
        <v>488.2788761154037</v>
      </c>
      <c r="K113" s="244">
        <v>489.64046625160819</v>
      </c>
    </row>
    <row r="114" spans="3:11" x14ac:dyDescent="0.25">
      <c r="C114" t="s">
        <v>676</v>
      </c>
      <c r="D114" s="23" t="s">
        <v>93</v>
      </c>
      <c r="E114" s="23" t="s">
        <v>675</v>
      </c>
      <c r="F114" s="244">
        <v>10.849248189087444</v>
      </c>
      <c r="G114" s="244">
        <v>10.849248189087444</v>
      </c>
      <c r="H114" s="244">
        <v>10.849248189087444</v>
      </c>
      <c r="I114" s="244">
        <v>10.849248189087444</v>
      </c>
      <c r="J114" s="244">
        <v>10.849248189087444</v>
      </c>
      <c r="K114" s="244">
        <v>10.849248189087444</v>
      </c>
    </row>
    <row r="115" spans="3:11" x14ac:dyDescent="0.25">
      <c r="C115" t="s">
        <v>676</v>
      </c>
      <c r="D115" s="23" t="s">
        <v>93</v>
      </c>
      <c r="E115" s="23" t="s">
        <v>273</v>
      </c>
      <c r="F115" s="244">
        <v>21.79271614751287</v>
      </c>
      <c r="G115" s="244">
        <v>21.521930570612515</v>
      </c>
      <c r="H115" s="244">
        <v>21.361107512499487</v>
      </c>
      <c r="I115" s="244">
        <v>21.852024601003126</v>
      </c>
      <c r="J115" s="244">
        <v>21.578085976290847</v>
      </c>
      <c r="K115" s="244">
        <v>21.62117296158377</v>
      </c>
    </row>
    <row r="116" spans="3:11" x14ac:dyDescent="0.25">
      <c r="C116" t="s">
        <v>676</v>
      </c>
      <c r="D116" s="23" t="s">
        <v>93</v>
      </c>
      <c r="E116" s="23" t="s">
        <v>202</v>
      </c>
      <c r="F116" s="244">
        <v>373.84497025826892</v>
      </c>
      <c r="G116" s="244">
        <v>263.02595270023801</v>
      </c>
      <c r="H116" s="244">
        <v>292.33268863392328</v>
      </c>
      <c r="I116" s="244">
        <v>273.61835439284528</v>
      </c>
      <c r="J116" s="244">
        <v>269.10951880757932</v>
      </c>
      <c r="K116" s="244">
        <v>294.38629695857099</v>
      </c>
    </row>
    <row r="117" spans="3:11" x14ac:dyDescent="0.25">
      <c r="C117" t="s">
        <v>676</v>
      </c>
      <c r="D117" s="23" t="s">
        <v>93</v>
      </c>
      <c r="E117" s="23" t="s">
        <v>277</v>
      </c>
      <c r="F117" s="244">
        <v>656.33312328123907</v>
      </c>
      <c r="G117" s="244">
        <v>461.77602689293445</v>
      </c>
      <c r="H117" s="244">
        <v>513.22778646922563</v>
      </c>
      <c r="I117" s="244">
        <v>480.37235595724036</v>
      </c>
      <c r="J117" s="244">
        <v>472.45651282045884</v>
      </c>
      <c r="K117" s="244">
        <v>516.83316108421968</v>
      </c>
    </row>
    <row r="118" spans="3:11" x14ac:dyDescent="0.25">
      <c r="C118" t="s">
        <v>673</v>
      </c>
      <c r="D118" s="23" t="s">
        <v>92</v>
      </c>
      <c r="E118" s="23" t="s">
        <v>621</v>
      </c>
      <c r="F118" s="244">
        <v>0</v>
      </c>
      <c r="G118" s="244">
        <v>0</v>
      </c>
      <c r="H118" s="244">
        <v>0</v>
      </c>
      <c r="I118" s="244">
        <v>0</v>
      </c>
      <c r="J118" s="244">
        <v>0</v>
      </c>
      <c r="K118" s="244">
        <v>0</v>
      </c>
    </row>
    <row r="119" spans="3:11" x14ac:dyDescent="0.25">
      <c r="C119" t="s">
        <v>672</v>
      </c>
      <c r="D119" s="23" t="s">
        <v>92</v>
      </c>
      <c r="E119" s="23" t="s">
        <v>621</v>
      </c>
      <c r="F119" s="244">
        <v>0</v>
      </c>
      <c r="G119" s="244">
        <v>0</v>
      </c>
      <c r="H119" s="244">
        <v>0</v>
      </c>
      <c r="I119" s="244">
        <v>0</v>
      </c>
      <c r="J119" s="244">
        <v>0</v>
      </c>
      <c r="K119" s="244">
        <v>0</v>
      </c>
    </row>
    <row r="120" spans="3:11" x14ac:dyDescent="0.25">
      <c r="C120" t="s">
        <v>257</v>
      </c>
      <c r="D120" s="23" t="s">
        <v>92</v>
      </c>
      <c r="E120" s="23" t="s">
        <v>621</v>
      </c>
      <c r="F120" s="244">
        <v>0</v>
      </c>
      <c r="G120" s="244">
        <v>0</v>
      </c>
      <c r="H120" s="244">
        <v>0</v>
      </c>
      <c r="I120" s="244">
        <v>0</v>
      </c>
      <c r="J120" s="244">
        <v>0</v>
      </c>
      <c r="K120" s="244">
        <v>0</v>
      </c>
    </row>
    <row r="121" spans="3:11" x14ac:dyDescent="0.25">
      <c r="C121" t="s">
        <v>673</v>
      </c>
      <c r="D121" s="23" t="s">
        <v>93</v>
      </c>
      <c r="E121" s="23" t="s">
        <v>621</v>
      </c>
      <c r="F121" s="244">
        <v>0</v>
      </c>
      <c r="G121" s="244">
        <v>0</v>
      </c>
      <c r="H121" s="244">
        <v>0</v>
      </c>
      <c r="I121" s="244">
        <v>0</v>
      </c>
      <c r="J121" s="244">
        <v>0</v>
      </c>
      <c r="K121" s="244">
        <v>0</v>
      </c>
    </row>
    <row r="122" spans="3:11" x14ac:dyDescent="0.25">
      <c r="C122" t="s">
        <v>672</v>
      </c>
      <c r="D122" s="23" t="s">
        <v>93</v>
      </c>
      <c r="E122" s="23" t="s">
        <v>621</v>
      </c>
      <c r="F122" s="244">
        <v>0</v>
      </c>
      <c r="G122" s="244">
        <v>0</v>
      </c>
      <c r="H122" s="244">
        <v>0</v>
      </c>
      <c r="I122" s="244">
        <v>0</v>
      </c>
      <c r="J122" s="244">
        <v>0</v>
      </c>
      <c r="K122" s="244">
        <v>0</v>
      </c>
    </row>
    <row r="123" spans="3:11" x14ac:dyDescent="0.25">
      <c r="C123" t="s">
        <v>257</v>
      </c>
      <c r="D123" s="23" t="s">
        <v>93</v>
      </c>
      <c r="E123" s="23" t="s">
        <v>621</v>
      </c>
      <c r="F123" s="244">
        <v>0</v>
      </c>
      <c r="G123" s="244">
        <v>0</v>
      </c>
      <c r="H123" s="244">
        <v>0</v>
      </c>
      <c r="I123" s="244">
        <v>0</v>
      </c>
      <c r="J123" s="244">
        <v>0</v>
      </c>
      <c r="K123" s="244">
        <v>0</v>
      </c>
    </row>
    <row r="124" spans="3:11" x14ac:dyDescent="0.25">
      <c r="C124" t="s">
        <v>676</v>
      </c>
      <c r="D124" s="23" t="s">
        <v>92</v>
      </c>
      <c r="E124" s="23" t="s">
        <v>621</v>
      </c>
      <c r="F124" s="244">
        <v>0</v>
      </c>
      <c r="G124" s="244">
        <v>0</v>
      </c>
      <c r="H124" s="244">
        <v>0</v>
      </c>
      <c r="I124" s="244">
        <v>0</v>
      </c>
      <c r="J124" s="244">
        <v>0</v>
      </c>
      <c r="K124" s="244">
        <v>0</v>
      </c>
    </row>
    <row r="125" spans="3:11" x14ac:dyDescent="0.25">
      <c r="C125" t="s">
        <v>676</v>
      </c>
      <c r="D125" s="23" t="s">
        <v>93</v>
      </c>
      <c r="E125" s="23" t="s">
        <v>621</v>
      </c>
      <c r="F125" s="244">
        <v>0</v>
      </c>
      <c r="G125" s="244">
        <v>0</v>
      </c>
      <c r="H125" s="244">
        <v>0</v>
      </c>
      <c r="I125" s="244">
        <v>0</v>
      </c>
      <c r="J125" s="244">
        <v>0</v>
      </c>
      <c r="K125" s="244">
        <v>0</v>
      </c>
    </row>
    <row r="126" spans="3:11" x14ac:dyDescent="0.25">
      <c r="C126" t="s">
        <v>673</v>
      </c>
      <c r="D126" s="23" t="s">
        <v>92</v>
      </c>
      <c r="E126" s="23" t="s">
        <v>622</v>
      </c>
      <c r="F126" s="244">
        <v>0</v>
      </c>
      <c r="G126" s="244">
        <v>0</v>
      </c>
      <c r="H126" s="244">
        <v>0</v>
      </c>
      <c r="I126" s="244">
        <v>0</v>
      </c>
      <c r="J126" s="244">
        <v>0</v>
      </c>
      <c r="K126" s="244">
        <v>0</v>
      </c>
    </row>
    <row r="127" spans="3:11" x14ac:dyDescent="0.25">
      <c r="C127" t="s">
        <v>672</v>
      </c>
      <c r="D127" s="23" t="s">
        <v>92</v>
      </c>
      <c r="E127" s="23" t="s">
        <v>622</v>
      </c>
      <c r="F127" s="244">
        <v>0</v>
      </c>
      <c r="G127" s="244">
        <v>0</v>
      </c>
      <c r="H127" s="244">
        <v>0</v>
      </c>
      <c r="I127" s="244">
        <v>0</v>
      </c>
      <c r="J127" s="244">
        <v>0</v>
      </c>
      <c r="K127" s="244">
        <v>0</v>
      </c>
    </row>
    <row r="128" spans="3:11" x14ac:dyDescent="0.25">
      <c r="C128" t="s">
        <v>257</v>
      </c>
      <c r="D128" s="23" t="s">
        <v>92</v>
      </c>
      <c r="E128" s="23" t="s">
        <v>622</v>
      </c>
      <c r="F128" s="244">
        <v>0</v>
      </c>
      <c r="G128" s="244">
        <v>0</v>
      </c>
      <c r="H128" s="244">
        <v>0</v>
      </c>
      <c r="I128" s="244">
        <v>0</v>
      </c>
      <c r="J128" s="244">
        <v>0</v>
      </c>
      <c r="K128" s="244">
        <v>0</v>
      </c>
    </row>
    <row r="129" spans="3:11" x14ac:dyDescent="0.25">
      <c r="C129" t="s">
        <v>673</v>
      </c>
      <c r="D129" s="23" t="s">
        <v>93</v>
      </c>
      <c r="E129" s="23" t="s">
        <v>622</v>
      </c>
      <c r="F129" s="244">
        <v>0</v>
      </c>
      <c r="G129" s="244">
        <v>0</v>
      </c>
      <c r="H129" s="244">
        <v>0</v>
      </c>
      <c r="I129" s="244">
        <v>0</v>
      </c>
      <c r="J129" s="244">
        <v>0</v>
      </c>
      <c r="K129" s="244">
        <v>0</v>
      </c>
    </row>
    <row r="130" spans="3:11" x14ac:dyDescent="0.25">
      <c r="C130" t="s">
        <v>672</v>
      </c>
      <c r="D130" s="23" t="s">
        <v>93</v>
      </c>
      <c r="E130" s="23" t="s">
        <v>622</v>
      </c>
      <c r="F130" s="244">
        <v>0</v>
      </c>
      <c r="G130" s="244">
        <v>0</v>
      </c>
      <c r="H130" s="244">
        <v>0</v>
      </c>
      <c r="I130" s="244">
        <v>0</v>
      </c>
      <c r="J130" s="244">
        <v>0</v>
      </c>
      <c r="K130" s="244">
        <v>0</v>
      </c>
    </row>
    <row r="131" spans="3:11" x14ac:dyDescent="0.25">
      <c r="C131" t="s">
        <v>257</v>
      </c>
      <c r="D131" s="23" t="s">
        <v>93</v>
      </c>
      <c r="E131" s="23" t="s">
        <v>622</v>
      </c>
      <c r="F131" s="244">
        <v>0</v>
      </c>
      <c r="G131" s="244">
        <v>0</v>
      </c>
      <c r="H131" s="244">
        <v>0</v>
      </c>
      <c r="I131" s="244">
        <v>0</v>
      </c>
      <c r="J131" s="244">
        <v>0</v>
      </c>
      <c r="K131" s="244">
        <v>0</v>
      </c>
    </row>
    <row r="132" spans="3:11" x14ac:dyDescent="0.25">
      <c r="C132" t="s">
        <v>676</v>
      </c>
      <c r="D132" s="23" t="s">
        <v>92</v>
      </c>
      <c r="E132" s="23" t="s">
        <v>622</v>
      </c>
      <c r="F132" s="244">
        <v>0</v>
      </c>
      <c r="G132" s="244">
        <v>0</v>
      </c>
      <c r="H132" s="244">
        <v>0</v>
      </c>
      <c r="I132" s="244">
        <v>0</v>
      </c>
      <c r="J132" s="244">
        <v>0</v>
      </c>
      <c r="K132" s="244">
        <v>0</v>
      </c>
    </row>
    <row r="133" spans="3:11" x14ac:dyDescent="0.25">
      <c r="C133" t="s">
        <v>676</v>
      </c>
      <c r="D133" s="23" t="s">
        <v>93</v>
      </c>
      <c r="E133" s="23" t="s">
        <v>622</v>
      </c>
      <c r="F133" s="244">
        <v>0</v>
      </c>
      <c r="G133" s="244">
        <v>0</v>
      </c>
      <c r="H133" s="244">
        <v>0</v>
      </c>
      <c r="I133" s="244">
        <v>0</v>
      </c>
      <c r="J133" s="244">
        <v>0</v>
      </c>
      <c r="K133" s="244">
        <v>0</v>
      </c>
    </row>
  </sheetData>
  <sheetProtection algorithmName="SHA-512" hashValue="4xiHwxp1WJVUvSOwYVDQs4GtHB4DDdbaWp0N5mEzAe+6bClQ57WGK7HxmsH1vJ9iCQgqQ7pyTk0zpjugscpgoQ==" saltValue="xb353QsAsgMbfK/azBBdmQ==" spinCount="100000" sheet="1" objects="1" scenarios="1"/>
  <mergeCells count="1">
    <mergeCell ref="A2:A3"/>
  </mergeCells>
  <dataValidations count="1">
    <dataValidation type="list" allowBlank="1" showInputMessage="1" showErrorMessage="1" sqref="D46:D133" xr:uid="{110F9B32-7622-4195-ACDA-144419B02CE4}">
      <formula1>$G$8:$G$10</formula1>
    </dataValidation>
  </dataValidations>
  <pageMargins left="0.7" right="0.7" top="0.75" bottom="0.75" header="0.3" footer="0.3"/>
  <tableParts count="6">
    <tablePart r:id="rId1"/>
    <tablePart r:id="rId2"/>
    <tablePart r:id="rId3"/>
    <tablePart r:id="rId4"/>
    <tablePart r:id="rId5"/>
    <tablePart r:id="rId6"/>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BCF60-72B6-49A1-8E4C-68668F8F6B52}">
  <sheetPr codeName="Sheet10"/>
  <dimension ref="A1:Z22"/>
  <sheetViews>
    <sheetView showGridLines="0" topLeftCell="B1" zoomScale="85" zoomScaleNormal="85" workbookViewId="0">
      <pane ySplit="3" topLeftCell="A9" activePane="bottomLeft" state="frozen"/>
      <selection pane="bottomLeft" activeCell="C23" sqref="C23"/>
    </sheetView>
  </sheetViews>
  <sheetFormatPr defaultRowHeight="15" outlineLevelCol="1" x14ac:dyDescent="0.25"/>
  <cols>
    <col min="1" max="1" width="100.5703125" hidden="1" customWidth="1" outlineLevel="1"/>
    <col min="2" max="2" width="10.5703125" style="6" customWidth="1" collapsed="1"/>
    <col min="3" max="3" width="50.5703125" customWidth="1"/>
    <col min="4" max="26" width="25.5703125" customWidth="1"/>
  </cols>
  <sheetData>
    <row r="1" spans="1:26" ht="15" customHeight="1" x14ac:dyDescent="0.25">
      <c r="A1" s="1" t="s">
        <v>20</v>
      </c>
      <c r="B1" s="21"/>
      <c r="C1" s="22"/>
      <c r="D1" s="22"/>
      <c r="E1" s="22"/>
      <c r="F1" s="22"/>
      <c r="G1" s="22"/>
      <c r="H1" s="22"/>
      <c r="I1" s="22"/>
      <c r="J1" s="22"/>
      <c r="K1" s="22"/>
      <c r="L1" s="22"/>
      <c r="M1" s="22"/>
      <c r="N1" s="22"/>
      <c r="O1" s="22"/>
      <c r="P1" s="22"/>
      <c r="Q1" s="22"/>
      <c r="R1" s="22"/>
      <c r="S1" s="22"/>
      <c r="T1" s="22"/>
      <c r="U1" s="22"/>
      <c r="V1" s="22"/>
      <c r="W1" s="22"/>
      <c r="X1" s="22"/>
      <c r="Y1" s="22"/>
      <c r="Z1" s="22"/>
    </row>
    <row r="2" spans="1:26" s="4" customFormat="1" ht="50.1" customHeight="1" x14ac:dyDescent="0.25">
      <c r="A2" s="382" t="s">
        <v>21</v>
      </c>
      <c r="B2" s="25"/>
      <c r="C2" s="25" t="str">
        <f>Disclaimer!$B$1</f>
        <v>VDO calculation model</v>
      </c>
      <c r="D2" s="25"/>
      <c r="E2" s="25"/>
      <c r="F2" s="25"/>
      <c r="G2" s="25"/>
      <c r="H2" s="25"/>
      <c r="I2" s="25"/>
      <c r="J2" s="25"/>
      <c r="K2" s="25"/>
      <c r="L2" s="25"/>
      <c r="M2" s="25"/>
      <c r="N2" s="25"/>
      <c r="O2" s="25"/>
      <c r="P2" s="25"/>
      <c r="Q2" s="25"/>
      <c r="R2" s="25"/>
      <c r="S2" s="25"/>
      <c r="T2" s="25"/>
      <c r="U2" s="25"/>
      <c r="V2" s="25"/>
      <c r="W2" s="25"/>
      <c r="X2" s="25"/>
      <c r="Y2" s="25"/>
      <c r="Z2" s="25"/>
    </row>
    <row r="3" spans="1:26" s="4" customFormat="1" ht="30" customHeight="1" x14ac:dyDescent="0.25">
      <c r="A3" s="383"/>
      <c r="B3" s="27">
        <f ca="1">_xlfn.SHEET()</f>
        <v>33</v>
      </c>
      <c r="C3" s="26" t="s">
        <v>327</v>
      </c>
      <c r="D3" s="26"/>
      <c r="E3" s="26"/>
      <c r="F3" s="26"/>
      <c r="G3" s="26"/>
      <c r="H3" s="26"/>
      <c r="I3" s="26"/>
      <c r="J3" s="26"/>
      <c r="K3" s="26"/>
      <c r="L3" s="26"/>
      <c r="M3" s="26"/>
      <c r="N3" s="26"/>
      <c r="O3" s="26"/>
      <c r="P3" s="26"/>
      <c r="Q3" s="26"/>
      <c r="R3" s="26"/>
      <c r="S3" s="26"/>
      <c r="T3" s="26"/>
      <c r="U3" s="26"/>
      <c r="V3" s="26"/>
      <c r="W3" s="26"/>
      <c r="X3" s="26"/>
      <c r="Y3" s="26"/>
      <c r="Z3" s="26"/>
    </row>
    <row r="4" spans="1:26" x14ac:dyDescent="0.25">
      <c r="B4"/>
    </row>
    <row r="5" spans="1:26" ht="16.5" thickBot="1" x14ac:dyDescent="0.3">
      <c r="A5" s="1" t="s">
        <v>23</v>
      </c>
      <c r="B5" s="9">
        <f ca="1">MAX(B$3:B4)+0.1</f>
        <v>33.1</v>
      </c>
      <c r="C5" s="28" t="s">
        <v>328</v>
      </c>
      <c r="D5" s="28"/>
      <c r="E5" s="28"/>
      <c r="F5" s="28"/>
      <c r="G5" s="28"/>
      <c r="H5" s="28"/>
      <c r="I5" s="28"/>
      <c r="J5" s="28"/>
      <c r="K5" s="28"/>
      <c r="L5" s="28"/>
      <c r="M5" s="28"/>
      <c r="N5" s="28"/>
      <c r="O5" s="28"/>
      <c r="P5" s="28"/>
      <c r="Q5" s="28"/>
      <c r="R5" s="28"/>
      <c r="S5" s="28"/>
      <c r="T5" s="28"/>
      <c r="U5" s="28"/>
      <c r="V5" s="28"/>
      <c r="W5" s="28"/>
      <c r="X5" s="28"/>
      <c r="Y5" s="28"/>
      <c r="Z5" s="28"/>
    </row>
    <row r="7" spans="1:26" ht="15.75" x14ac:dyDescent="0.25">
      <c r="C7" s="29" t="s">
        <v>329</v>
      </c>
    </row>
    <row r="8" spans="1:26" ht="15.75" x14ac:dyDescent="0.25">
      <c r="C8" s="42" t="s">
        <v>330</v>
      </c>
      <c r="D8" s="42" t="s">
        <v>330</v>
      </c>
      <c r="E8" s="42" t="s">
        <v>330</v>
      </c>
      <c r="F8" s="42" t="s">
        <v>330</v>
      </c>
    </row>
    <row r="9" spans="1:26" x14ac:dyDescent="0.25">
      <c r="C9" s="23"/>
      <c r="D9" s="23"/>
      <c r="E9" s="23"/>
      <c r="F9" s="23"/>
    </row>
    <row r="10" spans="1:26" x14ac:dyDescent="0.25">
      <c r="C10" s="23"/>
      <c r="D10" s="23"/>
      <c r="E10" s="23"/>
      <c r="F10" s="23"/>
    </row>
    <row r="11" spans="1:26" x14ac:dyDescent="0.25">
      <c r="C11" s="23"/>
      <c r="D11" s="23"/>
      <c r="E11" s="23"/>
      <c r="F11" s="23"/>
    </row>
    <row r="12" spans="1:26" x14ac:dyDescent="0.25">
      <c r="C12" s="23"/>
      <c r="D12" s="23"/>
      <c r="E12" s="23"/>
      <c r="F12" s="23"/>
    </row>
    <row r="13" spans="1:26" x14ac:dyDescent="0.25">
      <c r="C13" s="23"/>
      <c r="D13" s="23"/>
      <c r="E13" s="23"/>
      <c r="F13" s="23"/>
    </row>
    <row r="14" spans="1:26" x14ac:dyDescent="0.25">
      <c r="C14" s="23"/>
      <c r="D14" s="23"/>
      <c r="E14" s="23"/>
      <c r="F14" s="23"/>
    </row>
    <row r="15" spans="1:26" x14ac:dyDescent="0.25">
      <c r="C15" s="23"/>
      <c r="D15" s="23"/>
      <c r="E15" s="23"/>
      <c r="F15" s="23"/>
    </row>
    <row r="16" spans="1:26" x14ac:dyDescent="0.25">
      <c r="C16" s="23"/>
      <c r="D16" s="23"/>
      <c r="E16" s="23"/>
      <c r="F16" s="23"/>
    </row>
    <row r="17" spans="3:6" x14ac:dyDescent="0.25">
      <c r="C17" s="23"/>
      <c r="D17" s="23"/>
      <c r="E17" s="23"/>
      <c r="F17" s="23"/>
    </row>
    <row r="18" spans="3:6" x14ac:dyDescent="0.25">
      <c r="C18" s="23"/>
      <c r="D18" s="23"/>
      <c r="E18" s="23"/>
      <c r="F18" s="23"/>
    </row>
    <row r="19" spans="3:6" x14ac:dyDescent="0.25">
      <c r="C19" s="23"/>
      <c r="D19" s="23"/>
      <c r="E19" s="23"/>
      <c r="F19" s="23"/>
    </row>
    <row r="20" spans="3:6" x14ac:dyDescent="0.25">
      <c r="C20" s="23"/>
      <c r="D20" s="23"/>
      <c r="E20" s="23"/>
      <c r="F20" s="23"/>
    </row>
    <row r="21" spans="3:6" x14ac:dyDescent="0.25">
      <c r="C21" s="23"/>
      <c r="D21" s="23"/>
      <c r="E21" s="23"/>
      <c r="F21" s="23"/>
    </row>
    <row r="22" spans="3:6" x14ac:dyDescent="0.25">
      <c r="C22" s="23"/>
      <c r="D22" s="23"/>
      <c r="E22" s="23"/>
      <c r="F22" s="23"/>
    </row>
  </sheetData>
  <mergeCells count="1">
    <mergeCell ref="A2:A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43252-3C56-4970-8C36-B87F0D4746DB}">
  <sheetPr codeName="Sheet15">
    <tabColor rgb="FF7F7F7F"/>
  </sheetPr>
  <dimension ref="A1:Z23"/>
  <sheetViews>
    <sheetView showGridLines="0" topLeftCell="B1" zoomScale="85" zoomScaleNormal="85" workbookViewId="0">
      <pane ySplit="3" topLeftCell="A4" activePane="bottomLeft" state="frozen"/>
      <selection pane="bottomLeft" activeCell="D29" sqref="D29"/>
    </sheetView>
  </sheetViews>
  <sheetFormatPr defaultColWidth="9.42578125" defaultRowHeight="15" outlineLevelCol="1" x14ac:dyDescent="0.25"/>
  <cols>
    <col min="1" max="1" width="100.5703125" hidden="1" customWidth="1" outlineLevel="1"/>
    <col min="2" max="2" width="10.5703125" style="6" customWidth="1" collapsed="1"/>
    <col min="3" max="3" width="50.5703125" customWidth="1"/>
    <col min="4" max="4" width="75.5703125" customWidth="1"/>
    <col min="5" max="26" width="25.5703125" customWidth="1"/>
  </cols>
  <sheetData>
    <row r="1" spans="1:26" ht="15" customHeight="1" x14ac:dyDescent="0.25">
      <c r="A1" s="1" t="s">
        <v>20</v>
      </c>
      <c r="B1" s="21"/>
      <c r="C1" s="22"/>
      <c r="D1" s="22"/>
      <c r="E1" s="22"/>
      <c r="F1" s="22"/>
      <c r="G1" s="22"/>
      <c r="H1" s="22"/>
      <c r="I1" s="22"/>
      <c r="J1" s="22"/>
      <c r="K1" s="22"/>
      <c r="L1" s="22"/>
      <c r="M1" s="22"/>
      <c r="N1" s="22"/>
      <c r="O1" s="22"/>
      <c r="P1" s="22"/>
      <c r="Q1" s="22"/>
      <c r="R1" s="22"/>
      <c r="S1" s="22"/>
      <c r="T1" s="22"/>
      <c r="U1" s="22"/>
      <c r="V1" s="22"/>
      <c r="W1" s="22"/>
      <c r="X1" s="22"/>
      <c r="Y1" s="22"/>
      <c r="Z1" s="22"/>
    </row>
    <row r="2" spans="1:26" s="4" customFormat="1" ht="50.1" customHeight="1" x14ac:dyDescent="0.25">
      <c r="A2" s="382" t="s">
        <v>21</v>
      </c>
      <c r="B2" s="25"/>
      <c r="C2" s="25" t="str">
        <f>Disclaimer!$B$1</f>
        <v>VDO calculation model</v>
      </c>
      <c r="D2" s="25"/>
      <c r="E2" s="25"/>
      <c r="F2" s="25"/>
      <c r="G2" s="25"/>
      <c r="H2" s="25"/>
      <c r="I2" s="25"/>
      <c r="J2" s="25"/>
      <c r="K2" s="25"/>
      <c r="L2" s="25"/>
      <c r="M2" s="25"/>
      <c r="N2" s="25"/>
      <c r="O2" s="25"/>
      <c r="P2" s="25"/>
      <c r="Q2" s="25"/>
      <c r="R2" s="25"/>
      <c r="S2" s="25"/>
      <c r="T2" s="25"/>
      <c r="U2" s="25"/>
      <c r="V2" s="25"/>
      <c r="W2" s="25"/>
      <c r="X2" s="25"/>
      <c r="Y2" s="25"/>
      <c r="Z2" s="25"/>
    </row>
    <row r="3" spans="1:26" s="4" customFormat="1" ht="30" customHeight="1" x14ac:dyDescent="0.25">
      <c r="A3" s="383"/>
      <c r="B3" s="27">
        <f ca="1">_xlfn.SHEET()</f>
        <v>4</v>
      </c>
      <c r="C3" s="26" t="s">
        <v>12</v>
      </c>
      <c r="D3" s="26"/>
      <c r="E3" s="26"/>
      <c r="F3" s="26"/>
      <c r="G3" s="26"/>
      <c r="H3" s="26"/>
      <c r="I3" s="26"/>
      <c r="J3" s="26"/>
      <c r="K3" s="26"/>
      <c r="L3" s="26"/>
      <c r="M3" s="26"/>
      <c r="N3" s="26"/>
      <c r="O3" s="26"/>
      <c r="P3" s="26"/>
      <c r="Q3" s="26"/>
      <c r="R3" s="26"/>
      <c r="S3" s="26"/>
      <c r="T3" s="26"/>
      <c r="U3" s="26"/>
      <c r="V3" s="26"/>
      <c r="W3" s="26"/>
      <c r="X3" s="26"/>
      <c r="Y3" s="26"/>
      <c r="Z3" s="26"/>
    </row>
    <row r="4" spans="1:26" x14ac:dyDescent="0.25">
      <c r="B4"/>
    </row>
    <row r="5" spans="1:26" ht="16.5" thickBot="1" x14ac:dyDescent="0.3">
      <c r="A5" s="1" t="s">
        <v>23</v>
      </c>
      <c r="B5" s="9">
        <f ca="1">MAX(B$3:B4)+0.1</f>
        <v>4.0999999999999996</v>
      </c>
      <c r="C5" s="28" t="s">
        <v>30</v>
      </c>
      <c r="D5" s="28"/>
    </row>
    <row r="7" spans="1:26" x14ac:dyDescent="0.25">
      <c r="C7" t="s">
        <v>31</v>
      </c>
      <c r="D7" s="136" t="s">
        <v>1</v>
      </c>
    </row>
    <row r="8" spans="1:26" x14ac:dyDescent="0.25">
      <c r="C8" t="s">
        <v>32</v>
      </c>
      <c r="D8" s="136" t="s">
        <v>421</v>
      </c>
    </row>
    <row r="9" spans="1:26" x14ac:dyDescent="0.25">
      <c r="C9" t="s">
        <v>33</v>
      </c>
      <c r="D9" s="136" t="s">
        <v>422</v>
      </c>
    </row>
    <row r="10" spans="1:26" x14ac:dyDescent="0.25">
      <c r="C10" t="s">
        <v>34</v>
      </c>
      <c r="D10" s="136" t="s">
        <v>818</v>
      </c>
    </row>
    <row r="12" spans="1:26" ht="16.5" thickBot="1" x14ac:dyDescent="0.3">
      <c r="B12" s="9">
        <f ca="1">MAX(B$3:B11)+0.1</f>
        <v>4.1999999999999993</v>
      </c>
      <c r="C12" s="28" t="s">
        <v>35</v>
      </c>
      <c r="D12" s="28"/>
    </row>
    <row r="14" spans="1:26" x14ac:dyDescent="0.25">
      <c r="C14" t="s">
        <v>36</v>
      </c>
      <c r="D14" s="136" t="s">
        <v>819</v>
      </c>
    </row>
    <row r="15" spans="1:26" x14ac:dyDescent="0.25">
      <c r="C15" t="s">
        <v>37</v>
      </c>
      <c r="D15" s="136" t="s">
        <v>1</v>
      </c>
    </row>
    <row r="16" spans="1:26" x14ac:dyDescent="0.25">
      <c r="C16" t="s">
        <v>38</v>
      </c>
      <c r="D16" s="136" t="s">
        <v>883</v>
      </c>
    </row>
    <row r="17" spans="2:4" x14ac:dyDescent="0.25">
      <c r="C17" t="s">
        <v>39</v>
      </c>
      <c r="D17" s="136"/>
    </row>
    <row r="19" spans="2:4" ht="16.5" thickBot="1" x14ac:dyDescent="0.3">
      <c r="B19" s="9">
        <f ca="1">MAX(B$3:B18)+0.1</f>
        <v>4.2999999999999989</v>
      </c>
      <c r="C19" s="33" t="s">
        <v>40</v>
      </c>
      <c r="D19" s="28"/>
    </row>
    <row r="21" spans="2:4" x14ac:dyDescent="0.25">
      <c r="C21" t="s">
        <v>41</v>
      </c>
      <c r="D21" s="136"/>
    </row>
    <row r="22" spans="2:4" x14ac:dyDescent="0.25">
      <c r="C22" t="s">
        <v>42</v>
      </c>
      <c r="D22" s="136"/>
    </row>
    <row r="23" spans="2:4" x14ac:dyDescent="0.25">
      <c r="C23" t="s">
        <v>43</v>
      </c>
      <c r="D23" s="136"/>
    </row>
  </sheetData>
  <sheetProtection algorithmName="SHA-512" hashValue="ocrv72IlXs8Yff7FfYgU8l5qOEeXZ59c+DfRZr7Gh9pkT6OMlFzTFjlE3NKsrAFZFrTMF6KapViIWVIq0RJ5AA==" saltValue="U8iBY1HhrXTVo2E0bnvsMA==" spinCount="100000" sheet="1" objects="1" scenarios="1"/>
  <mergeCells count="1">
    <mergeCell ref="A2:A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1A0B7-B7E4-4754-9438-E2B36E788DA3}">
  <sheetPr codeName="Sheet13">
    <tabColor rgb="FF7F7F7F"/>
  </sheetPr>
  <dimension ref="A1:T179"/>
  <sheetViews>
    <sheetView showGridLines="0" topLeftCell="B1" zoomScale="60" zoomScaleNormal="60" workbookViewId="0">
      <pane xSplit="3" ySplit="10" topLeftCell="E47" activePane="bottomRight" state="frozen"/>
      <selection activeCell="B1" sqref="B1"/>
      <selection pane="topRight" activeCell="E1" sqref="E1"/>
      <selection pane="bottomLeft" activeCell="B11" sqref="B11"/>
      <selection pane="bottomRight" activeCell="B16" sqref="B16"/>
    </sheetView>
  </sheetViews>
  <sheetFormatPr defaultColWidth="9.42578125" defaultRowHeight="15" outlineLevelCol="1" x14ac:dyDescent="0.25"/>
  <cols>
    <col min="1" max="1" width="100.5703125" hidden="1" customWidth="1" outlineLevel="1"/>
    <col min="2" max="2" width="10.5703125" style="6" customWidth="1" collapsed="1"/>
    <col min="3" max="3" width="45.5703125" customWidth="1"/>
    <col min="4" max="4" width="63.42578125" bestFit="1" customWidth="1"/>
    <col min="5" max="11" width="45.5703125" customWidth="1"/>
    <col min="12" max="20" width="25.5703125" customWidth="1"/>
  </cols>
  <sheetData>
    <row r="1" spans="1:20" ht="15" customHeight="1" x14ac:dyDescent="0.25">
      <c r="A1" s="1" t="s">
        <v>20</v>
      </c>
      <c r="B1" s="21"/>
      <c r="C1" s="22"/>
      <c r="D1" s="22"/>
      <c r="E1" s="22"/>
      <c r="F1" s="22"/>
      <c r="G1" s="22"/>
      <c r="H1" s="22"/>
      <c r="I1" s="22"/>
      <c r="J1" s="22"/>
      <c r="K1" s="22"/>
      <c r="L1" s="22"/>
      <c r="M1" s="22"/>
      <c r="N1" s="22"/>
      <c r="O1" s="22"/>
      <c r="P1" s="22"/>
      <c r="Q1" s="22"/>
      <c r="R1" s="22"/>
      <c r="S1" s="22"/>
      <c r="T1" s="22"/>
    </row>
    <row r="2" spans="1:20" s="4" customFormat="1" ht="50.1" customHeight="1" x14ac:dyDescent="0.25">
      <c r="A2" s="382" t="s">
        <v>21</v>
      </c>
      <c r="B2" s="25"/>
      <c r="C2" s="25" t="str">
        <f>Disclaimer!$B$1</f>
        <v>VDO calculation model</v>
      </c>
      <c r="D2" s="25"/>
      <c r="E2" s="25"/>
      <c r="F2" s="25"/>
      <c r="G2" s="25"/>
      <c r="H2" s="25"/>
      <c r="I2" s="25"/>
      <c r="J2" s="25"/>
      <c r="K2" s="25"/>
      <c r="L2" s="25"/>
      <c r="M2" s="25"/>
      <c r="N2" s="25"/>
      <c r="O2" s="25"/>
      <c r="P2" s="25"/>
      <c r="Q2" s="25"/>
      <c r="R2" s="25"/>
      <c r="S2" s="25"/>
      <c r="T2" s="25"/>
    </row>
    <row r="3" spans="1:20" s="4" customFormat="1" ht="30" customHeight="1" x14ac:dyDescent="0.25">
      <c r="A3" s="383"/>
      <c r="B3" s="27">
        <f ca="1">_xlfn.SHEET()</f>
        <v>5</v>
      </c>
      <c r="C3" s="26" t="s">
        <v>13</v>
      </c>
      <c r="D3" s="26"/>
      <c r="E3" s="26"/>
      <c r="F3" s="26"/>
      <c r="G3" s="26"/>
      <c r="H3" s="26"/>
      <c r="I3" s="26"/>
      <c r="J3" s="26"/>
      <c r="K3" s="26"/>
      <c r="L3" s="26"/>
      <c r="M3" s="26"/>
      <c r="N3" s="26"/>
      <c r="O3" s="26"/>
      <c r="P3" s="26"/>
      <c r="Q3" s="26"/>
      <c r="R3" s="26"/>
      <c r="S3" s="26"/>
      <c r="T3" s="26"/>
    </row>
    <row r="4" spans="1:20" x14ac:dyDescent="0.25">
      <c r="B4"/>
    </row>
    <row r="5" spans="1:20" ht="16.5" thickBot="1" x14ac:dyDescent="0.3">
      <c r="A5" s="1" t="s">
        <v>23</v>
      </c>
      <c r="B5" s="9">
        <f ca="1">MAX(B$3:B4)+0.1</f>
        <v>5.0999999999999996</v>
      </c>
      <c r="C5" s="28" t="s">
        <v>379</v>
      </c>
      <c r="D5" s="28"/>
      <c r="E5" s="28"/>
      <c r="F5" s="28"/>
      <c r="G5" s="28"/>
      <c r="H5" s="28"/>
      <c r="I5" s="28"/>
      <c r="J5" s="28"/>
      <c r="K5" s="28"/>
      <c r="L5" s="28"/>
      <c r="M5" s="28"/>
      <c r="N5" s="28"/>
      <c r="O5" s="28"/>
      <c r="P5" s="28"/>
      <c r="Q5" s="28"/>
      <c r="R5" s="28"/>
      <c r="S5" s="28"/>
      <c r="T5" s="28"/>
    </row>
    <row r="7" spans="1:20" ht="15.75" x14ac:dyDescent="0.25">
      <c r="D7" s="40" t="s">
        <v>100</v>
      </c>
      <c r="E7" s="112">
        <f>Inputs!I7</f>
        <v>2021</v>
      </c>
      <c r="F7" s="112">
        <f>Inputs!M7</f>
        <v>2021</v>
      </c>
      <c r="G7" s="112">
        <v>2021</v>
      </c>
      <c r="H7" s="112">
        <f>Inputs!O7</f>
        <v>2022</v>
      </c>
      <c r="I7" s="112">
        <f>Inputs!Q7</f>
        <v>2022</v>
      </c>
      <c r="J7" s="112" t="str">
        <f>Inputs!S7</f>
        <v>2022-23</v>
      </c>
      <c r="K7" s="112" t="str">
        <f>Inputs!U7</f>
        <v>2022-23</v>
      </c>
    </row>
    <row r="8" spans="1:20" ht="15.75" x14ac:dyDescent="0.25">
      <c r="D8" s="40" t="s">
        <v>101</v>
      </c>
      <c r="E8" s="41" t="str">
        <f t="shared" ref="E8:K8" si="0">"VDO "&amp;E7&amp;" - "&amp;IF(LEFT(E10,1)="F","Final",IF(LEFT(E10,1)="D","Draft",IF(LEFT(E10,2)="VD","Variation draft",IF(LEFT(E10,2)="VF","Variation final"))))</f>
        <v>VDO 2021 - Final</v>
      </c>
      <c r="F8" s="41" t="str">
        <f t="shared" si="0"/>
        <v>VDO 2021 - Variation draft</v>
      </c>
      <c r="G8" s="41" t="str">
        <f t="shared" si="0"/>
        <v>VDO 2021 - Variation final</v>
      </c>
      <c r="H8" s="41" t="str">
        <f t="shared" si="0"/>
        <v>VDO 2022 - Draft</v>
      </c>
      <c r="I8" s="41" t="str">
        <f t="shared" si="0"/>
        <v>VDO 2022 - Final</v>
      </c>
      <c r="J8" s="41" t="str">
        <f t="shared" si="0"/>
        <v>VDO 2022-23 - Draft</v>
      </c>
      <c r="K8" s="41" t="str">
        <f t="shared" si="0"/>
        <v>VDO 2022-23 - Final</v>
      </c>
    </row>
    <row r="10" spans="1:20" ht="15.75" x14ac:dyDescent="0.25">
      <c r="C10" s="42" t="s">
        <v>45</v>
      </c>
      <c r="D10" s="42" t="s">
        <v>46</v>
      </c>
      <c r="E10" s="42" t="s">
        <v>47</v>
      </c>
      <c r="F10" s="42" t="s">
        <v>385</v>
      </c>
      <c r="G10" s="42" t="s">
        <v>386</v>
      </c>
      <c r="H10" s="42" t="s">
        <v>48</v>
      </c>
      <c r="I10" s="42" t="s">
        <v>49</v>
      </c>
      <c r="J10" s="42" t="s">
        <v>48</v>
      </c>
      <c r="K10" s="42" t="s">
        <v>49</v>
      </c>
    </row>
    <row r="11" spans="1:20" x14ac:dyDescent="0.25">
      <c r="C11" s="82" t="str" cm="1">
        <f t="array" ref="C11:C128">INDEX(Input_ForRateCalc[[Cost element]:[Customer type]],0,MATCH(Sources!C$10,Input_ForRateCalc[[#Headers],[Cost element]:[Customer type]],0))</f>
        <v>Retail</v>
      </c>
      <c r="D11" s="82" t="str" cm="1">
        <f t="array" ref="D11:D128">INDEX(Input_ForRateCalc[[Cost element]:[Customer type]],0,MATCH(Sources!D$10,Input_ForRateCalc[[#Headers],[Cost element]:[Customer type]],0))</f>
        <v>Retail operating cost - base</v>
      </c>
      <c r="E11" s="23" t="s">
        <v>380</v>
      </c>
      <c r="F11" s="23" t="s">
        <v>380</v>
      </c>
      <c r="G11" s="23" t="s">
        <v>380</v>
      </c>
      <c r="H11" s="125" t="s">
        <v>665</v>
      </c>
      <c r="I11" s="36" t="s">
        <v>806</v>
      </c>
      <c r="J11" s="125" t="s">
        <v>877</v>
      </c>
      <c r="K11" s="36"/>
    </row>
    <row r="12" spans="1:20" x14ac:dyDescent="0.25">
      <c r="C12" s="82" t="str">
        <v>Retail</v>
      </c>
      <c r="D12" s="82" t="str">
        <v>Retail operating cost - regulatory cost allowance</v>
      </c>
      <c r="E12" s="125"/>
      <c r="F12" s="125"/>
      <c r="G12" s="125"/>
      <c r="H12" s="125" t="s">
        <v>665</v>
      </c>
      <c r="I12" s="36" t="s">
        <v>806</v>
      </c>
      <c r="J12" s="125" t="s">
        <v>877</v>
      </c>
      <c r="K12" s="36"/>
    </row>
    <row r="13" spans="1:20" x14ac:dyDescent="0.25">
      <c r="C13" s="82" t="str">
        <v>Retail</v>
      </c>
      <c r="D13" s="82" t="str">
        <v>Retail operating cost - 5 min settlement allowance</v>
      </c>
      <c r="E13" s="23" t="s">
        <v>382</v>
      </c>
      <c r="F13" s="23" t="s">
        <v>382</v>
      </c>
      <c r="G13" s="23" t="s">
        <v>382</v>
      </c>
      <c r="H13" s="125" t="s">
        <v>665</v>
      </c>
      <c r="I13" s="36" t="s">
        <v>806</v>
      </c>
      <c r="J13" s="125" t="s">
        <v>877</v>
      </c>
      <c r="K13" s="36"/>
    </row>
    <row r="14" spans="1:20" x14ac:dyDescent="0.25">
      <c r="C14" s="82" t="str">
        <v>Retail</v>
      </c>
      <c r="D14" s="82" t="str">
        <v>Retail operating cost - bad debt allowance</v>
      </c>
      <c r="E14" s="23" t="s">
        <v>381</v>
      </c>
      <c r="F14" s="23" t="s">
        <v>381</v>
      </c>
      <c r="G14" s="23" t="s">
        <v>381</v>
      </c>
      <c r="H14" s="125" t="s">
        <v>739</v>
      </c>
      <c r="I14" s="36" t="s">
        <v>806</v>
      </c>
      <c r="J14" s="125" t="s">
        <v>877</v>
      </c>
      <c r="K14" s="36"/>
    </row>
    <row r="15" spans="1:20" x14ac:dyDescent="0.25">
      <c r="C15" s="82" t="str">
        <v>Retail</v>
      </c>
      <c r="D15" s="82" t="str">
        <v>Retail operating cost - consumer data right allowance</v>
      </c>
      <c r="E15" s="23"/>
      <c r="F15" s="23" t="s">
        <v>79</v>
      </c>
      <c r="G15" s="23" t="s">
        <v>79</v>
      </c>
      <c r="H15" s="125" t="s">
        <v>79</v>
      </c>
      <c r="I15" s="36" t="s">
        <v>79</v>
      </c>
      <c r="J15" s="125" t="s">
        <v>878</v>
      </c>
      <c r="K15" s="36"/>
    </row>
    <row r="16" spans="1:20" x14ac:dyDescent="0.25">
      <c r="B16" s="372"/>
      <c r="C16" s="82" t="str">
        <v>Retail</v>
      </c>
      <c r="D16" s="82" t="str">
        <v>Customer acquisition and retention cost</v>
      </c>
      <c r="E16" s="23" t="s">
        <v>50</v>
      </c>
      <c r="F16" s="23" t="s">
        <v>50</v>
      </c>
      <c r="G16" s="23" t="s">
        <v>50</v>
      </c>
      <c r="H16" s="125" t="s">
        <v>720</v>
      </c>
      <c r="I16" s="340" t="s">
        <v>802</v>
      </c>
      <c r="J16" s="125" t="s">
        <v>844</v>
      </c>
      <c r="K16" s="340"/>
    </row>
    <row r="17" spans="3:11" x14ac:dyDescent="0.25">
      <c r="C17" s="82" t="str">
        <v>Solar</v>
      </c>
      <c r="D17" s="82" t="str">
        <v>Feed-in tariff (FiT)</v>
      </c>
      <c r="E17" s="23" t="s">
        <v>51</v>
      </c>
      <c r="F17" s="23" t="s">
        <v>51</v>
      </c>
      <c r="G17" s="23" t="s">
        <v>51</v>
      </c>
      <c r="H17" s="23" t="s">
        <v>721</v>
      </c>
      <c r="I17" s="23" t="s">
        <v>721</v>
      </c>
      <c r="J17" s="23" t="s">
        <v>845</v>
      </c>
      <c r="K17" s="23"/>
    </row>
    <row r="18" spans="3:11" x14ac:dyDescent="0.25">
      <c r="C18" s="82" t="str">
        <v>Other</v>
      </c>
      <c r="D18" s="82" t="str">
        <v>ESC licence fees</v>
      </c>
      <c r="E18" s="23" t="s">
        <v>52</v>
      </c>
      <c r="F18" s="23" t="s">
        <v>52</v>
      </c>
      <c r="G18" s="23" t="s">
        <v>52</v>
      </c>
      <c r="H18" s="23" t="s">
        <v>52</v>
      </c>
      <c r="I18" s="23" t="s">
        <v>779</v>
      </c>
      <c r="J18" s="23" t="s">
        <v>779</v>
      </c>
      <c r="K18" s="23"/>
    </row>
    <row r="19" spans="3:11" x14ac:dyDescent="0.25">
      <c r="C19" s="82" t="str">
        <v>Other</v>
      </c>
      <c r="D19" s="82" t="str">
        <v>Reliability and emergency reserve trader (RERT)</v>
      </c>
      <c r="E19" s="23" t="s">
        <v>53</v>
      </c>
      <c r="F19" s="23" t="s">
        <v>53</v>
      </c>
      <c r="G19" s="23" t="s">
        <v>53</v>
      </c>
      <c r="H19" s="23" t="s">
        <v>722</v>
      </c>
      <c r="I19" s="23" t="s">
        <v>722</v>
      </c>
      <c r="J19" s="23" t="s">
        <v>722</v>
      </c>
      <c r="K19" s="23"/>
    </row>
    <row r="20" spans="3:11" x14ac:dyDescent="0.25">
      <c r="C20" s="82" t="str">
        <v>Other</v>
      </c>
      <c r="D20" s="82" t="str">
        <v>Energy Consumers Australia</v>
      </c>
      <c r="E20" s="23" t="s">
        <v>54</v>
      </c>
      <c r="F20" s="23" t="s">
        <v>54</v>
      </c>
      <c r="G20" s="23" t="s">
        <v>54</v>
      </c>
      <c r="H20" s="23" t="s">
        <v>723</v>
      </c>
      <c r="I20" s="23" t="s">
        <v>723</v>
      </c>
      <c r="J20" s="23" t="s">
        <v>723</v>
      </c>
      <c r="K20" s="23"/>
    </row>
    <row r="21" spans="3:11" x14ac:dyDescent="0.25">
      <c r="C21" s="82" t="str">
        <v>Other</v>
      </c>
      <c r="D21" s="82" t="str">
        <v>Full retail competition (FRC) operations</v>
      </c>
      <c r="E21" s="23" t="s">
        <v>54</v>
      </c>
      <c r="F21" s="23" t="s">
        <v>54</v>
      </c>
      <c r="G21" s="23" t="s">
        <v>54</v>
      </c>
      <c r="H21" s="23" t="s">
        <v>723</v>
      </c>
      <c r="I21" s="23" t="s">
        <v>723</v>
      </c>
      <c r="J21" s="23" t="s">
        <v>723</v>
      </c>
      <c r="K21" s="23"/>
    </row>
    <row r="22" spans="3:11" x14ac:dyDescent="0.25">
      <c r="C22" s="82" t="str">
        <v>Network</v>
      </c>
      <c r="D22" s="82" t="str">
        <v>Metering - Ausnet</v>
      </c>
      <c r="E22" s="23" t="s">
        <v>55</v>
      </c>
      <c r="F22" s="23" t="s">
        <v>463</v>
      </c>
      <c r="G22" s="23" t="s">
        <v>463</v>
      </c>
      <c r="H22" s="23" t="s">
        <v>463</v>
      </c>
      <c r="I22" s="23" t="s">
        <v>463</v>
      </c>
      <c r="J22" s="23" t="s">
        <v>846</v>
      </c>
      <c r="K22" s="23"/>
    </row>
    <row r="23" spans="3:11" x14ac:dyDescent="0.25">
      <c r="C23" s="82" t="str">
        <v>Network</v>
      </c>
      <c r="D23" s="82" t="str">
        <v>Metering - Citipower</v>
      </c>
      <c r="E23" s="23" t="s">
        <v>56</v>
      </c>
      <c r="F23" s="23" t="s">
        <v>469</v>
      </c>
      <c r="G23" s="23" t="s">
        <v>469</v>
      </c>
      <c r="H23" s="23" t="s">
        <v>469</v>
      </c>
      <c r="I23" s="23" t="s">
        <v>469</v>
      </c>
      <c r="J23" s="23" t="s">
        <v>847</v>
      </c>
      <c r="K23" s="23"/>
    </row>
    <row r="24" spans="3:11" x14ac:dyDescent="0.25">
      <c r="C24" s="82" t="str">
        <v>Network</v>
      </c>
      <c r="D24" s="82" t="str">
        <v>Metering - Jemena</v>
      </c>
      <c r="E24" s="23" t="s">
        <v>57</v>
      </c>
      <c r="F24" s="23" t="s">
        <v>487</v>
      </c>
      <c r="G24" s="23" t="s">
        <v>487</v>
      </c>
      <c r="H24" s="23" t="s">
        <v>487</v>
      </c>
      <c r="I24" s="23" t="s">
        <v>487</v>
      </c>
      <c r="J24" s="23" t="s">
        <v>848</v>
      </c>
      <c r="K24" s="23"/>
    </row>
    <row r="25" spans="3:11" x14ac:dyDescent="0.25">
      <c r="C25" s="82" t="str">
        <v>Network</v>
      </c>
      <c r="D25" s="82" t="str">
        <v>Metering - Powercor</v>
      </c>
      <c r="E25" s="23" t="s">
        <v>58</v>
      </c>
      <c r="F25" s="23" t="s">
        <v>475</v>
      </c>
      <c r="G25" s="23" t="s">
        <v>475</v>
      </c>
      <c r="H25" s="23" t="s">
        <v>475</v>
      </c>
      <c r="I25" s="23" t="s">
        <v>475</v>
      </c>
      <c r="J25" s="23" t="s">
        <v>849</v>
      </c>
      <c r="K25" s="23"/>
    </row>
    <row r="26" spans="3:11" x14ac:dyDescent="0.25">
      <c r="C26" s="82" t="str">
        <v>Network</v>
      </c>
      <c r="D26" s="82" t="str">
        <v>Metering - United Energy</v>
      </c>
      <c r="E26" s="23" t="s">
        <v>59</v>
      </c>
      <c r="F26" s="23" t="s">
        <v>481</v>
      </c>
      <c r="G26" s="23" t="s">
        <v>481</v>
      </c>
      <c r="H26" s="23" t="s">
        <v>481</v>
      </c>
      <c r="I26" s="23" t="s">
        <v>481</v>
      </c>
      <c r="J26" s="23" t="s">
        <v>850</v>
      </c>
      <c r="K26" s="23"/>
    </row>
    <row r="27" spans="3:11" x14ac:dyDescent="0.25">
      <c r="C27" s="82" t="str">
        <v>Network</v>
      </c>
      <c r="D27" s="82" t="str">
        <v>Anytime - supply charge - RES - Ausnet</v>
      </c>
      <c r="E27" s="23" t="s">
        <v>60</v>
      </c>
      <c r="F27" s="23" t="s">
        <v>464</v>
      </c>
      <c r="G27" s="23" t="s">
        <v>464</v>
      </c>
      <c r="H27" s="23" t="s">
        <v>464</v>
      </c>
      <c r="I27" s="23" t="s">
        <v>464</v>
      </c>
      <c r="J27" s="23" t="s">
        <v>464</v>
      </c>
      <c r="K27" s="23"/>
    </row>
    <row r="28" spans="3:11" x14ac:dyDescent="0.25">
      <c r="C28" s="82" t="str">
        <v>Network</v>
      </c>
      <c r="D28" s="82" t="str">
        <v>Anytime - supply charge - RES - Citipower</v>
      </c>
      <c r="E28" s="23" t="s">
        <v>61</v>
      </c>
      <c r="F28" s="23" t="s">
        <v>470</v>
      </c>
      <c r="G28" s="23" t="s">
        <v>470</v>
      </c>
      <c r="H28" s="23" t="s">
        <v>470</v>
      </c>
      <c r="I28" s="23" t="s">
        <v>470</v>
      </c>
      <c r="J28" s="23" t="s">
        <v>470</v>
      </c>
      <c r="K28" s="23"/>
    </row>
    <row r="29" spans="3:11" x14ac:dyDescent="0.25">
      <c r="C29" s="82" t="str">
        <v>Network</v>
      </c>
      <c r="D29" s="82" t="str">
        <v>Anytime - supply charge - RES - Jemena</v>
      </c>
      <c r="E29" s="23" t="s">
        <v>62</v>
      </c>
      <c r="F29" s="23" t="s">
        <v>490</v>
      </c>
      <c r="G29" s="23" t="s">
        <v>490</v>
      </c>
      <c r="H29" s="23" t="s">
        <v>490</v>
      </c>
      <c r="I29" s="23" t="s">
        <v>490</v>
      </c>
      <c r="J29" s="23" t="s">
        <v>490</v>
      </c>
      <c r="K29" s="23"/>
    </row>
    <row r="30" spans="3:11" x14ac:dyDescent="0.25">
      <c r="C30" s="82" t="str">
        <v>Network</v>
      </c>
      <c r="D30" s="82" t="str">
        <v>Anytime - supply charge - RES - Powercor</v>
      </c>
      <c r="E30" s="23" t="s">
        <v>63</v>
      </c>
      <c r="F30" s="23" t="s">
        <v>476</v>
      </c>
      <c r="G30" s="23" t="s">
        <v>476</v>
      </c>
      <c r="H30" s="23" t="s">
        <v>476</v>
      </c>
      <c r="I30" s="23" t="s">
        <v>476</v>
      </c>
      <c r="J30" s="23" t="s">
        <v>476</v>
      </c>
      <c r="K30" s="23"/>
    </row>
    <row r="31" spans="3:11" x14ac:dyDescent="0.25">
      <c r="C31" s="82" t="str">
        <v>Network</v>
      </c>
      <c r="D31" s="82" t="str">
        <v>Anytime - supply charge - RES - United Energy</v>
      </c>
      <c r="E31" s="23" t="s">
        <v>64</v>
      </c>
      <c r="F31" s="23" t="s">
        <v>482</v>
      </c>
      <c r="G31" s="23" t="s">
        <v>482</v>
      </c>
      <c r="H31" s="23" t="s">
        <v>482</v>
      </c>
      <c r="I31" s="23" t="s">
        <v>482</v>
      </c>
      <c r="J31" s="23" t="s">
        <v>482</v>
      </c>
      <c r="K31" s="23"/>
    </row>
    <row r="32" spans="3:11" x14ac:dyDescent="0.25">
      <c r="C32" s="82" t="str">
        <v>Network</v>
      </c>
      <c r="D32" s="82" t="str">
        <v>Anytime - supply charge - SME - Ausnet</v>
      </c>
      <c r="E32" s="23" t="s">
        <v>65</v>
      </c>
      <c r="F32" s="23" t="s">
        <v>465</v>
      </c>
      <c r="G32" s="23" t="s">
        <v>465</v>
      </c>
      <c r="H32" s="23" t="s">
        <v>465</v>
      </c>
      <c r="I32" s="23" t="s">
        <v>465</v>
      </c>
      <c r="J32" s="23" t="s">
        <v>465</v>
      </c>
      <c r="K32" s="23"/>
    </row>
    <row r="33" spans="3:11" x14ac:dyDescent="0.25">
      <c r="C33" s="82" t="str">
        <v>Network</v>
      </c>
      <c r="D33" s="82" t="str">
        <v>Anytime - supply charge - SME - Citipower</v>
      </c>
      <c r="E33" s="23" t="s">
        <v>66</v>
      </c>
      <c r="F33" s="23" t="s">
        <v>471</v>
      </c>
      <c r="G33" s="23" t="s">
        <v>471</v>
      </c>
      <c r="H33" s="23" t="s">
        <v>471</v>
      </c>
      <c r="I33" s="23" t="s">
        <v>471</v>
      </c>
      <c r="J33" s="23" t="s">
        <v>471</v>
      </c>
      <c r="K33" s="23"/>
    </row>
    <row r="34" spans="3:11" x14ac:dyDescent="0.25">
      <c r="C34" s="82" t="str">
        <v>Network</v>
      </c>
      <c r="D34" s="82" t="str">
        <v>Anytime - supply charge - SME - Jemena</v>
      </c>
      <c r="E34" s="23" t="s">
        <v>67</v>
      </c>
      <c r="F34" s="23" t="s">
        <v>489</v>
      </c>
      <c r="G34" s="23" t="s">
        <v>489</v>
      </c>
      <c r="H34" s="23" t="s">
        <v>489</v>
      </c>
      <c r="I34" s="23" t="s">
        <v>489</v>
      </c>
      <c r="J34" s="23" t="s">
        <v>489</v>
      </c>
      <c r="K34" s="23"/>
    </row>
    <row r="35" spans="3:11" x14ac:dyDescent="0.25">
      <c r="C35" s="82" t="str">
        <v>Network</v>
      </c>
      <c r="D35" s="82" t="str">
        <v>Anytime - supply charge - SME - Powercor</v>
      </c>
      <c r="E35" s="23" t="s">
        <v>68</v>
      </c>
      <c r="F35" s="23" t="s">
        <v>477</v>
      </c>
      <c r="G35" s="23" t="s">
        <v>477</v>
      </c>
      <c r="H35" s="23" t="s">
        <v>477</v>
      </c>
      <c r="I35" s="23" t="s">
        <v>477</v>
      </c>
      <c r="J35" s="23" t="s">
        <v>477</v>
      </c>
      <c r="K35" s="23"/>
    </row>
    <row r="36" spans="3:11" x14ac:dyDescent="0.25">
      <c r="C36" s="82" t="str">
        <v>Network</v>
      </c>
      <c r="D36" s="82" t="str">
        <v>Anytime - supply charge - SME - United Energy</v>
      </c>
      <c r="E36" s="23" t="s">
        <v>69</v>
      </c>
      <c r="F36" s="23" t="s">
        <v>483</v>
      </c>
      <c r="G36" s="23" t="s">
        <v>483</v>
      </c>
      <c r="H36" s="23" t="s">
        <v>483</v>
      </c>
      <c r="I36" s="23" t="s">
        <v>483</v>
      </c>
      <c r="J36" s="23" t="s">
        <v>483</v>
      </c>
      <c r="K36" s="23"/>
    </row>
    <row r="37" spans="3:11" x14ac:dyDescent="0.25">
      <c r="C37" s="82" t="str">
        <v>Network</v>
      </c>
      <c r="D37" s="82" t="str">
        <v>TOU - supply charge - RES - Ausnet</v>
      </c>
      <c r="E37" s="23" t="s">
        <v>79</v>
      </c>
      <c r="F37" s="23" t="s">
        <v>466</v>
      </c>
      <c r="G37" s="23" t="s">
        <v>466</v>
      </c>
      <c r="H37" s="23" t="s">
        <v>466</v>
      </c>
      <c r="I37" s="23" t="s">
        <v>466</v>
      </c>
      <c r="J37" s="23" t="s">
        <v>466</v>
      </c>
      <c r="K37" s="23"/>
    </row>
    <row r="38" spans="3:11" x14ac:dyDescent="0.25">
      <c r="C38" s="82" t="str">
        <v>Network</v>
      </c>
      <c r="D38" s="82" t="str">
        <v>TOU - supply charge - RES - Citipower</v>
      </c>
      <c r="E38" s="23" t="s">
        <v>79</v>
      </c>
      <c r="F38" s="23" t="s">
        <v>472</v>
      </c>
      <c r="G38" s="23" t="s">
        <v>472</v>
      </c>
      <c r="H38" s="23" t="s">
        <v>472</v>
      </c>
      <c r="I38" s="23" t="s">
        <v>472</v>
      </c>
      <c r="J38" s="23" t="s">
        <v>472</v>
      </c>
      <c r="K38" s="23"/>
    </row>
    <row r="39" spans="3:11" x14ac:dyDescent="0.25">
      <c r="C39" s="82" t="str">
        <v>Network</v>
      </c>
      <c r="D39" s="82" t="str">
        <v>TOU - supply charge - RES - Jemena</v>
      </c>
      <c r="E39" s="23" t="s">
        <v>79</v>
      </c>
      <c r="F39" s="23" t="s">
        <v>488</v>
      </c>
      <c r="G39" s="23" t="s">
        <v>488</v>
      </c>
      <c r="H39" s="23" t="s">
        <v>488</v>
      </c>
      <c r="I39" s="23" t="s">
        <v>488</v>
      </c>
      <c r="J39" s="23" t="s">
        <v>488</v>
      </c>
      <c r="K39" s="23"/>
    </row>
    <row r="40" spans="3:11" x14ac:dyDescent="0.25">
      <c r="C40" s="82" t="str">
        <v>Network</v>
      </c>
      <c r="D40" s="82" t="str">
        <v>TOU - supply charge - RES - Powercor</v>
      </c>
      <c r="E40" s="23" t="s">
        <v>79</v>
      </c>
      <c r="F40" s="23" t="s">
        <v>478</v>
      </c>
      <c r="G40" s="23" t="s">
        <v>478</v>
      </c>
      <c r="H40" s="23" t="s">
        <v>478</v>
      </c>
      <c r="I40" s="23" t="s">
        <v>478</v>
      </c>
      <c r="J40" s="23" t="s">
        <v>478</v>
      </c>
      <c r="K40" s="23"/>
    </row>
    <row r="41" spans="3:11" x14ac:dyDescent="0.25">
      <c r="C41" s="82" t="str">
        <v>Network</v>
      </c>
      <c r="D41" s="82" t="str">
        <v>TOU - supply charge - RES - United Energy</v>
      </c>
      <c r="E41" s="23" t="s">
        <v>79</v>
      </c>
      <c r="F41" s="23" t="s">
        <v>484</v>
      </c>
      <c r="G41" s="23" t="s">
        <v>484</v>
      </c>
      <c r="H41" s="23" t="s">
        <v>484</v>
      </c>
      <c r="I41" s="23" t="s">
        <v>484</v>
      </c>
      <c r="J41" s="23" t="s">
        <v>484</v>
      </c>
      <c r="K41" s="23"/>
    </row>
    <row r="42" spans="3:11" x14ac:dyDescent="0.25">
      <c r="C42" s="82" t="str">
        <v>Network</v>
      </c>
      <c r="D42" s="82" t="str">
        <v>TOU - supply charge - SME - Ausnet</v>
      </c>
      <c r="E42" s="23" t="s">
        <v>79</v>
      </c>
      <c r="F42" s="23" t="s">
        <v>467</v>
      </c>
      <c r="G42" s="23" t="s">
        <v>467</v>
      </c>
      <c r="H42" s="23" t="s">
        <v>467</v>
      </c>
      <c r="I42" s="23" t="s">
        <v>467</v>
      </c>
      <c r="J42" s="23" t="s">
        <v>467</v>
      </c>
      <c r="K42" s="23"/>
    </row>
    <row r="43" spans="3:11" x14ac:dyDescent="0.25">
      <c r="C43" s="82" t="str">
        <v>Network</v>
      </c>
      <c r="D43" s="82" t="str">
        <v>TOU - supply charge - SME - Citipower</v>
      </c>
      <c r="E43" s="23" t="s">
        <v>79</v>
      </c>
      <c r="F43" s="23" t="s">
        <v>473</v>
      </c>
      <c r="G43" s="23" t="s">
        <v>473</v>
      </c>
      <c r="H43" s="23" t="s">
        <v>473</v>
      </c>
      <c r="I43" s="23" t="s">
        <v>473</v>
      </c>
      <c r="J43" s="23" t="s">
        <v>473</v>
      </c>
      <c r="K43" s="23"/>
    </row>
    <row r="44" spans="3:11" x14ac:dyDescent="0.25">
      <c r="C44" s="82" t="str">
        <v>Network</v>
      </c>
      <c r="D44" s="82" t="str">
        <v>TOU - supply charge - SME - Jemena</v>
      </c>
      <c r="E44" s="23" t="s">
        <v>79</v>
      </c>
      <c r="F44" s="23" t="s">
        <v>491</v>
      </c>
      <c r="G44" s="23" t="s">
        <v>491</v>
      </c>
      <c r="H44" s="23" t="s">
        <v>491</v>
      </c>
      <c r="I44" s="23" t="s">
        <v>491</v>
      </c>
      <c r="J44" s="23" t="s">
        <v>491</v>
      </c>
      <c r="K44" s="23"/>
    </row>
    <row r="45" spans="3:11" x14ac:dyDescent="0.25">
      <c r="C45" s="82" t="str">
        <v>Network</v>
      </c>
      <c r="D45" s="82" t="str">
        <v>TOU - supply charge - SME - Powercor</v>
      </c>
      <c r="E45" s="23" t="s">
        <v>79</v>
      </c>
      <c r="F45" s="23" t="s">
        <v>479</v>
      </c>
      <c r="G45" s="23" t="s">
        <v>479</v>
      </c>
      <c r="H45" s="23" t="s">
        <v>479</v>
      </c>
      <c r="I45" s="23" t="s">
        <v>479</v>
      </c>
      <c r="J45" s="23" t="s">
        <v>479</v>
      </c>
      <c r="K45" s="23"/>
    </row>
    <row r="46" spans="3:11" x14ac:dyDescent="0.25">
      <c r="C46" s="82" t="str">
        <v>Network</v>
      </c>
      <c r="D46" s="82" t="str">
        <v>TOU - supply charge - SME - United Energy</v>
      </c>
      <c r="E46" s="23" t="s">
        <v>79</v>
      </c>
      <c r="F46" s="23" t="s">
        <v>485</v>
      </c>
      <c r="G46" s="23" t="s">
        <v>485</v>
      </c>
      <c r="H46" s="23" t="s">
        <v>485</v>
      </c>
      <c r="I46" s="23" t="s">
        <v>485</v>
      </c>
      <c r="J46" s="23" t="s">
        <v>485</v>
      </c>
      <c r="K46" s="23"/>
    </row>
    <row r="47" spans="3:11" x14ac:dyDescent="0.25">
      <c r="C47" s="82" t="str">
        <v>Wholesale</v>
      </c>
      <c r="D47" s="82" t="str">
        <v>Price - RES - Ausnet</v>
      </c>
      <c r="E47" s="23" t="s">
        <v>70</v>
      </c>
      <c r="F47" s="23" t="s">
        <v>70</v>
      </c>
      <c r="G47" s="23" t="s">
        <v>70</v>
      </c>
      <c r="H47" s="23" t="s">
        <v>725</v>
      </c>
      <c r="I47" s="23" t="s">
        <v>778</v>
      </c>
      <c r="J47" s="23" t="s">
        <v>852</v>
      </c>
      <c r="K47" s="23"/>
    </row>
    <row r="48" spans="3:11" x14ac:dyDescent="0.25">
      <c r="C48" s="82" t="str">
        <v>Wholesale</v>
      </c>
      <c r="D48" s="82" t="str">
        <v>Price - RES - Citipower</v>
      </c>
      <c r="E48" s="23" t="s">
        <v>70</v>
      </c>
      <c r="F48" s="23" t="s">
        <v>70</v>
      </c>
      <c r="G48" s="23" t="s">
        <v>70</v>
      </c>
      <c r="H48" s="23" t="s">
        <v>725</v>
      </c>
      <c r="I48" s="23" t="s">
        <v>778</v>
      </c>
      <c r="J48" s="23" t="s">
        <v>853</v>
      </c>
      <c r="K48" s="23"/>
    </row>
    <row r="49" spans="3:11" x14ac:dyDescent="0.25">
      <c r="C49" s="82" t="str">
        <v>Wholesale</v>
      </c>
      <c r="D49" s="82" t="str">
        <v>Price - RES - Jemena</v>
      </c>
      <c r="E49" s="23" t="s">
        <v>70</v>
      </c>
      <c r="F49" s="23" t="s">
        <v>70</v>
      </c>
      <c r="G49" s="23" t="s">
        <v>70</v>
      </c>
      <c r="H49" s="23" t="s">
        <v>725</v>
      </c>
      <c r="I49" s="23" t="s">
        <v>778</v>
      </c>
      <c r="J49" s="23" t="s">
        <v>854</v>
      </c>
      <c r="K49" s="23"/>
    </row>
    <row r="50" spans="3:11" x14ac:dyDescent="0.25">
      <c r="C50" s="82" t="str">
        <v>Wholesale</v>
      </c>
      <c r="D50" s="82" t="str">
        <v>Price - RES - Powercor</v>
      </c>
      <c r="E50" s="23" t="s">
        <v>70</v>
      </c>
      <c r="F50" s="23" t="s">
        <v>70</v>
      </c>
      <c r="G50" s="23" t="s">
        <v>70</v>
      </c>
      <c r="H50" s="23" t="s">
        <v>725</v>
      </c>
      <c r="I50" s="23" t="s">
        <v>778</v>
      </c>
      <c r="J50" s="23" t="s">
        <v>855</v>
      </c>
      <c r="K50" s="23"/>
    </row>
    <row r="51" spans="3:11" x14ac:dyDescent="0.25">
      <c r="C51" s="82" t="str">
        <v>Wholesale</v>
      </c>
      <c r="D51" s="82" t="str">
        <v>Price - RES - United Energy</v>
      </c>
      <c r="E51" s="23" t="s">
        <v>70</v>
      </c>
      <c r="F51" s="23" t="s">
        <v>70</v>
      </c>
      <c r="G51" s="23" t="s">
        <v>70</v>
      </c>
      <c r="H51" s="23" t="s">
        <v>725</v>
      </c>
      <c r="I51" s="23" t="s">
        <v>778</v>
      </c>
      <c r="J51" s="23" t="s">
        <v>856</v>
      </c>
      <c r="K51" s="23"/>
    </row>
    <row r="52" spans="3:11" x14ac:dyDescent="0.25">
      <c r="C52" s="82" t="str">
        <v>Wholesale</v>
      </c>
      <c r="D52" s="82" t="str">
        <v>Volatility - RES - Ausnet</v>
      </c>
      <c r="E52" s="23" t="s">
        <v>71</v>
      </c>
      <c r="F52" s="23" t="s">
        <v>71</v>
      </c>
      <c r="G52" s="23" t="s">
        <v>71</v>
      </c>
      <c r="H52" s="23" t="s">
        <v>726</v>
      </c>
      <c r="I52" s="23" t="s">
        <v>777</v>
      </c>
      <c r="J52" s="23" t="s">
        <v>857</v>
      </c>
      <c r="K52" s="23"/>
    </row>
    <row r="53" spans="3:11" x14ac:dyDescent="0.25">
      <c r="C53" s="82" t="str">
        <v>Wholesale</v>
      </c>
      <c r="D53" s="82" t="str">
        <v>Volatility - RES - Citipower</v>
      </c>
      <c r="E53" s="23" t="s">
        <v>71</v>
      </c>
      <c r="F53" s="23" t="s">
        <v>71</v>
      </c>
      <c r="G53" s="23" t="s">
        <v>71</v>
      </c>
      <c r="H53" s="23" t="s">
        <v>726</v>
      </c>
      <c r="I53" s="23" t="s">
        <v>777</v>
      </c>
      <c r="J53" s="23" t="s">
        <v>858</v>
      </c>
      <c r="K53" s="23"/>
    </row>
    <row r="54" spans="3:11" x14ac:dyDescent="0.25">
      <c r="C54" s="82" t="str">
        <v>Wholesale</v>
      </c>
      <c r="D54" s="82" t="str">
        <v>Volatility - RES - Jemena</v>
      </c>
      <c r="E54" s="23" t="s">
        <v>71</v>
      </c>
      <c r="F54" s="23" t="s">
        <v>71</v>
      </c>
      <c r="G54" s="23" t="s">
        <v>71</v>
      </c>
      <c r="H54" s="23" t="s">
        <v>726</v>
      </c>
      <c r="I54" s="23" t="s">
        <v>777</v>
      </c>
      <c r="J54" s="23" t="s">
        <v>859</v>
      </c>
      <c r="K54" s="23"/>
    </row>
    <row r="55" spans="3:11" x14ac:dyDescent="0.25">
      <c r="C55" s="82" t="str">
        <v>Wholesale</v>
      </c>
      <c r="D55" s="82" t="str">
        <v>Volatility - RES - Powercor</v>
      </c>
      <c r="E55" s="23" t="s">
        <v>71</v>
      </c>
      <c r="F55" s="23" t="s">
        <v>71</v>
      </c>
      <c r="G55" s="23" t="s">
        <v>71</v>
      </c>
      <c r="H55" s="23" t="s">
        <v>726</v>
      </c>
      <c r="I55" s="23" t="s">
        <v>777</v>
      </c>
      <c r="J55" s="23" t="s">
        <v>860</v>
      </c>
      <c r="K55" s="23"/>
    </row>
    <row r="56" spans="3:11" x14ac:dyDescent="0.25">
      <c r="C56" s="82" t="str">
        <v>Wholesale</v>
      </c>
      <c r="D56" s="82" t="str">
        <v>Volatility - RES - United Energy</v>
      </c>
      <c r="E56" s="23" t="s">
        <v>71</v>
      </c>
      <c r="F56" s="23" t="s">
        <v>71</v>
      </c>
      <c r="G56" s="23" t="s">
        <v>71</v>
      </c>
      <c r="H56" s="23" t="s">
        <v>726</v>
      </c>
      <c r="I56" s="23" t="s">
        <v>777</v>
      </c>
      <c r="J56" s="23" t="s">
        <v>861</v>
      </c>
      <c r="K56" s="23"/>
    </row>
    <row r="57" spans="3:11" x14ac:dyDescent="0.25">
      <c r="C57" s="82" t="str">
        <v>Wholesale</v>
      </c>
      <c r="D57" s="82" t="str">
        <v>Price - SME - Ausnet</v>
      </c>
      <c r="E57" s="23" t="s">
        <v>70</v>
      </c>
      <c r="F57" s="23" t="s">
        <v>70</v>
      </c>
      <c r="G57" s="23" t="s">
        <v>70</v>
      </c>
      <c r="H57" s="23" t="s">
        <v>725</v>
      </c>
      <c r="I57" s="23" t="s">
        <v>778</v>
      </c>
      <c r="J57" s="23" t="s">
        <v>862</v>
      </c>
      <c r="K57" s="23"/>
    </row>
    <row r="58" spans="3:11" x14ac:dyDescent="0.25">
      <c r="C58" s="82" t="str">
        <v>Wholesale</v>
      </c>
      <c r="D58" s="82" t="str">
        <v>Price - SME - Citipower</v>
      </c>
      <c r="E58" s="23" t="s">
        <v>70</v>
      </c>
      <c r="F58" s="23" t="s">
        <v>70</v>
      </c>
      <c r="G58" s="23" t="s">
        <v>70</v>
      </c>
      <c r="H58" s="23" t="s">
        <v>725</v>
      </c>
      <c r="I58" s="23" t="s">
        <v>778</v>
      </c>
      <c r="J58" s="23" t="s">
        <v>863</v>
      </c>
      <c r="K58" s="23"/>
    </row>
    <row r="59" spans="3:11" x14ac:dyDescent="0.25">
      <c r="C59" s="82" t="str">
        <v>Wholesale</v>
      </c>
      <c r="D59" s="82" t="str">
        <v>Price - SME - Jemena</v>
      </c>
      <c r="E59" s="23" t="s">
        <v>70</v>
      </c>
      <c r="F59" s="23" t="s">
        <v>70</v>
      </c>
      <c r="G59" s="23" t="s">
        <v>70</v>
      </c>
      <c r="H59" s="23" t="s">
        <v>725</v>
      </c>
      <c r="I59" s="23" t="s">
        <v>778</v>
      </c>
      <c r="J59" s="23" t="s">
        <v>864</v>
      </c>
      <c r="K59" s="23"/>
    </row>
    <row r="60" spans="3:11" x14ac:dyDescent="0.25">
      <c r="C60" s="82" t="str">
        <v>Wholesale</v>
      </c>
      <c r="D60" s="82" t="str">
        <v>Price - SME - Powercor</v>
      </c>
      <c r="E60" s="23" t="s">
        <v>70</v>
      </c>
      <c r="F60" s="23" t="s">
        <v>70</v>
      </c>
      <c r="G60" s="23" t="s">
        <v>70</v>
      </c>
      <c r="H60" s="23" t="s">
        <v>725</v>
      </c>
      <c r="I60" s="23" t="s">
        <v>778</v>
      </c>
      <c r="J60" s="23" t="s">
        <v>865</v>
      </c>
      <c r="K60" s="23"/>
    </row>
    <row r="61" spans="3:11" x14ac:dyDescent="0.25">
      <c r="C61" s="82" t="str">
        <v>Wholesale</v>
      </c>
      <c r="D61" s="82" t="str">
        <v>Price - SME - United Energy</v>
      </c>
      <c r="E61" s="23" t="s">
        <v>70</v>
      </c>
      <c r="F61" s="23" t="s">
        <v>70</v>
      </c>
      <c r="G61" s="23" t="s">
        <v>70</v>
      </c>
      <c r="H61" s="23" t="s">
        <v>725</v>
      </c>
      <c r="I61" s="23" t="s">
        <v>778</v>
      </c>
      <c r="J61" s="23" t="s">
        <v>866</v>
      </c>
      <c r="K61" s="23"/>
    </row>
    <row r="62" spans="3:11" x14ac:dyDescent="0.25">
      <c r="C62" s="82" t="str">
        <v>Wholesale</v>
      </c>
      <c r="D62" s="82" t="str">
        <v>Volatility - SME - Ausnet</v>
      </c>
      <c r="E62" s="23" t="s">
        <v>71</v>
      </c>
      <c r="F62" s="23" t="s">
        <v>71</v>
      </c>
      <c r="G62" s="23" t="s">
        <v>71</v>
      </c>
      <c r="H62" s="23" t="s">
        <v>726</v>
      </c>
      <c r="I62" s="23" t="s">
        <v>777</v>
      </c>
      <c r="J62" s="23" t="s">
        <v>867</v>
      </c>
      <c r="K62" s="23"/>
    </row>
    <row r="63" spans="3:11" x14ac:dyDescent="0.25">
      <c r="C63" s="82" t="str">
        <v>Wholesale</v>
      </c>
      <c r="D63" s="82" t="str">
        <v>Volatility - SME - Citipower</v>
      </c>
      <c r="E63" s="23" t="s">
        <v>71</v>
      </c>
      <c r="F63" s="23" t="s">
        <v>71</v>
      </c>
      <c r="G63" s="23" t="s">
        <v>71</v>
      </c>
      <c r="H63" s="23" t="s">
        <v>726</v>
      </c>
      <c r="I63" s="23" t="s">
        <v>777</v>
      </c>
      <c r="J63" s="23" t="s">
        <v>868</v>
      </c>
      <c r="K63" s="23"/>
    </row>
    <row r="64" spans="3:11" x14ac:dyDescent="0.25">
      <c r="C64" s="82" t="str">
        <v>Wholesale</v>
      </c>
      <c r="D64" s="82" t="str">
        <v>Volatility - SME - Jemena</v>
      </c>
      <c r="E64" s="23" t="s">
        <v>71</v>
      </c>
      <c r="F64" s="23" t="s">
        <v>71</v>
      </c>
      <c r="G64" s="23" t="s">
        <v>71</v>
      </c>
      <c r="H64" s="23" t="s">
        <v>726</v>
      </c>
      <c r="I64" s="23" t="s">
        <v>777</v>
      </c>
      <c r="J64" s="23" t="s">
        <v>869</v>
      </c>
      <c r="K64" s="23"/>
    </row>
    <row r="65" spans="1:11" x14ac:dyDescent="0.25">
      <c r="C65" s="82" t="str">
        <v>Wholesale</v>
      </c>
      <c r="D65" s="82" t="str">
        <v>Volatility - SME - Powercor</v>
      </c>
      <c r="E65" s="23" t="s">
        <v>71</v>
      </c>
      <c r="F65" s="23" t="s">
        <v>71</v>
      </c>
      <c r="G65" s="23" t="s">
        <v>71</v>
      </c>
      <c r="H65" s="23" t="s">
        <v>726</v>
      </c>
      <c r="I65" s="23" t="s">
        <v>777</v>
      </c>
      <c r="J65" s="23" t="s">
        <v>870</v>
      </c>
      <c r="K65" s="23"/>
    </row>
    <row r="66" spans="1:11" x14ac:dyDescent="0.25">
      <c r="C66" s="82" t="str">
        <v>Wholesale</v>
      </c>
      <c r="D66" s="82" t="str">
        <v>Volatility - SME - United Energy</v>
      </c>
      <c r="E66" s="23" t="s">
        <v>71</v>
      </c>
      <c r="F66" s="23" t="s">
        <v>71</v>
      </c>
      <c r="G66" s="23" t="s">
        <v>71</v>
      </c>
      <c r="H66" s="23" t="s">
        <v>726</v>
      </c>
      <c r="I66" s="23" t="s">
        <v>777</v>
      </c>
      <c r="J66" s="23" t="s">
        <v>871</v>
      </c>
      <c r="K66" s="23"/>
    </row>
    <row r="67" spans="1:11" s="303" customFormat="1" x14ac:dyDescent="0.25">
      <c r="B67" s="372"/>
      <c r="C67" s="82" t="str">
        <v>Environmental</v>
      </c>
      <c r="D67" s="82" t="str">
        <v>Victorian energy upgrades (VEU) - Price</v>
      </c>
      <c r="E67" s="23" t="s">
        <v>72</v>
      </c>
      <c r="F67" s="23" t="s">
        <v>72</v>
      </c>
      <c r="G67" s="23" t="s">
        <v>72</v>
      </c>
      <c r="H67" s="23" t="s">
        <v>728</v>
      </c>
      <c r="I67" s="23" t="s">
        <v>784</v>
      </c>
      <c r="J67" s="23" t="s">
        <v>880</v>
      </c>
      <c r="K67" s="23"/>
    </row>
    <row r="68" spans="1:11" s="303" customFormat="1" x14ac:dyDescent="0.25">
      <c r="A68" s="371"/>
      <c r="B68" s="372"/>
      <c r="C68" s="82" t="str">
        <v>Environmental</v>
      </c>
      <c r="D68" s="82" t="str">
        <v>Large-scale renewable energy target (LRET) - Price</v>
      </c>
      <c r="E68" s="23" t="s">
        <v>73</v>
      </c>
      <c r="F68" s="23" t="s">
        <v>73</v>
      </c>
      <c r="G68" s="23" t="s">
        <v>73</v>
      </c>
      <c r="H68" s="23" t="s">
        <v>730</v>
      </c>
      <c r="I68" s="23" t="s">
        <v>782</v>
      </c>
      <c r="J68" s="23" t="s">
        <v>872</v>
      </c>
      <c r="K68" s="23"/>
    </row>
    <row r="69" spans="1:11" s="303" customFormat="1" x14ac:dyDescent="0.25">
      <c r="A69" s="371"/>
      <c r="B69" s="372"/>
      <c r="C69" s="82" t="str">
        <v>Environmental</v>
      </c>
      <c r="D69" s="82" t="str">
        <v>Small-scale renewable energy scheme (SRES) - Price</v>
      </c>
      <c r="E69" s="23" t="s">
        <v>74</v>
      </c>
      <c r="F69" s="23" t="s">
        <v>74</v>
      </c>
      <c r="G69" s="23" t="s">
        <v>74</v>
      </c>
      <c r="H69" s="23" t="s">
        <v>729</v>
      </c>
      <c r="I69" s="23" t="s">
        <v>783</v>
      </c>
      <c r="J69" s="23" t="s">
        <v>873</v>
      </c>
      <c r="K69" s="23"/>
    </row>
    <row r="70" spans="1:11" s="303" customFormat="1" x14ac:dyDescent="0.25">
      <c r="A70" s="371"/>
      <c r="B70" s="372"/>
      <c r="C70" s="82" t="str">
        <v>Environmental</v>
      </c>
      <c r="D70" s="82" t="str">
        <v>Victorian energy upgrades (VEU) - Liability</v>
      </c>
      <c r="E70" s="23" t="s">
        <v>75</v>
      </c>
      <c r="F70" s="23" t="s">
        <v>75</v>
      </c>
      <c r="G70" s="23" t="s">
        <v>75</v>
      </c>
      <c r="H70" s="23" t="s">
        <v>727</v>
      </c>
      <c r="I70" s="23" t="s">
        <v>727</v>
      </c>
      <c r="J70" s="23" t="s">
        <v>75</v>
      </c>
      <c r="K70" s="23"/>
    </row>
    <row r="71" spans="1:11" s="303" customFormat="1" x14ac:dyDescent="0.25">
      <c r="A71" s="371"/>
      <c r="B71" s="372"/>
      <c r="C71" s="82" t="str">
        <v>Environmental</v>
      </c>
      <c r="D71" s="82" t="str">
        <v>Large-scale renewable energy target (LRET) - Liability</v>
      </c>
      <c r="E71" s="23" t="s">
        <v>76</v>
      </c>
      <c r="F71" s="23" t="s">
        <v>76</v>
      </c>
      <c r="G71" s="23" t="s">
        <v>76</v>
      </c>
      <c r="H71" s="23" t="s">
        <v>731</v>
      </c>
      <c r="I71" s="23" t="s">
        <v>807</v>
      </c>
      <c r="J71" s="23" t="s">
        <v>874</v>
      </c>
      <c r="K71" s="23"/>
    </row>
    <row r="72" spans="1:11" s="303" customFormat="1" x14ac:dyDescent="0.25">
      <c r="A72" s="371"/>
      <c r="B72" s="372"/>
      <c r="C72" s="82" t="str">
        <v>Environmental</v>
      </c>
      <c r="D72" s="82" t="str">
        <v>Large-scale renewable energy target (LRET) - Liability true up (2021 only)</v>
      </c>
      <c r="E72" s="23" t="s">
        <v>76</v>
      </c>
      <c r="F72" s="23" t="s">
        <v>76</v>
      </c>
      <c r="G72" s="23" t="s">
        <v>76</v>
      </c>
      <c r="H72" s="23" t="s">
        <v>732</v>
      </c>
      <c r="I72" s="23" t="s">
        <v>732</v>
      </c>
      <c r="J72" s="23" t="s">
        <v>732</v>
      </c>
      <c r="K72" s="23"/>
    </row>
    <row r="73" spans="1:11" s="303" customFormat="1" x14ac:dyDescent="0.25">
      <c r="A73" s="371"/>
      <c r="B73" s="372"/>
      <c r="C73" s="82" t="str">
        <v>Environmental</v>
      </c>
      <c r="D73" s="82" t="str">
        <v>Small-scale renewable energy scheme (SRES) - Liability</v>
      </c>
      <c r="E73" s="23" t="s">
        <v>77</v>
      </c>
      <c r="F73" s="23" t="s">
        <v>77</v>
      </c>
      <c r="G73" s="23" t="s">
        <v>77</v>
      </c>
      <c r="H73" s="23" t="s">
        <v>733</v>
      </c>
      <c r="I73" s="23" t="s">
        <v>733</v>
      </c>
      <c r="J73" s="23" t="s">
        <v>875</v>
      </c>
      <c r="K73" s="23"/>
    </row>
    <row r="74" spans="1:11" s="303" customFormat="1" x14ac:dyDescent="0.25">
      <c r="A74" s="371"/>
      <c r="B74" s="372"/>
      <c r="C74" s="82" t="str">
        <v>Environmental</v>
      </c>
      <c r="D74" s="82" t="str">
        <v>Small-scale renewable energy scheme (SRES) - Liability true up (2021 only)</v>
      </c>
      <c r="E74" s="23" t="s">
        <v>77</v>
      </c>
      <c r="F74" s="23" t="s">
        <v>77</v>
      </c>
      <c r="G74" s="23" t="s">
        <v>77</v>
      </c>
      <c r="H74" s="23" t="s">
        <v>732</v>
      </c>
      <c r="I74" s="23" t="s">
        <v>732</v>
      </c>
      <c r="J74" s="23" t="s">
        <v>732</v>
      </c>
      <c r="K74" s="23"/>
    </row>
    <row r="75" spans="1:11" x14ac:dyDescent="0.25">
      <c r="B75" s="372"/>
      <c r="C75" s="82" t="str">
        <v>Other</v>
      </c>
      <c r="D75" s="82" t="str">
        <v>General NEM fees</v>
      </c>
      <c r="E75" s="23" t="s">
        <v>78</v>
      </c>
      <c r="F75" s="23" t="s">
        <v>78</v>
      </c>
      <c r="G75" s="23" t="s">
        <v>78</v>
      </c>
      <c r="H75" s="23" t="s">
        <v>723</v>
      </c>
      <c r="I75" s="23" t="s">
        <v>723</v>
      </c>
      <c r="J75" s="23" t="s">
        <v>723</v>
      </c>
      <c r="K75" s="23"/>
    </row>
    <row r="76" spans="1:11" x14ac:dyDescent="0.25">
      <c r="B76" s="372"/>
      <c r="C76" s="82" t="str">
        <v>Other</v>
      </c>
      <c r="D76" s="82" t="str">
        <v>Full retail competition (FRC) operations (OBSOLETE)</v>
      </c>
      <c r="E76" s="23" t="s">
        <v>738</v>
      </c>
      <c r="F76" s="23" t="s">
        <v>738</v>
      </c>
      <c r="G76" s="23" t="s">
        <v>738</v>
      </c>
      <c r="H76" s="23" t="s">
        <v>738</v>
      </c>
      <c r="I76" s="23" t="s">
        <v>738</v>
      </c>
      <c r="J76" s="23" t="s">
        <v>738</v>
      </c>
      <c r="K76" s="23"/>
    </row>
    <row r="77" spans="1:11" x14ac:dyDescent="0.25">
      <c r="C77" s="82" t="str">
        <v>Other</v>
      </c>
      <c r="D77" s="82" t="str">
        <v>National transmission planner</v>
      </c>
      <c r="E77" s="23" t="s">
        <v>734</v>
      </c>
      <c r="F77" s="23" t="s">
        <v>734</v>
      </c>
      <c r="G77" s="23" t="s">
        <v>734</v>
      </c>
      <c r="H77" s="23" t="s">
        <v>734</v>
      </c>
      <c r="I77" s="23" t="s">
        <v>734</v>
      </c>
      <c r="J77" s="23" t="s">
        <v>734</v>
      </c>
      <c r="K77" s="23"/>
    </row>
    <row r="78" spans="1:11" x14ac:dyDescent="0.25">
      <c r="C78" s="82" t="str">
        <v>Other</v>
      </c>
      <c r="D78" s="82" t="str">
        <v>Ancillary services</v>
      </c>
      <c r="E78" s="23" t="s">
        <v>80</v>
      </c>
      <c r="F78" s="23" t="s">
        <v>80</v>
      </c>
      <c r="G78" s="23" t="s">
        <v>80</v>
      </c>
      <c r="H78" s="23" t="s">
        <v>735</v>
      </c>
      <c r="I78" s="23" t="s">
        <v>780</v>
      </c>
      <c r="J78" s="125" t="s">
        <v>879</v>
      </c>
      <c r="K78" s="23"/>
    </row>
    <row r="79" spans="1:11" x14ac:dyDescent="0.25">
      <c r="C79" s="82" t="str">
        <v>Other</v>
      </c>
      <c r="D79" s="82" t="str">
        <v>IT upgrade and 5MS/GS compliance</v>
      </c>
      <c r="E79" s="23" t="s">
        <v>79</v>
      </c>
      <c r="F79" s="23" t="s">
        <v>79</v>
      </c>
      <c r="G79" s="23" t="s">
        <v>79</v>
      </c>
      <c r="H79" s="23" t="s">
        <v>79</v>
      </c>
      <c r="I79" s="23" t="s">
        <v>723</v>
      </c>
      <c r="J79" s="23" t="s">
        <v>723</v>
      </c>
      <c r="K79" s="23"/>
    </row>
    <row r="80" spans="1:11" x14ac:dyDescent="0.25">
      <c r="C80" s="82" t="str">
        <v>Other</v>
      </c>
      <c r="D80" s="82" t="str">
        <v>Distributed Energy Resources Integration Program (DER)</v>
      </c>
      <c r="E80" s="23" t="s">
        <v>79</v>
      </c>
      <c r="F80" s="23" t="s">
        <v>79</v>
      </c>
      <c r="G80" s="23" t="s">
        <v>79</v>
      </c>
      <c r="H80" s="23" t="s">
        <v>79</v>
      </c>
      <c r="I80" s="23" t="s">
        <v>781</v>
      </c>
      <c r="J80" s="23" t="s">
        <v>781</v>
      </c>
      <c r="K80" s="23"/>
    </row>
    <row r="81" spans="3:11" x14ac:dyDescent="0.25">
      <c r="C81" s="82" t="str">
        <v>Network</v>
      </c>
      <c r="D81" s="82" t="str">
        <v>Anytime - Block 1 - RES - Ausnet</v>
      </c>
      <c r="E81" s="23" t="s">
        <v>60</v>
      </c>
      <c r="F81" s="23" t="s">
        <v>464</v>
      </c>
      <c r="G81" s="23" t="s">
        <v>464</v>
      </c>
      <c r="H81" s="23" t="s">
        <v>464</v>
      </c>
      <c r="I81" s="23" t="s">
        <v>464</v>
      </c>
      <c r="J81" s="23" t="s">
        <v>464</v>
      </c>
      <c r="K81" s="23"/>
    </row>
    <row r="82" spans="3:11" x14ac:dyDescent="0.25">
      <c r="C82" s="82" t="str">
        <v>Network</v>
      </c>
      <c r="D82" s="82" t="str">
        <v>Anytime - Balance - RES - Ausnet</v>
      </c>
      <c r="E82" s="23" t="s">
        <v>60</v>
      </c>
      <c r="F82" s="23" t="s">
        <v>464</v>
      </c>
      <c r="G82" s="23" t="s">
        <v>464</v>
      </c>
      <c r="H82" s="23" t="s">
        <v>464</v>
      </c>
      <c r="I82" s="23" t="s">
        <v>464</v>
      </c>
      <c r="J82" s="23" t="s">
        <v>464</v>
      </c>
      <c r="K82" s="23"/>
    </row>
    <row r="83" spans="3:11" x14ac:dyDescent="0.25">
      <c r="C83" s="82" t="str">
        <v>Network</v>
      </c>
      <c r="D83" s="82" t="str">
        <v>Anytime - Single rate - RES - Citipower</v>
      </c>
      <c r="E83" s="23" t="s">
        <v>61</v>
      </c>
      <c r="F83" s="23" t="s">
        <v>470</v>
      </c>
      <c r="G83" s="23" t="s">
        <v>470</v>
      </c>
      <c r="H83" s="23" t="s">
        <v>470</v>
      </c>
      <c r="I83" s="23" t="s">
        <v>470</v>
      </c>
      <c r="J83" s="23" t="s">
        <v>470</v>
      </c>
      <c r="K83" s="23"/>
    </row>
    <row r="84" spans="3:11" x14ac:dyDescent="0.25">
      <c r="C84" s="82" t="str">
        <v>Network</v>
      </c>
      <c r="D84" s="82" t="str">
        <v>Anytime - Single rate - RES - Jemena</v>
      </c>
      <c r="E84" s="23" t="s">
        <v>62</v>
      </c>
      <c r="F84" s="23" t="s">
        <v>490</v>
      </c>
      <c r="G84" s="23" t="s">
        <v>490</v>
      </c>
      <c r="H84" s="23" t="s">
        <v>490</v>
      </c>
      <c r="I84" s="23" t="s">
        <v>490</v>
      </c>
      <c r="J84" s="23" t="s">
        <v>490</v>
      </c>
      <c r="K84" s="23"/>
    </row>
    <row r="85" spans="3:11" x14ac:dyDescent="0.25">
      <c r="C85" s="82" t="str">
        <v>Network</v>
      </c>
      <c r="D85" s="82" t="str">
        <v>Anytime - Single rate - RES - Powercor</v>
      </c>
      <c r="E85" s="23" t="s">
        <v>63</v>
      </c>
      <c r="F85" s="23" t="s">
        <v>476</v>
      </c>
      <c r="G85" s="23" t="s">
        <v>476</v>
      </c>
      <c r="H85" s="23" t="s">
        <v>476</v>
      </c>
      <c r="I85" s="23" t="s">
        <v>476</v>
      </c>
      <c r="J85" s="23" t="s">
        <v>476</v>
      </c>
      <c r="K85" s="23"/>
    </row>
    <row r="86" spans="3:11" x14ac:dyDescent="0.25">
      <c r="C86" s="82" t="str">
        <v>Network</v>
      </c>
      <c r="D86" s="82" t="str">
        <v>Anytime - Single rate - RES - United Energy</v>
      </c>
      <c r="E86" s="23" t="s">
        <v>64</v>
      </c>
      <c r="F86" s="23" t="s">
        <v>482</v>
      </c>
      <c r="G86" s="23" t="s">
        <v>482</v>
      </c>
      <c r="H86" s="23" t="s">
        <v>482</v>
      </c>
      <c r="I86" s="23" t="s">
        <v>482</v>
      </c>
      <c r="J86" s="23" t="s">
        <v>482</v>
      </c>
      <c r="K86" s="23"/>
    </row>
    <row r="87" spans="3:11" x14ac:dyDescent="0.25">
      <c r="C87" s="82" t="str">
        <v>Network</v>
      </c>
      <c r="D87" s="82" t="str">
        <v>Anytime - Block 1 - SME - Ausnet</v>
      </c>
      <c r="E87" s="23" t="s">
        <v>65</v>
      </c>
      <c r="F87" s="23" t="s">
        <v>465</v>
      </c>
      <c r="G87" s="23" t="s">
        <v>465</v>
      </c>
      <c r="H87" s="23" t="s">
        <v>465</v>
      </c>
      <c r="I87" s="23" t="s">
        <v>465</v>
      </c>
      <c r="J87" s="23" t="s">
        <v>465</v>
      </c>
      <c r="K87" s="23"/>
    </row>
    <row r="88" spans="3:11" x14ac:dyDescent="0.25">
      <c r="C88" s="82" t="str">
        <v>Network</v>
      </c>
      <c r="D88" s="82" t="str">
        <v>Anytime - Balance - SME - Ausnet</v>
      </c>
      <c r="E88" s="23" t="s">
        <v>65</v>
      </c>
      <c r="F88" s="23" t="s">
        <v>465</v>
      </c>
      <c r="G88" s="23" t="s">
        <v>465</v>
      </c>
      <c r="H88" s="23" t="s">
        <v>465</v>
      </c>
      <c r="I88" s="23" t="s">
        <v>465</v>
      </c>
      <c r="J88" s="23" t="s">
        <v>465</v>
      </c>
      <c r="K88" s="23"/>
    </row>
    <row r="89" spans="3:11" x14ac:dyDescent="0.25">
      <c r="C89" s="82" t="str">
        <v>Network</v>
      </c>
      <c r="D89" s="82" t="str">
        <v>Anytime - Single rate - SME - Citipower</v>
      </c>
      <c r="E89" s="23" t="s">
        <v>66</v>
      </c>
      <c r="F89" s="23" t="s">
        <v>471</v>
      </c>
      <c r="G89" s="23" t="s">
        <v>471</v>
      </c>
      <c r="H89" s="23" t="s">
        <v>471</v>
      </c>
      <c r="I89" s="23" t="s">
        <v>471</v>
      </c>
      <c r="J89" s="23" t="s">
        <v>471</v>
      </c>
      <c r="K89" s="23"/>
    </row>
    <row r="90" spans="3:11" x14ac:dyDescent="0.25">
      <c r="C90" s="82" t="str">
        <v>Network</v>
      </c>
      <c r="D90" s="82" t="str">
        <v>Anytime - Single rate - SME - Jemena</v>
      </c>
      <c r="E90" s="23" t="s">
        <v>67</v>
      </c>
      <c r="F90" s="23" t="s">
        <v>489</v>
      </c>
      <c r="G90" s="23" t="s">
        <v>489</v>
      </c>
      <c r="H90" s="23" t="s">
        <v>489</v>
      </c>
      <c r="I90" s="23" t="s">
        <v>489</v>
      </c>
      <c r="J90" s="23" t="s">
        <v>489</v>
      </c>
      <c r="K90" s="23"/>
    </row>
    <row r="91" spans="3:11" x14ac:dyDescent="0.25">
      <c r="C91" s="82" t="str">
        <v>Network</v>
      </c>
      <c r="D91" s="82" t="str">
        <v>Anytime - Single rate - SME - Powercor</v>
      </c>
      <c r="E91" s="23" t="s">
        <v>68</v>
      </c>
      <c r="F91" s="23" t="s">
        <v>477</v>
      </c>
      <c r="G91" s="23" t="s">
        <v>477</v>
      </c>
      <c r="H91" s="23" t="s">
        <v>477</v>
      </c>
      <c r="I91" s="23" t="s">
        <v>477</v>
      </c>
      <c r="J91" s="23" t="s">
        <v>477</v>
      </c>
      <c r="K91" s="23"/>
    </row>
    <row r="92" spans="3:11" x14ac:dyDescent="0.25">
      <c r="C92" s="82" t="str">
        <v>Network</v>
      </c>
      <c r="D92" s="82" t="str">
        <v>Anytime - Single rate - SME - United Energy</v>
      </c>
      <c r="E92" s="23" t="s">
        <v>69</v>
      </c>
      <c r="F92" s="23" t="s">
        <v>483</v>
      </c>
      <c r="G92" s="23" t="s">
        <v>483</v>
      </c>
      <c r="H92" s="23" t="s">
        <v>483</v>
      </c>
      <c r="I92" s="23" t="s">
        <v>483</v>
      </c>
      <c r="J92" s="23" t="s">
        <v>483</v>
      </c>
      <c r="K92" s="23"/>
    </row>
    <row r="93" spans="3:11" x14ac:dyDescent="0.25">
      <c r="C93" s="82" t="str">
        <v>Network</v>
      </c>
      <c r="D93" s="82" t="str">
        <v>TOU - Peak - RES - Ausnet</v>
      </c>
      <c r="E93" s="23" t="s">
        <v>79</v>
      </c>
      <c r="F93" s="23" t="s">
        <v>466</v>
      </c>
      <c r="G93" s="23" t="s">
        <v>466</v>
      </c>
      <c r="H93" s="23" t="s">
        <v>466</v>
      </c>
      <c r="I93" s="23" t="s">
        <v>466</v>
      </c>
      <c r="J93" s="23" t="s">
        <v>466</v>
      </c>
      <c r="K93" s="23"/>
    </row>
    <row r="94" spans="3:11" x14ac:dyDescent="0.25">
      <c r="C94" s="82" t="str">
        <v>Network</v>
      </c>
      <c r="D94" s="82" t="str">
        <v>TOU - Peak - RES - Citipower</v>
      </c>
      <c r="E94" s="23" t="s">
        <v>79</v>
      </c>
      <c r="F94" s="23" t="s">
        <v>472</v>
      </c>
      <c r="G94" s="23" t="s">
        <v>472</v>
      </c>
      <c r="H94" s="23" t="s">
        <v>472</v>
      </c>
      <c r="I94" s="23" t="s">
        <v>472</v>
      </c>
      <c r="J94" s="23" t="s">
        <v>472</v>
      </c>
      <c r="K94" s="23"/>
    </row>
    <row r="95" spans="3:11" x14ac:dyDescent="0.25">
      <c r="C95" s="82" t="str">
        <v>Network</v>
      </c>
      <c r="D95" s="82" t="str">
        <v>TOU - Peak - RES - Jemena</v>
      </c>
      <c r="E95" s="23" t="s">
        <v>79</v>
      </c>
      <c r="F95" s="23" t="s">
        <v>488</v>
      </c>
      <c r="G95" s="23" t="s">
        <v>488</v>
      </c>
      <c r="H95" s="23" t="s">
        <v>488</v>
      </c>
      <c r="I95" s="23" t="s">
        <v>488</v>
      </c>
      <c r="J95" s="23" t="s">
        <v>488</v>
      </c>
      <c r="K95" s="23"/>
    </row>
    <row r="96" spans="3:11" x14ac:dyDescent="0.25">
      <c r="C96" s="82" t="str">
        <v>Network</v>
      </c>
      <c r="D96" s="82" t="str">
        <v>TOU - Peak - RES - Powercor</v>
      </c>
      <c r="E96" s="23" t="s">
        <v>79</v>
      </c>
      <c r="F96" s="23" t="s">
        <v>478</v>
      </c>
      <c r="G96" s="23" t="s">
        <v>478</v>
      </c>
      <c r="H96" s="23" t="s">
        <v>478</v>
      </c>
      <c r="I96" s="23" t="s">
        <v>478</v>
      </c>
      <c r="J96" s="23" t="s">
        <v>478</v>
      </c>
      <c r="K96" s="23"/>
    </row>
    <row r="97" spans="3:11" x14ac:dyDescent="0.25">
      <c r="C97" s="82" t="str">
        <v>Network</v>
      </c>
      <c r="D97" s="82" t="str">
        <v>TOU - Peak - RES - United Energy</v>
      </c>
      <c r="E97" s="23" t="s">
        <v>79</v>
      </c>
      <c r="F97" s="23" t="s">
        <v>484</v>
      </c>
      <c r="G97" s="23" t="s">
        <v>484</v>
      </c>
      <c r="H97" s="23" t="s">
        <v>484</v>
      </c>
      <c r="I97" s="23" t="s">
        <v>484</v>
      </c>
      <c r="J97" s="23" t="s">
        <v>484</v>
      </c>
      <c r="K97" s="23"/>
    </row>
    <row r="98" spans="3:11" x14ac:dyDescent="0.25">
      <c r="C98" s="82" t="str">
        <v>Network</v>
      </c>
      <c r="D98" s="82" t="str">
        <v>TOU - Off peak - RES - Ausnet</v>
      </c>
      <c r="E98" s="23" t="s">
        <v>79</v>
      </c>
      <c r="F98" s="23" t="s">
        <v>466</v>
      </c>
      <c r="G98" s="23" t="s">
        <v>466</v>
      </c>
      <c r="H98" s="23" t="s">
        <v>466</v>
      </c>
      <c r="I98" s="23" t="s">
        <v>466</v>
      </c>
      <c r="J98" s="23" t="s">
        <v>466</v>
      </c>
      <c r="K98" s="23"/>
    </row>
    <row r="99" spans="3:11" x14ac:dyDescent="0.25">
      <c r="C99" s="82" t="str">
        <v>Network</v>
      </c>
      <c r="D99" s="82" t="str">
        <v>TOU - Off peak - RES - Citipower</v>
      </c>
      <c r="E99" s="23" t="s">
        <v>79</v>
      </c>
      <c r="F99" s="23" t="s">
        <v>472</v>
      </c>
      <c r="G99" s="23" t="s">
        <v>472</v>
      </c>
      <c r="H99" s="23" t="s">
        <v>472</v>
      </c>
      <c r="I99" s="23" t="s">
        <v>472</v>
      </c>
      <c r="J99" s="23" t="s">
        <v>472</v>
      </c>
      <c r="K99" s="23"/>
    </row>
    <row r="100" spans="3:11" x14ac:dyDescent="0.25">
      <c r="C100" s="82" t="str">
        <v>Network</v>
      </c>
      <c r="D100" s="82" t="str">
        <v>TOU - Off peak - RES - Jemena</v>
      </c>
      <c r="E100" s="23" t="s">
        <v>79</v>
      </c>
      <c r="F100" s="23" t="s">
        <v>488</v>
      </c>
      <c r="G100" s="23" t="s">
        <v>488</v>
      </c>
      <c r="H100" s="23" t="s">
        <v>488</v>
      </c>
      <c r="I100" s="23" t="s">
        <v>488</v>
      </c>
      <c r="J100" s="23" t="s">
        <v>488</v>
      </c>
      <c r="K100" s="23"/>
    </row>
    <row r="101" spans="3:11" x14ac:dyDescent="0.25">
      <c r="C101" s="82" t="str">
        <v>Network</v>
      </c>
      <c r="D101" s="82" t="str">
        <v>TOU - Off peak - RES - Powercor</v>
      </c>
      <c r="E101" s="23" t="s">
        <v>79</v>
      </c>
      <c r="F101" s="23" t="s">
        <v>478</v>
      </c>
      <c r="G101" s="23" t="s">
        <v>478</v>
      </c>
      <c r="H101" s="23" t="s">
        <v>478</v>
      </c>
      <c r="I101" s="23" t="s">
        <v>478</v>
      </c>
      <c r="J101" s="23" t="s">
        <v>478</v>
      </c>
      <c r="K101" s="23"/>
    </row>
    <row r="102" spans="3:11" x14ac:dyDescent="0.25">
      <c r="C102" s="82" t="str">
        <v>Network</v>
      </c>
      <c r="D102" s="82" t="str">
        <v>TOU - Off peak - RES - United Energy</v>
      </c>
      <c r="E102" s="23" t="s">
        <v>79</v>
      </c>
      <c r="F102" s="23" t="s">
        <v>484</v>
      </c>
      <c r="G102" s="23" t="s">
        <v>484</v>
      </c>
      <c r="H102" s="23" t="s">
        <v>484</v>
      </c>
      <c r="I102" s="23" t="s">
        <v>484</v>
      </c>
      <c r="J102" s="23" t="s">
        <v>484</v>
      </c>
      <c r="K102" s="23"/>
    </row>
    <row r="103" spans="3:11" x14ac:dyDescent="0.25">
      <c r="C103" s="82" t="str">
        <v>Network</v>
      </c>
      <c r="D103" s="82" t="str">
        <v>TOU - Peak - SME - Ausnet</v>
      </c>
      <c r="E103" s="23" t="s">
        <v>79</v>
      </c>
      <c r="F103" s="23" t="s">
        <v>467</v>
      </c>
      <c r="G103" s="23" t="s">
        <v>467</v>
      </c>
      <c r="H103" s="23" t="s">
        <v>467</v>
      </c>
      <c r="I103" s="23" t="s">
        <v>467</v>
      </c>
      <c r="J103" s="23" t="s">
        <v>467</v>
      </c>
      <c r="K103" s="23"/>
    </row>
    <row r="104" spans="3:11" x14ac:dyDescent="0.25">
      <c r="C104" s="82" t="str">
        <v>Network</v>
      </c>
      <c r="D104" s="82" t="str">
        <v>TOU - Peak - SME - Citipower</v>
      </c>
      <c r="E104" s="23" t="s">
        <v>79</v>
      </c>
      <c r="F104" s="23" t="s">
        <v>473</v>
      </c>
      <c r="G104" s="23" t="s">
        <v>473</v>
      </c>
      <c r="H104" s="23" t="s">
        <v>473</v>
      </c>
      <c r="I104" s="23" t="s">
        <v>473</v>
      </c>
      <c r="J104" s="23" t="s">
        <v>473</v>
      </c>
      <c r="K104" s="23"/>
    </row>
    <row r="105" spans="3:11" x14ac:dyDescent="0.25">
      <c r="C105" s="82" t="str">
        <v>Network</v>
      </c>
      <c r="D105" s="82" t="str">
        <v>TOU - Peak - SME - Jemena</v>
      </c>
      <c r="E105" s="23" t="s">
        <v>79</v>
      </c>
      <c r="F105" s="23" t="s">
        <v>491</v>
      </c>
      <c r="G105" s="23" t="s">
        <v>491</v>
      </c>
      <c r="H105" s="23" t="s">
        <v>491</v>
      </c>
      <c r="I105" s="23" t="s">
        <v>491</v>
      </c>
      <c r="J105" s="23" t="s">
        <v>491</v>
      </c>
      <c r="K105" s="23"/>
    </row>
    <row r="106" spans="3:11" x14ac:dyDescent="0.25">
      <c r="C106" s="82" t="str">
        <v>Network</v>
      </c>
      <c r="D106" s="82" t="str">
        <v>TOU - Peak - SME - Powercor</v>
      </c>
      <c r="E106" s="23" t="s">
        <v>79</v>
      </c>
      <c r="F106" s="23" t="s">
        <v>479</v>
      </c>
      <c r="G106" s="23" t="s">
        <v>479</v>
      </c>
      <c r="H106" s="23" t="s">
        <v>479</v>
      </c>
      <c r="I106" s="23" t="s">
        <v>479</v>
      </c>
      <c r="J106" s="23" t="s">
        <v>479</v>
      </c>
      <c r="K106" s="23"/>
    </row>
    <row r="107" spans="3:11" x14ac:dyDescent="0.25">
      <c r="C107" s="82" t="str">
        <v>Network</v>
      </c>
      <c r="D107" s="82" t="str">
        <v>TOU - Peak - SME - United Energy</v>
      </c>
      <c r="E107" s="23" t="s">
        <v>79</v>
      </c>
      <c r="F107" s="23" t="s">
        <v>485</v>
      </c>
      <c r="G107" s="23" t="s">
        <v>485</v>
      </c>
      <c r="H107" s="23" t="s">
        <v>485</v>
      </c>
      <c r="I107" s="23" t="s">
        <v>485</v>
      </c>
      <c r="J107" s="23" t="s">
        <v>485</v>
      </c>
      <c r="K107" s="23"/>
    </row>
    <row r="108" spans="3:11" x14ac:dyDescent="0.25">
      <c r="C108" s="82" t="str">
        <v>Network</v>
      </c>
      <c r="D108" s="82" t="str">
        <v>TOU - Off peak - SME - Ausnet</v>
      </c>
      <c r="E108" s="23" t="s">
        <v>79</v>
      </c>
      <c r="F108" s="23" t="s">
        <v>467</v>
      </c>
      <c r="G108" s="23" t="s">
        <v>467</v>
      </c>
      <c r="H108" s="23" t="s">
        <v>467</v>
      </c>
      <c r="I108" s="23" t="s">
        <v>467</v>
      </c>
      <c r="J108" s="23" t="s">
        <v>467</v>
      </c>
      <c r="K108" s="23"/>
    </row>
    <row r="109" spans="3:11" x14ac:dyDescent="0.25">
      <c r="C109" s="82" t="str">
        <v>Network</v>
      </c>
      <c r="D109" s="82" t="str">
        <v>TOU - Off peak - SME - Citipower</v>
      </c>
      <c r="E109" s="23" t="s">
        <v>79</v>
      </c>
      <c r="F109" s="23" t="s">
        <v>473</v>
      </c>
      <c r="G109" s="23" t="s">
        <v>473</v>
      </c>
      <c r="H109" s="23" t="s">
        <v>473</v>
      </c>
      <c r="I109" s="23" t="s">
        <v>473</v>
      </c>
      <c r="J109" s="23" t="s">
        <v>473</v>
      </c>
      <c r="K109" s="23"/>
    </row>
    <row r="110" spans="3:11" x14ac:dyDescent="0.25">
      <c r="C110" s="82" t="str">
        <v>Network</v>
      </c>
      <c r="D110" s="82" t="str">
        <v>TOU - Off peak - SME - Jemena</v>
      </c>
      <c r="E110" s="23" t="s">
        <v>79</v>
      </c>
      <c r="F110" s="23" t="s">
        <v>491</v>
      </c>
      <c r="G110" s="23" t="s">
        <v>491</v>
      </c>
      <c r="H110" s="23" t="s">
        <v>491</v>
      </c>
      <c r="I110" s="23" t="s">
        <v>491</v>
      </c>
      <c r="J110" s="23" t="s">
        <v>491</v>
      </c>
      <c r="K110" s="23"/>
    </row>
    <row r="111" spans="3:11" x14ac:dyDescent="0.25">
      <c r="C111" s="82" t="str">
        <v>Network</v>
      </c>
      <c r="D111" s="82" t="str">
        <v>TOU - Off peak - SME - Powercor</v>
      </c>
      <c r="E111" s="23" t="s">
        <v>79</v>
      </c>
      <c r="F111" s="23" t="s">
        <v>479</v>
      </c>
      <c r="G111" s="23" t="s">
        <v>479</v>
      </c>
      <c r="H111" s="23" t="s">
        <v>479</v>
      </c>
      <c r="I111" s="23" t="s">
        <v>479</v>
      </c>
      <c r="J111" s="23" t="s">
        <v>479</v>
      </c>
      <c r="K111" s="23"/>
    </row>
    <row r="112" spans="3:11" x14ac:dyDescent="0.25">
      <c r="C112" s="82" t="str">
        <v>Network</v>
      </c>
      <c r="D112" s="82" t="str">
        <v>TOU - Off peak - SME - United Energy</v>
      </c>
      <c r="E112" s="23" t="s">
        <v>79</v>
      </c>
      <c r="F112" s="23" t="s">
        <v>485</v>
      </c>
      <c r="G112" s="23" t="s">
        <v>485</v>
      </c>
      <c r="H112" s="23" t="s">
        <v>485</v>
      </c>
      <c r="I112" s="23" t="s">
        <v>485</v>
      </c>
      <c r="J112" s="23" t="s">
        <v>485</v>
      </c>
      <c r="K112" s="23"/>
    </row>
    <row r="113" spans="3:11" x14ac:dyDescent="0.25">
      <c r="C113" s="82" t="str">
        <v>Network</v>
      </c>
      <c r="D113" s="82" t="str">
        <v>Controlled load - RES - Ausnet</v>
      </c>
      <c r="E113" s="23" t="s">
        <v>81</v>
      </c>
      <c r="F113" s="23" t="s">
        <v>468</v>
      </c>
      <c r="G113" s="23" t="s">
        <v>468</v>
      </c>
      <c r="H113" s="23" t="s">
        <v>468</v>
      </c>
      <c r="I113" s="23" t="s">
        <v>468</v>
      </c>
      <c r="J113" s="23" t="s">
        <v>468</v>
      </c>
      <c r="K113" s="23"/>
    </row>
    <row r="114" spans="3:11" x14ac:dyDescent="0.25">
      <c r="C114" s="82" t="str">
        <v>Network</v>
      </c>
      <c r="D114" s="82" t="str">
        <v>Controlled load - RES - Citipower</v>
      </c>
      <c r="E114" s="23" t="s">
        <v>82</v>
      </c>
      <c r="F114" s="23" t="s">
        <v>474</v>
      </c>
      <c r="G114" s="23" t="s">
        <v>474</v>
      </c>
      <c r="H114" s="23" t="s">
        <v>474</v>
      </c>
      <c r="I114" s="23" t="s">
        <v>474</v>
      </c>
      <c r="J114" s="23" t="s">
        <v>474</v>
      </c>
      <c r="K114" s="23"/>
    </row>
    <row r="115" spans="3:11" x14ac:dyDescent="0.25">
      <c r="C115" s="82" t="str">
        <v>Network</v>
      </c>
      <c r="D115" s="82" t="str">
        <v>Controlled load - RES - Jemena</v>
      </c>
      <c r="E115" s="23" t="s">
        <v>83</v>
      </c>
      <c r="F115" s="23" t="s">
        <v>493</v>
      </c>
      <c r="G115" s="23" t="s">
        <v>493</v>
      </c>
      <c r="H115" s="23" t="s">
        <v>493</v>
      </c>
      <c r="I115" s="23" t="s">
        <v>493</v>
      </c>
      <c r="J115" s="23" t="s">
        <v>493</v>
      </c>
      <c r="K115" s="23"/>
    </row>
    <row r="116" spans="3:11" x14ac:dyDescent="0.25">
      <c r="C116" s="82" t="str">
        <v>Network</v>
      </c>
      <c r="D116" s="82" t="str">
        <v>Controlled load - RES - Powercor</v>
      </c>
      <c r="E116" s="23" t="s">
        <v>84</v>
      </c>
      <c r="F116" s="23" t="s">
        <v>480</v>
      </c>
      <c r="G116" s="23" t="s">
        <v>480</v>
      </c>
      <c r="H116" s="23" t="s">
        <v>480</v>
      </c>
      <c r="I116" s="23" t="s">
        <v>480</v>
      </c>
      <c r="J116" s="23" t="s">
        <v>480</v>
      </c>
      <c r="K116" s="23"/>
    </row>
    <row r="117" spans="3:11" x14ac:dyDescent="0.25">
      <c r="C117" s="82" t="str">
        <v>Network</v>
      </c>
      <c r="D117" s="82" t="str">
        <v>Controlled load - RES - United Energy</v>
      </c>
      <c r="E117" s="23" t="s">
        <v>85</v>
      </c>
      <c r="F117" s="23" t="s">
        <v>486</v>
      </c>
      <c r="G117" s="23" t="s">
        <v>486</v>
      </c>
      <c r="H117" s="23" t="s">
        <v>486</v>
      </c>
      <c r="I117" s="23" t="s">
        <v>486</v>
      </c>
      <c r="J117" s="23" t="s">
        <v>486</v>
      </c>
      <c r="K117" s="23"/>
    </row>
    <row r="118" spans="3:11" x14ac:dyDescent="0.25">
      <c r="C118" s="82" t="str">
        <v>Retail margin</v>
      </c>
      <c r="D118" s="82" t="str">
        <v>Retail operating margin</v>
      </c>
      <c r="E118" s="23" t="s">
        <v>86</v>
      </c>
      <c r="F118" s="23" t="s">
        <v>86</v>
      </c>
      <c r="G118" s="23" t="s">
        <v>86</v>
      </c>
      <c r="H118" s="23" t="s">
        <v>86</v>
      </c>
      <c r="I118" s="23" t="s">
        <v>86</v>
      </c>
      <c r="J118" s="23" t="s">
        <v>86</v>
      </c>
      <c r="K118" s="23"/>
    </row>
    <row r="119" spans="3:11" x14ac:dyDescent="0.25">
      <c r="C119" s="82" t="str">
        <v>Marginal loss factors</v>
      </c>
      <c r="D119" s="82" t="str">
        <v>Marginal loss factor - Ausnet</v>
      </c>
      <c r="E119" s="23" t="s">
        <v>87</v>
      </c>
      <c r="F119" s="23" t="s">
        <v>87</v>
      </c>
      <c r="G119" s="23" t="s">
        <v>87</v>
      </c>
      <c r="H119" s="23" t="s">
        <v>737</v>
      </c>
      <c r="I119" s="23" t="s">
        <v>775</v>
      </c>
      <c r="J119" s="23" t="s">
        <v>876</v>
      </c>
      <c r="K119" s="23"/>
    </row>
    <row r="120" spans="3:11" x14ac:dyDescent="0.25">
      <c r="C120" s="82" t="str">
        <v>Marginal loss factors</v>
      </c>
      <c r="D120" s="82" t="str">
        <v>Marginal loss factor - Citipower</v>
      </c>
      <c r="E120" s="23" t="s">
        <v>87</v>
      </c>
      <c r="F120" s="23" t="s">
        <v>87</v>
      </c>
      <c r="G120" s="23" t="s">
        <v>87</v>
      </c>
      <c r="H120" s="23" t="s">
        <v>737</v>
      </c>
      <c r="I120" s="23" t="s">
        <v>775</v>
      </c>
      <c r="J120" s="23" t="s">
        <v>876</v>
      </c>
      <c r="K120" s="23"/>
    </row>
    <row r="121" spans="3:11" x14ac:dyDescent="0.25">
      <c r="C121" s="82" t="str">
        <v>Marginal loss factors</v>
      </c>
      <c r="D121" s="82" t="str">
        <v>Marginal loss factor - Jemena</v>
      </c>
      <c r="E121" s="23" t="s">
        <v>87</v>
      </c>
      <c r="F121" s="23" t="s">
        <v>87</v>
      </c>
      <c r="G121" s="23" t="s">
        <v>87</v>
      </c>
      <c r="H121" s="23" t="s">
        <v>737</v>
      </c>
      <c r="I121" s="23" t="s">
        <v>775</v>
      </c>
      <c r="J121" s="23" t="s">
        <v>876</v>
      </c>
      <c r="K121" s="23"/>
    </row>
    <row r="122" spans="3:11" x14ac:dyDescent="0.25">
      <c r="C122" s="82" t="str">
        <v>Marginal loss factors</v>
      </c>
      <c r="D122" s="82" t="str">
        <v>Marginal loss factor - Powercor</v>
      </c>
      <c r="E122" s="23" t="s">
        <v>87</v>
      </c>
      <c r="F122" s="23" t="s">
        <v>87</v>
      </c>
      <c r="G122" s="23" t="s">
        <v>87</v>
      </c>
      <c r="H122" s="23" t="s">
        <v>737</v>
      </c>
      <c r="I122" s="23" t="s">
        <v>775</v>
      </c>
      <c r="J122" s="23" t="s">
        <v>876</v>
      </c>
      <c r="K122" s="23"/>
    </row>
    <row r="123" spans="3:11" x14ac:dyDescent="0.25">
      <c r="C123" s="82" t="str">
        <v>Marginal loss factors</v>
      </c>
      <c r="D123" s="82" t="str">
        <v>Marginal loss factor - United Energy</v>
      </c>
      <c r="E123" s="23" t="s">
        <v>87</v>
      </c>
      <c r="F123" s="23" t="s">
        <v>87</v>
      </c>
      <c r="G123" s="23" t="s">
        <v>87</v>
      </c>
      <c r="H123" s="23" t="s">
        <v>737</v>
      </c>
      <c r="I123" s="23" t="s">
        <v>775</v>
      </c>
      <c r="J123" s="23" t="s">
        <v>876</v>
      </c>
      <c r="K123" s="23"/>
    </row>
    <row r="124" spans="3:11" x14ac:dyDescent="0.25">
      <c r="C124" s="82" t="str">
        <v>Distribution loss factors</v>
      </c>
      <c r="D124" s="82" t="str">
        <v>Distribution loss factor - Ausnet</v>
      </c>
      <c r="E124" s="23" t="s">
        <v>88</v>
      </c>
      <c r="F124" s="23" t="s">
        <v>88</v>
      </c>
      <c r="G124" s="23" t="s">
        <v>88</v>
      </c>
      <c r="H124" s="23" t="s">
        <v>736</v>
      </c>
      <c r="I124" s="23" t="s">
        <v>776</v>
      </c>
      <c r="J124" s="23" t="s">
        <v>881</v>
      </c>
      <c r="K124" s="23"/>
    </row>
    <row r="125" spans="3:11" x14ac:dyDescent="0.25">
      <c r="C125" s="82" t="str">
        <v>Distribution loss factors</v>
      </c>
      <c r="D125" s="82" t="str">
        <v>Distribution loss factor - Citipower</v>
      </c>
      <c r="E125" s="23" t="s">
        <v>89</v>
      </c>
      <c r="F125" s="23" t="s">
        <v>89</v>
      </c>
      <c r="G125" s="23" t="s">
        <v>89</v>
      </c>
      <c r="H125" s="23" t="s">
        <v>736</v>
      </c>
      <c r="I125" s="23" t="s">
        <v>776</v>
      </c>
      <c r="J125" s="23" t="s">
        <v>881</v>
      </c>
      <c r="K125" s="23"/>
    </row>
    <row r="126" spans="3:11" x14ac:dyDescent="0.25">
      <c r="C126" s="82" t="str">
        <v>Distribution loss factors</v>
      </c>
      <c r="D126" s="82" t="str">
        <v>Distribution loss factor - Jemena</v>
      </c>
      <c r="E126" s="23" t="s">
        <v>89</v>
      </c>
      <c r="F126" s="23" t="s">
        <v>89</v>
      </c>
      <c r="G126" s="23" t="s">
        <v>89</v>
      </c>
      <c r="H126" s="23" t="s">
        <v>736</v>
      </c>
      <c r="I126" s="23" t="s">
        <v>776</v>
      </c>
      <c r="J126" s="23" t="s">
        <v>881</v>
      </c>
      <c r="K126" s="23"/>
    </row>
    <row r="127" spans="3:11" x14ac:dyDescent="0.25">
      <c r="C127" s="82" t="str">
        <v>Distribution loss factors</v>
      </c>
      <c r="D127" s="82" t="str">
        <v>Distribution loss factor - Powercor</v>
      </c>
      <c r="E127" s="23" t="s">
        <v>88</v>
      </c>
      <c r="F127" s="23" t="s">
        <v>88</v>
      </c>
      <c r="G127" s="23" t="s">
        <v>88</v>
      </c>
      <c r="H127" s="23" t="s">
        <v>736</v>
      </c>
      <c r="I127" s="23" t="s">
        <v>776</v>
      </c>
      <c r="J127" s="23" t="s">
        <v>881</v>
      </c>
      <c r="K127" s="23"/>
    </row>
    <row r="128" spans="3:11" x14ac:dyDescent="0.25">
      <c r="C128" t="str">
        <v>Distribution loss factors</v>
      </c>
      <c r="D128" t="str">
        <v>Distribution loss factor - United Energy</v>
      </c>
      <c r="E128" s="23" t="s">
        <v>89</v>
      </c>
      <c r="F128" s="23" t="s">
        <v>89</v>
      </c>
      <c r="G128" s="23" t="s">
        <v>89</v>
      </c>
      <c r="H128" s="23" t="s">
        <v>736</v>
      </c>
      <c r="I128" s="23" t="s">
        <v>776</v>
      </c>
      <c r="J128" s="23" t="s">
        <v>881</v>
      </c>
      <c r="K128" s="23"/>
    </row>
    <row r="136" spans="1:20" ht="16.5" thickBot="1" x14ac:dyDescent="0.3">
      <c r="A136" s="1" t="s">
        <v>23</v>
      </c>
      <c r="B136" s="9">
        <f ca="1">MAX(B$3:B125)+0.1</f>
        <v>5.1999999999999993</v>
      </c>
      <c r="C136" s="28" t="s">
        <v>449</v>
      </c>
      <c r="D136" s="28"/>
      <c r="L136" s="28"/>
      <c r="M136" s="28"/>
      <c r="N136" s="28"/>
      <c r="O136" s="28"/>
      <c r="P136" s="28"/>
      <c r="Q136" s="28"/>
      <c r="R136" s="28"/>
      <c r="S136" s="28"/>
      <c r="T136" s="28"/>
    </row>
    <row r="137" spans="1:20" ht="16.5" thickBot="1" x14ac:dyDescent="0.3">
      <c r="E137" s="28"/>
      <c r="F137" s="28"/>
      <c r="G137" s="28"/>
      <c r="H137" s="28"/>
      <c r="I137" s="28"/>
      <c r="J137" s="28"/>
      <c r="K137" s="28"/>
    </row>
    <row r="138" spans="1:20" ht="15.75" x14ac:dyDescent="0.25">
      <c r="D138" s="40" t="s">
        <v>100</v>
      </c>
    </row>
    <row r="139" spans="1:20" ht="15.75" x14ac:dyDescent="0.25">
      <c r="D139" s="40" t="s">
        <v>101</v>
      </c>
      <c r="E139" s="41">
        <f>Inputs!I133</f>
        <v>2021</v>
      </c>
      <c r="F139" s="41">
        <f>Inputs!M133</f>
        <v>2022</v>
      </c>
      <c r="G139" s="41">
        <v>2021</v>
      </c>
      <c r="H139" s="41">
        <v>2022</v>
      </c>
      <c r="I139" s="41">
        <v>2022</v>
      </c>
    </row>
    <row r="140" spans="1:20" x14ac:dyDescent="0.25">
      <c r="E140" s="41" t="str">
        <f>"VDO "&amp;E139&amp;" - "&amp;IF(LEFT(E142,1)="F","Final",IF(LEFT(E142,1)="D","Draft",IF(LEFT(E142,2)="VD","Variation draft",IF(LEFT(E142,2)="VF","Variation final"))))</f>
        <v>VDO 2021 - Final</v>
      </c>
      <c r="F140" s="41" t="str">
        <f>"VDO "&amp;F139&amp;" - "&amp;IF(LEFT(F142,1)="F","Final",IF(LEFT(F142,1)="D","Draft",IF(LEFT(F142,2)="VD","Variation draft",IF(LEFT(F142,2)="VF","Variation final"))))</f>
        <v>VDO 2022 - Variation draft</v>
      </c>
      <c r="G140" s="41" t="str">
        <f>"VDO "&amp;G139&amp;" - "&amp;IF(LEFT(G142,1)="F","Final",IF(LEFT(G142,1)="D","Draft",IF(LEFT(G142,2)="VD","Variation draft",IF(LEFT(G142,2)="VF","Variation final"))))</f>
        <v>VDO 2021 - Variation final</v>
      </c>
      <c r="H140" s="41" t="str">
        <f t="shared" ref="H140:I140" si="1">"VDO "&amp;H139&amp;" - "&amp;IF(LEFT(H142,1)="F","Final",IF(LEFT(H142,1)="D","Draft",IF(LEFT(H142,2)="VD","Variation draft",IF(LEFT(H142,2)="VF","Variation final"))))</f>
        <v>VDO 2022 - Draft</v>
      </c>
      <c r="I140" s="41" t="str">
        <f t="shared" si="1"/>
        <v>VDO 2022 - Final</v>
      </c>
    </row>
    <row r="141" spans="1:20" ht="15.75" x14ac:dyDescent="0.25">
      <c r="C141" s="42" t="s">
        <v>217</v>
      </c>
      <c r="D141" s="42" t="s">
        <v>218</v>
      </c>
    </row>
    <row r="142" spans="1:20" ht="15.75" x14ac:dyDescent="0.25">
      <c r="C142" s="82" t="str" cm="1">
        <f t="array" ref="C142:C178">INDEX(Input_Usage[],0,MATCH(Sources!C$141,Input_Usage[#Headers],0))</f>
        <v>Residential - small</v>
      </c>
      <c r="D142" s="82" t="str" cm="1">
        <f t="array" ref="D142:D178">INDEX(Input_Usage[],0,MATCH(Sources!D$141,Input_Usage[#Headers],0))</f>
        <v>Block 1</v>
      </c>
      <c r="E142" s="42" t="s">
        <v>47</v>
      </c>
      <c r="F142" s="42" t="s">
        <v>385</v>
      </c>
      <c r="G142" s="42" t="s">
        <v>386</v>
      </c>
      <c r="H142" s="42" t="s">
        <v>48</v>
      </c>
      <c r="I142" s="42" t="s">
        <v>49</v>
      </c>
    </row>
    <row r="143" spans="1:20" x14ac:dyDescent="0.25">
      <c r="C143" s="82" t="str">
        <v>Residential - medium</v>
      </c>
      <c r="D143" s="82" t="str">
        <v>Block 1</v>
      </c>
      <c r="E143" s="59" t="s">
        <v>450</v>
      </c>
      <c r="F143" s="23" t="s">
        <v>450</v>
      </c>
      <c r="G143" s="111"/>
      <c r="H143" s="111"/>
      <c r="I143" s="111"/>
    </row>
    <row r="144" spans="1:20" x14ac:dyDescent="0.25">
      <c r="C144" s="82" t="str">
        <v>Residential - large</v>
      </c>
      <c r="D144" s="82" t="str">
        <v>Block 1</v>
      </c>
      <c r="E144" s="59" t="s">
        <v>450</v>
      </c>
      <c r="F144" s="23" t="s">
        <v>450</v>
      </c>
      <c r="G144" s="111"/>
      <c r="H144" s="111"/>
      <c r="I144" s="111"/>
    </row>
    <row r="145" spans="3:9" x14ac:dyDescent="0.25">
      <c r="C145" s="82" t="str">
        <v>Small business - small</v>
      </c>
      <c r="D145" s="82" t="str">
        <v>Block 1</v>
      </c>
      <c r="E145" s="59" t="s">
        <v>450</v>
      </c>
      <c r="F145" s="23" t="s">
        <v>450</v>
      </c>
      <c r="G145" s="111"/>
      <c r="H145" s="111"/>
      <c r="I145" s="111"/>
    </row>
    <row r="146" spans="3:9" x14ac:dyDescent="0.25">
      <c r="C146" s="82" t="str">
        <v>Small business - medium</v>
      </c>
      <c r="D146" s="82" t="str">
        <v>Block 1</v>
      </c>
      <c r="E146" s="59" t="s">
        <v>450</v>
      </c>
      <c r="F146" s="23" t="s">
        <v>450</v>
      </c>
      <c r="G146" s="111"/>
      <c r="H146" s="111"/>
      <c r="I146" s="111"/>
    </row>
    <row r="147" spans="3:9" x14ac:dyDescent="0.25">
      <c r="C147" s="82" t="str">
        <v>Small business - large</v>
      </c>
      <c r="D147" s="82" t="str">
        <v>Block 1</v>
      </c>
      <c r="E147" s="59" t="s">
        <v>450</v>
      </c>
      <c r="F147" s="23" t="s">
        <v>450</v>
      </c>
      <c r="G147" s="111"/>
      <c r="H147" s="111"/>
      <c r="I147" s="111"/>
    </row>
    <row r="148" spans="3:9" x14ac:dyDescent="0.25">
      <c r="C148" s="82" t="str">
        <v>Residential - small</v>
      </c>
      <c r="D148" s="82" t="str">
        <v>Balance</v>
      </c>
      <c r="E148" s="59" t="s">
        <v>450</v>
      </c>
      <c r="F148" s="23" t="s">
        <v>450</v>
      </c>
      <c r="G148" s="111"/>
      <c r="H148" s="111"/>
      <c r="I148" s="111"/>
    </row>
    <row r="149" spans="3:9" x14ac:dyDescent="0.25">
      <c r="C149" s="82" t="str">
        <v>Residential - medium</v>
      </c>
      <c r="D149" s="82" t="str">
        <v>Balance</v>
      </c>
      <c r="E149" s="59" t="s">
        <v>450</v>
      </c>
      <c r="F149" s="23" t="s">
        <v>450</v>
      </c>
      <c r="G149" s="111"/>
      <c r="H149" s="111"/>
      <c r="I149" s="111"/>
    </row>
    <row r="150" spans="3:9" x14ac:dyDescent="0.25">
      <c r="C150" s="82" t="str">
        <v>Residential - large</v>
      </c>
      <c r="D150" s="82" t="str">
        <v>Balance</v>
      </c>
      <c r="E150" s="59" t="s">
        <v>450</v>
      </c>
      <c r="F150" s="23" t="s">
        <v>450</v>
      </c>
      <c r="G150" s="111"/>
      <c r="H150" s="111"/>
      <c r="I150" s="111"/>
    </row>
    <row r="151" spans="3:9" x14ac:dyDescent="0.25">
      <c r="C151" s="82" t="str">
        <v>Small business - small</v>
      </c>
      <c r="D151" s="82" t="str">
        <v>Balance</v>
      </c>
      <c r="E151" s="59" t="s">
        <v>450</v>
      </c>
      <c r="F151" s="23" t="s">
        <v>450</v>
      </c>
      <c r="G151" s="111"/>
      <c r="H151" s="111"/>
      <c r="I151" s="111"/>
    </row>
    <row r="152" spans="3:9" x14ac:dyDescent="0.25">
      <c r="C152" s="82" t="str">
        <v>Small business - medium</v>
      </c>
      <c r="D152" s="82" t="str">
        <v>Balance</v>
      </c>
      <c r="E152" s="59" t="s">
        <v>450</v>
      </c>
      <c r="F152" s="23" t="s">
        <v>450</v>
      </c>
      <c r="G152" s="111"/>
      <c r="H152" s="111"/>
      <c r="I152" s="111"/>
    </row>
    <row r="153" spans="3:9" x14ac:dyDescent="0.25">
      <c r="C153" s="82" t="str">
        <v>Small business - large</v>
      </c>
      <c r="D153" s="82" t="str">
        <v>Balance</v>
      </c>
      <c r="E153" s="59" t="s">
        <v>450</v>
      </c>
      <c r="F153" s="23" t="s">
        <v>450</v>
      </c>
      <c r="G153" s="111"/>
      <c r="H153" s="111"/>
      <c r="I153" s="111"/>
    </row>
    <row r="154" spans="3:9" x14ac:dyDescent="0.25">
      <c r="C154" s="82" t="str">
        <v>Residential - small</v>
      </c>
      <c r="D154" s="82" t="str">
        <v>Annual</v>
      </c>
      <c r="E154" s="59" t="s">
        <v>450</v>
      </c>
      <c r="F154" s="23" t="s">
        <v>450</v>
      </c>
      <c r="G154" s="111"/>
      <c r="H154" s="111"/>
      <c r="I154" s="111"/>
    </row>
    <row r="155" spans="3:9" x14ac:dyDescent="0.25">
      <c r="C155" s="82" t="str">
        <v>Residential - medium</v>
      </c>
      <c r="D155" s="82" t="str">
        <v>Annual</v>
      </c>
      <c r="E155" s="59" t="s">
        <v>450</v>
      </c>
      <c r="F155" s="23" t="s">
        <v>450</v>
      </c>
      <c r="G155" s="111"/>
      <c r="H155" s="111"/>
      <c r="I155" s="111"/>
    </row>
    <row r="156" spans="3:9" x14ac:dyDescent="0.25">
      <c r="C156" s="82" t="str">
        <v>Residential - large</v>
      </c>
      <c r="D156" s="82" t="str">
        <v>Annual</v>
      </c>
      <c r="E156" s="59" t="s">
        <v>450</v>
      </c>
      <c r="F156" s="23" t="s">
        <v>450</v>
      </c>
      <c r="G156" s="111"/>
      <c r="H156" s="111"/>
      <c r="I156" s="111"/>
    </row>
    <row r="157" spans="3:9" x14ac:dyDescent="0.25">
      <c r="C157" s="82" t="str">
        <v>Small business - small</v>
      </c>
      <c r="D157" s="82" t="str">
        <v>Annual</v>
      </c>
      <c r="E157" s="59" t="s">
        <v>450</v>
      </c>
      <c r="F157" s="23" t="s">
        <v>450</v>
      </c>
      <c r="G157" s="111"/>
      <c r="H157" s="111"/>
      <c r="I157" s="111"/>
    </row>
    <row r="158" spans="3:9" x14ac:dyDescent="0.25">
      <c r="C158" s="82" t="str">
        <v>Small business - medium</v>
      </c>
      <c r="D158" s="82" t="str">
        <v>Annual</v>
      </c>
      <c r="E158" s="59" t="s">
        <v>450</v>
      </c>
      <c r="F158" s="23" t="s">
        <v>450</v>
      </c>
      <c r="G158" s="111"/>
      <c r="H158" s="111"/>
      <c r="I158" s="111"/>
    </row>
    <row r="159" spans="3:9" x14ac:dyDescent="0.25">
      <c r="C159" s="82" t="str">
        <v>Small business - large</v>
      </c>
      <c r="D159" s="82" t="str">
        <v>Annual</v>
      </c>
      <c r="E159" s="59" t="s">
        <v>450</v>
      </c>
      <c r="F159" s="23" t="s">
        <v>450</v>
      </c>
      <c r="G159" s="111"/>
      <c r="H159" s="111"/>
      <c r="I159" s="111"/>
    </row>
    <row r="160" spans="3:9" x14ac:dyDescent="0.25">
      <c r="C160" s="82" t="str">
        <v>Residential - small</v>
      </c>
      <c r="D160" s="82" t="str">
        <v>Single rate</v>
      </c>
      <c r="E160" s="59" t="s">
        <v>450</v>
      </c>
      <c r="F160" s="23" t="s">
        <v>450</v>
      </c>
      <c r="G160" s="111"/>
      <c r="H160" s="111"/>
      <c r="I160" s="111"/>
    </row>
    <row r="161" spans="3:9" x14ac:dyDescent="0.25">
      <c r="C161" s="82" t="str">
        <v>Residential - medium</v>
      </c>
      <c r="D161" s="82" t="str">
        <v>Single rate</v>
      </c>
      <c r="E161" s="59"/>
      <c r="F161" s="111"/>
      <c r="G161" s="111"/>
      <c r="H161" s="111"/>
      <c r="I161" s="111"/>
    </row>
    <row r="162" spans="3:9" x14ac:dyDescent="0.25">
      <c r="C162" s="82" t="str">
        <v>Residential - large</v>
      </c>
      <c r="D162" s="82" t="str">
        <v>Single rate</v>
      </c>
      <c r="E162" s="59"/>
      <c r="F162" s="111"/>
      <c r="G162" s="111"/>
      <c r="H162" s="111"/>
      <c r="I162" s="111"/>
    </row>
    <row r="163" spans="3:9" x14ac:dyDescent="0.25">
      <c r="C163" s="82" t="str">
        <v>Small business - small</v>
      </c>
      <c r="D163" s="82" t="str">
        <v>Single rate</v>
      </c>
      <c r="E163" s="59"/>
      <c r="F163" s="111"/>
      <c r="G163" s="111"/>
      <c r="H163" s="111"/>
      <c r="I163" s="111"/>
    </row>
    <row r="164" spans="3:9" x14ac:dyDescent="0.25">
      <c r="C164" s="82" t="str">
        <v>Small business - medium</v>
      </c>
      <c r="D164" s="82" t="str">
        <v>Single rate</v>
      </c>
      <c r="E164" s="59"/>
      <c r="F164" s="111"/>
      <c r="G164" s="111"/>
      <c r="H164" s="111"/>
      <c r="I164" s="111"/>
    </row>
    <row r="165" spans="3:9" x14ac:dyDescent="0.25">
      <c r="C165" s="82" t="str">
        <v>Small business - large</v>
      </c>
      <c r="D165" s="82" t="str">
        <v>Single rate</v>
      </c>
      <c r="E165" s="59"/>
      <c r="F165" s="111"/>
      <c r="G165" s="111"/>
      <c r="H165" s="111"/>
      <c r="I165" s="111"/>
    </row>
    <row r="166" spans="3:9" x14ac:dyDescent="0.25">
      <c r="C166" s="82" t="str">
        <v>Residential - medium</v>
      </c>
      <c r="D166" s="82" t="str">
        <v>Controlled load</v>
      </c>
      <c r="E166" s="59"/>
      <c r="F166" s="111"/>
      <c r="G166" s="111"/>
      <c r="H166" s="111"/>
      <c r="I166" s="111"/>
    </row>
    <row r="167" spans="3:9" x14ac:dyDescent="0.25">
      <c r="C167" s="82" t="str">
        <v>Residential - small</v>
      </c>
      <c r="D167" s="82" t="str">
        <v>Peak</v>
      </c>
      <c r="E167" s="59"/>
      <c r="F167" s="111"/>
      <c r="G167" s="111"/>
      <c r="H167" s="111"/>
      <c r="I167" s="111"/>
    </row>
    <row r="168" spans="3:9" x14ac:dyDescent="0.25">
      <c r="C168" s="82" t="str">
        <v>Residential - medium</v>
      </c>
      <c r="D168" s="82" t="str">
        <v>Peak</v>
      </c>
      <c r="E168" s="59"/>
      <c r="F168" s="111"/>
      <c r="G168" s="111"/>
      <c r="H168" s="111"/>
      <c r="I168" s="111"/>
    </row>
    <row r="169" spans="3:9" x14ac:dyDescent="0.25">
      <c r="C169" s="82" t="str">
        <v>Residential - large</v>
      </c>
      <c r="D169" s="82" t="str">
        <v>Peak</v>
      </c>
      <c r="E169" s="59"/>
      <c r="F169" s="111"/>
      <c r="G169" s="111"/>
      <c r="H169" s="111"/>
      <c r="I169" s="111"/>
    </row>
    <row r="170" spans="3:9" x14ac:dyDescent="0.25">
      <c r="C170" s="82" t="str">
        <v>Small business - small</v>
      </c>
      <c r="D170" s="82" t="str">
        <v>Peak</v>
      </c>
      <c r="E170" s="59"/>
      <c r="F170" s="111"/>
      <c r="G170" s="111"/>
      <c r="H170" s="111"/>
      <c r="I170" s="111"/>
    </row>
    <row r="171" spans="3:9" x14ac:dyDescent="0.25">
      <c r="C171" s="82" t="str">
        <v>Small business - medium</v>
      </c>
      <c r="D171" s="82" t="str">
        <v>Peak</v>
      </c>
      <c r="E171" s="59"/>
      <c r="F171" s="111"/>
      <c r="G171" s="111"/>
      <c r="H171" s="111"/>
      <c r="I171" s="111"/>
    </row>
    <row r="172" spans="3:9" x14ac:dyDescent="0.25">
      <c r="C172" s="82" t="str">
        <v>Small business - large</v>
      </c>
      <c r="D172" s="82" t="str">
        <v>Peak</v>
      </c>
      <c r="E172" s="59"/>
      <c r="F172" s="111"/>
      <c r="G172" s="111"/>
      <c r="H172" s="111"/>
      <c r="I172" s="111"/>
    </row>
    <row r="173" spans="3:9" x14ac:dyDescent="0.25">
      <c r="C173" s="82" t="str">
        <v>Residential - small</v>
      </c>
      <c r="D173" s="82" t="str">
        <v>Off peak</v>
      </c>
      <c r="E173" s="59"/>
      <c r="F173" s="111"/>
      <c r="G173" s="111"/>
      <c r="H173" s="111"/>
      <c r="I173" s="111"/>
    </row>
    <row r="174" spans="3:9" x14ac:dyDescent="0.25">
      <c r="C174" s="82" t="str">
        <v>Residential - medium</v>
      </c>
      <c r="D174" s="82" t="str">
        <v>Off peak</v>
      </c>
      <c r="E174" s="59"/>
      <c r="F174" s="111"/>
      <c r="G174" s="111"/>
      <c r="H174" s="111"/>
      <c r="I174" s="111"/>
    </row>
    <row r="175" spans="3:9" x14ac:dyDescent="0.25">
      <c r="C175" s="82" t="str">
        <v>Residential - large</v>
      </c>
      <c r="D175" s="82" t="str">
        <v>Off peak</v>
      </c>
      <c r="E175" s="59"/>
      <c r="F175" s="111"/>
      <c r="G175" s="111"/>
      <c r="H175" s="111"/>
      <c r="I175" s="111"/>
    </row>
    <row r="176" spans="3:9" x14ac:dyDescent="0.25">
      <c r="C176" s="82" t="str">
        <v>Small business - small</v>
      </c>
      <c r="D176" s="82" t="str">
        <v>Off peak</v>
      </c>
      <c r="E176" s="59"/>
      <c r="F176" s="111"/>
      <c r="G176" s="111"/>
      <c r="H176" s="111"/>
      <c r="I176" s="111"/>
    </row>
    <row r="177" spans="3:9" x14ac:dyDescent="0.25">
      <c r="C177" s="82" t="str">
        <v>Small business - medium</v>
      </c>
      <c r="D177" s="82" t="str">
        <v>Off peak</v>
      </c>
      <c r="E177" s="59"/>
      <c r="F177" s="111"/>
      <c r="G177" s="111"/>
      <c r="H177" s="111"/>
      <c r="I177" s="111"/>
    </row>
    <row r="178" spans="3:9" x14ac:dyDescent="0.25">
      <c r="C178" s="82" t="str">
        <v>Small business - large</v>
      </c>
      <c r="D178" s="82" t="str">
        <v>Off peak</v>
      </c>
      <c r="E178" s="59"/>
      <c r="F178" s="111"/>
      <c r="G178" s="111"/>
      <c r="H178" s="111"/>
      <c r="I178" s="111"/>
    </row>
    <row r="179" spans="3:9" x14ac:dyDescent="0.25">
      <c r="E179" s="59"/>
      <c r="F179" s="111"/>
      <c r="G179" s="111"/>
      <c r="H179" s="111"/>
      <c r="I179" s="111"/>
    </row>
  </sheetData>
  <sheetProtection algorithmName="SHA-512" hashValue="YOEg3TbxUM8blx5d6wskRbRLZ77XTKX0RfdgCzHzNzbVtgIYicVIEojxglRVCarq6h1jcQhjSrMG/+oOZ4lIug==" saltValue="2Hv1GZYfrDvKuEF7kWBHMg==" spinCount="100000" sheet="1" objects="1" scenarios="1"/>
  <mergeCells count="1">
    <mergeCell ref="A2:A3"/>
  </mergeCells>
  <phoneticPr fontId="3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22A88-5CDE-4526-B060-376A3E91DE73}">
  <sheetPr codeName="Sheet20">
    <tabColor rgb="FF7F7F7F"/>
  </sheetPr>
  <dimension ref="A1:Z21"/>
  <sheetViews>
    <sheetView showGridLines="0" zoomScale="85" zoomScaleNormal="85" workbookViewId="0">
      <pane ySplit="3" topLeftCell="A4" activePane="bottomLeft" state="frozen"/>
      <selection pane="bottomLeft" activeCell="E8" sqref="E8"/>
    </sheetView>
  </sheetViews>
  <sheetFormatPr defaultColWidth="9.42578125" defaultRowHeight="15" outlineLevelCol="1" x14ac:dyDescent="0.25"/>
  <cols>
    <col min="1" max="1" width="100.5703125" hidden="1" customWidth="1" outlineLevel="1"/>
    <col min="2" max="2" width="10.5703125" style="6" customWidth="1" collapsed="1"/>
    <col min="3" max="3" width="10.5703125" customWidth="1"/>
    <col min="4" max="7" width="45.5703125" customWidth="1"/>
    <col min="8" max="26" width="25.5703125" customWidth="1"/>
  </cols>
  <sheetData>
    <row r="1" spans="1:26" ht="15" customHeight="1" x14ac:dyDescent="0.25">
      <c r="A1" s="1" t="s">
        <v>20</v>
      </c>
      <c r="B1" s="21"/>
      <c r="C1" s="22"/>
      <c r="D1" s="22"/>
      <c r="E1" s="22"/>
      <c r="F1" s="22"/>
      <c r="G1" s="22"/>
      <c r="H1" s="22"/>
      <c r="I1" s="22"/>
      <c r="J1" s="22"/>
      <c r="K1" s="22"/>
      <c r="L1" s="22"/>
      <c r="M1" s="22"/>
      <c r="N1" s="22"/>
      <c r="O1" s="22"/>
      <c r="P1" s="22"/>
      <c r="Q1" s="22"/>
      <c r="R1" s="22"/>
      <c r="S1" s="22"/>
      <c r="T1" s="22"/>
      <c r="U1" s="22"/>
      <c r="V1" s="22"/>
      <c r="W1" s="22"/>
      <c r="X1" s="22"/>
      <c r="Y1" s="22"/>
      <c r="Z1" s="22"/>
    </row>
    <row r="2" spans="1:26" s="4" customFormat="1" ht="50.1" customHeight="1" x14ac:dyDescent="0.25">
      <c r="A2" s="382" t="s">
        <v>21</v>
      </c>
      <c r="B2" s="25"/>
      <c r="C2" s="25" t="str">
        <f>Disclaimer!$B$1</f>
        <v>VDO calculation model</v>
      </c>
      <c r="D2" s="25"/>
      <c r="E2" s="25"/>
      <c r="F2" s="25"/>
      <c r="G2" s="25"/>
      <c r="H2" s="25"/>
      <c r="I2" s="25"/>
      <c r="J2" s="25"/>
      <c r="K2" s="25"/>
      <c r="L2" s="25"/>
      <c r="M2" s="25"/>
      <c r="N2" s="25"/>
      <c r="O2" s="25"/>
      <c r="P2" s="25"/>
      <c r="Q2" s="25"/>
      <c r="R2" s="25"/>
      <c r="S2" s="25"/>
      <c r="T2" s="25"/>
      <c r="U2" s="25"/>
      <c r="V2" s="25"/>
      <c r="W2" s="25"/>
      <c r="X2" s="25"/>
      <c r="Y2" s="25"/>
      <c r="Z2" s="25"/>
    </row>
    <row r="3" spans="1:26" s="4" customFormat="1" ht="30" customHeight="1" x14ac:dyDescent="0.25">
      <c r="A3" s="383"/>
      <c r="B3" s="27">
        <f ca="1">_xlfn.SHEET()</f>
        <v>6</v>
      </c>
      <c r="C3" s="26" t="s">
        <v>14</v>
      </c>
      <c r="D3" s="26"/>
      <c r="E3" s="26"/>
      <c r="F3" s="26"/>
      <c r="G3" s="26"/>
      <c r="H3" s="26"/>
      <c r="I3" s="26"/>
      <c r="J3" s="26"/>
      <c r="K3" s="26"/>
      <c r="L3" s="26"/>
      <c r="M3" s="26"/>
      <c r="N3" s="26"/>
      <c r="O3" s="26"/>
      <c r="P3" s="26"/>
      <c r="Q3" s="26"/>
      <c r="R3" s="26"/>
      <c r="S3" s="26"/>
      <c r="T3" s="26"/>
      <c r="U3" s="26"/>
      <c r="V3" s="26"/>
      <c r="W3" s="26"/>
      <c r="X3" s="26"/>
      <c r="Y3" s="26"/>
      <c r="Z3" s="26"/>
    </row>
    <row r="4" spans="1:26" x14ac:dyDescent="0.25">
      <c r="B4"/>
    </row>
    <row r="5" spans="1:26" ht="16.5" thickBot="1" x14ac:dyDescent="0.3">
      <c r="A5" s="1" t="s">
        <v>23</v>
      </c>
      <c r="B5" s="9">
        <f ca="1">MAX(B$3:B4)+0.1</f>
        <v>6.1</v>
      </c>
      <c r="C5" s="28" t="s">
        <v>94</v>
      </c>
      <c r="D5" s="28"/>
      <c r="E5" s="28"/>
      <c r="F5" s="28"/>
      <c r="G5" s="28"/>
      <c r="H5" s="28"/>
      <c r="I5" s="28"/>
      <c r="J5" s="28"/>
      <c r="K5" s="28"/>
      <c r="L5" s="28"/>
      <c r="M5" s="28"/>
      <c r="N5" s="28"/>
      <c r="O5" s="28"/>
      <c r="P5" s="28"/>
      <c r="Q5" s="28"/>
      <c r="R5" s="28"/>
      <c r="S5" s="28"/>
      <c r="T5" s="28"/>
      <c r="U5" s="28"/>
      <c r="V5" s="28"/>
      <c r="W5" s="28"/>
      <c r="X5" s="28"/>
      <c r="Y5" s="28"/>
      <c r="Z5" s="28"/>
    </row>
    <row r="7" spans="1:26" ht="15.75" x14ac:dyDescent="0.25">
      <c r="C7" s="126" t="s">
        <v>368</v>
      </c>
      <c r="D7" s="126" t="s">
        <v>451</v>
      </c>
      <c r="E7" s="42" t="s">
        <v>95</v>
      </c>
      <c r="F7" s="42" t="s">
        <v>96</v>
      </c>
      <c r="G7" s="42" t="s">
        <v>97</v>
      </c>
    </row>
    <row r="8" spans="1:26" x14ac:dyDescent="0.25">
      <c r="C8" s="135">
        <v>1</v>
      </c>
      <c r="D8" s="135"/>
      <c r="E8" s="23" t="s">
        <v>884</v>
      </c>
      <c r="F8" s="23"/>
      <c r="G8" s="23" t="s">
        <v>883</v>
      </c>
    </row>
    <row r="9" spans="1:26" x14ac:dyDescent="0.25">
      <c r="C9" s="135"/>
      <c r="D9" s="135"/>
      <c r="E9" s="23"/>
      <c r="F9" s="23"/>
      <c r="G9" s="23"/>
    </row>
    <row r="10" spans="1:26" x14ac:dyDescent="0.25">
      <c r="C10" s="135"/>
      <c r="D10" s="135"/>
      <c r="E10" s="23"/>
      <c r="F10" s="23"/>
      <c r="G10" s="23"/>
    </row>
    <row r="11" spans="1:26" x14ac:dyDescent="0.25">
      <c r="C11" s="135"/>
      <c r="D11" s="135"/>
      <c r="E11" s="23"/>
      <c r="F11" s="23"/>
      <c r="G11" s="23"/>
    </row>
    <row r="12" spans="1:26" x14ac:dyDescent="0.25">
      <c r="C12" s="135"/>
      <c r="D12" s="135"/>
      <c r="E12" s="23"/>
      <c r="F12" s="23"/>
      <c r="G12" s="23"/>
    </row>
    <row r="13" spans="1:26" x14ac:dyDescent="0.25">
      <c r="C13" s="135"/>
      <c r="D13" s="135"/>
      <c r="E13" s="23"/>
      <c r="F13" s="23"/>
      <c r="G13" s="23"/>
    </row>
    <row r="14" spans="1:26" x14ac:dyDescent="0.25">
      <c r="C14" s="135"/>
      <c r="D14" s="135"/>
      <c r="E14" s="23"/>
      <c r="F14" s="23"/>
      <c r="G14" s="23"/>
    </row>
    <row r="15" spans="1:26" x14ac:dyDescent="0.25">
      <c r="C15" s="135"/>
      <c r="D15" s="135"/>
      <c r="E15" s="23"/>
      <c r="F15" s="23"/>
      <c r="G15" s="23"/>
    </row>
    <row r="16" spans="1:26" x14ac:dyDescent="0.25">
      <c r="C16" s="135"/>
      <c r="D16" s="135"/>
      <c r="E16" s="23"/>
      <c r="F16" s="23"/>
      <c r="G16" s="23"/>
    </row>
    <row r="17" spans="3:7" x14ac:dyDescent="0.25">
      <c r="C17" s="135"/>
      <c r="D17" s="135"/>
      <c r="E17" s="23"/>
      <c r="F17" s="23"/>
      <c r="G17" s="23"/>
    </row>
    <row r="18" spans="3:7" x14ac:dyDescent="0.25">
      <c r="C18" s="135"/>
      <c r="D18" s="135"/>
      <c r="E18" s="23"/>
      <c r="F18" s="23"/>
      <c r="G18" s="23"/>
    </row>
    <row r="19" spans="3:7" x14ac:dyDescent="0.25">
      <c r="C19" s="135"/>
      <c r="D19" s="135"/>
      <c r="E19" s="23"/>
      <c r="F19" s="23"/>
      <c r="G19" s="23"/>
    </row>
    <row r="20" spans="3:7" x14ac:dyDescent="0.25">
      <c r="C20" s="135"/>
      <c r="D20" s="135"/>
      <c r="E20" s="23"/>
      <c r="F20" s="23"/>
      <c r="G20" s="23"/>
    </row>
    <row r="21" spans="3:7" x14ac:dyDescent="0.25">
      <c r="C21" s="135"/>
      <c r="D21" s="135"/>
      <c r="E21" s="23"/>
      <c r="F21" s="23"/>
      <c r="G21" s="23"/>
    </row>
  </sheetData>
  <sheetProtection algorithmName="SHA-512" hashValue="NILCayiz1dcs4W4jsTEMyTnki1qtkiion3C2KK/3giW8tlBaBO7d+eIqOI735Fs/GQYNd8vqSBibgbXp4ulvUA==" saltValue="rbMdMWcjEXR5CDaNf8aCGw==" spinCount="100000" sheet="1" objects="1" scenarios="1"/>
  <mergeCells count="1">
    <mergeCell ref="A2:A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2EA9C-255F-4357-B355-C371171A384D}">
  <sheetPr codeName="Sheet18">
    <tabColor rgb="FF4986A0"/>
  </sheetPr>
  <dimension ref="A1:AA35"/>
  <sheetViews>
    <sheetView showGridLines="0" topLeftCell="B1" zoomScale="85" zoomScaleNormal="85" workbookViewId="0">
      <pane ySplit="3" topLeftCell="A19" activePane="bottomLeft" state="frozen"/>
      <selection activeCell="D10" sqref="D10"/>
      <selection pane="bottomLeft" activeCell="D33" sqref="D33"/>
    </sheetView>
  </sheetViews>
  <sheetFormatPr defaultRowHeight="15" outlineLevelCol="1" x14ac:dyDescent="0.25"/>
  <cols>
    <col min="1" max="1" width="100.5703125" hidden="1" customWidth="1" outlineLevel="1"/>
    <col min="2" max="2" width="10.5703125" style="6" customWidth="1" collapsed="1"/>
    <col min="3" max="3" width="50.5703125" customWidth="1"/>
    <col min="4" max="5" width="30.5703125" customWidth="1"/>
    <col min="6" max="9" width="20.5703125" customWidth="1"/>
    <col min="10" max="10" width="58.42578125" bestFit="1" customWidth="1"/>
    <col min="11" max="13" width="20.5703125" customWidth="1"/>
  </cols>
  <sheetData>
    <row r="1" spans="1:27" s="4" customFormat="1" ht="15" customHeight="1" x14ac:dyDescent="0.25">
      <c r="A1" s="1" t="s">
        <v>20</v>
      </c>
      <c r="B1" s="21"/>
      <c r="C1" s="22"/>
      <c r="D1" s="22"/>
      <c r="E1" s="22"/>
      <c r="F1" s="22"/>
      <c r="G1" s="22"/>
      <c r="H1" s="22"/>
      <c r="I1" s="22"/>
      <c r="J1" s="22"/>
      <c r="K1" s="22"/>
      <c r="L1" s="22"/>
      <c r="M1" s="22"/>
      <c r="N1" s="22"/>
      <c r="O1" s="22"/>
      <c r="P1" s="22"/>
      <c r="Q1" s="22"/>
      <c r="R1" s="22"/>
      <c r="S1" s="22"/>
      <c r="T1" s="22"/>
      <c r="U1" s="22"/>
      <c r="V1" s="22"/>
      <c r="W1" s="22"/>
      <c r="X1" s="22"/>
      <c r="Y1" s="22"/>
      <c r="Z1" s="22"/>
      <c r="AA1"/>
    </row>
    <row r="2" spans="1:27" s="4" customFormat="1" ht="50.1" customHeight="1" x14ac:dyDescent="0.25">
      <c r="A2" s="382" t="s">
        <v>21</v>
      </c>
      <c r="B2" s="25"/>
      <c r="C2" s="25" t="str">
        <f>Disclaimer!$B$1</f>
        <v>VDO calculation model</v>
      </c>
      <c r="D2" s="25"/>
      <c r="E2" s="25"/>
      <c r="F2" s="25"/>
      <c r="G2" s="25"/>
      <c r="H2" s="25"/>
      <c r="I2" s="25"/>
      <c r="J2" s="25"/>
      <c r="K2" s="25"/>
      <c r="L2" s="25"/>
      <c r="M2" s="25"/>
      <c r="N2" s="25"/>
      <c r="O2" s="25"/>
      <c r="P2" s="25"/>
      <c r="Q2" s="25"/>
      <c r="R2" s="25"/>
      <c r="S2" s="25"/>
      <c r="T2" s="25"/>
      <c r="U2" s="25"/>
      <c r="V2" s="25"/>
      <c r="W2" s="25"/>
      <c r="X2" s="25"/>
      <c r="Y2" s="25"/>
      <c r="Z2" s="25"/>
      <c r="AA2"/>
    </row>
    <row r="3" spans="1:27" s="4" customFormat="1" ht="30" customHeight="1" x14ac:dyDescent="0.25">
      <c r="A3" s="383"/>
      <c r="B3" s="27">
        <f ca="1">_xlfn.SHEET()</f>
        <v>7</v>
      </c>
      <c r="C3" s="26" t="s">
        <v>17</v>
      </c>
      <c r="D3" s="26"/>
      <c r="E3" s="26"/>
      <c r="F3" s="26"/>
      <c r="G3" s="26"/>
      <c r="H3" s="26"/>
      <c r="I3" s="26"/>
      <c r="J3" s="26"/>
      <c r="K3" s="26"/>
      <c r="L3" s="26"/>
      <c r="M3" s="26"/>
      <c r="N3" s="26"/>
      <c r="O3" s="26"/>
      <c r="P3" s="26"/>
      <c r="Q3" s="26"/>
      <c r="R3" s="26"/>
      <c r="S3" s="26"/>
      <c r="T3" s="26"/>
      <c r="U3" s="26"/>
      <c r="V3" s="26"/>
      <c r="W3" s="26"/>
      <c r="X3" s="26"/>
      <c r="Y3" s="26"/>
      <c r="Z3" s="26"/>
      <c r="AA3"/>
    </row>
    <row r="4" spans="1:27" ht="9.75" customHeight="1" x14ac:dyDescent="0.25">
      <c r="B4" s="9"/>
    </row>
    <row r="5" spans="1:27" ht="16.5" thickBot="1" x14ac:dyDescent="0.3">
      <c r="B5" s="9">
        <f ca="1">MAX(B$3:B4)+0.1</f>
        <v>7.1</v>
      </c>
      <c r="C5" s="28" t="s">
        <v>353</v>
      </c>
      <c r="D5" s="28"/>
      <c r="E5" s="28"/>
      <c r="F5" s="28"/>
      <c r="G5" s="28"/>
      <c r="H5" s="28"/>
      <c r="I5" s="28"/>
      <c r="J5" s="28"/>
      <c r="K5" s="28"/>
      <c r="L5" s="28"/>
      <c r="M5" s="28"/>
      <c r="N5" s="28"/>
      <c r="O5" s="28"/>
      <c r="P5" s="28"/>
      <c r="Q5" s="28"/>
      <c r="R5" s="28"/>
      <c r="S5" s="28"/>
      <c r="T5" s="28"/>
      <c r="U5" s="28"/>
      <c r="V5" s="28"/>
      <c r="W5" s="28"/>
      <c r="X5" s="28"/>
      <c r="Y5" s="28"/>
      <c r="Z5" s="28"/>
      <c r="AA5" s="28"/>
    </row>
    <row r="6" spans="1:27" ht="15.75" x14ac:dyDescent="0.25">
      <c r="B6" s="9"/>
    </row>
    <row r="7" spans="1:27" ht="15.75" x14ac:dyDescent="0.25">
      <c r="B7" s="9"/>
      <c r="C7" s="42" t="s">
        <v>354</v>
      </c>
      <c r="D7" s="8"/>
      <c r="K7" s="7"/>
      <c r="L7" s="7"/>
      <c r="M7" s="7"/>
    </row>
    <row r="8" spans="1:27" ht="15.75" x14ac:dyDescent="0.25">
      <c r="B8" s="9"/>
    </row>
    <row r="9" spans="1:27" ht="15.75" x14ac:dyDescent="0.25">
      <c r="B9" s="9"/>
      <c r="C9" t="s">
        <v>355</v>
      </c>
      <c r="D9" s="316">
        <f>'Change Log'!J6</f>
        <v>0</v>
      </c>
    </row>
    <row r="10" spans="1:27" ht="15.75" x14ac:dyDescent="0.25">
      <c r="B10" s="9"/>
    </row>
    <row r="11" spans="1:27" ht="15.75" x14ac:dyDescent="0.25">
      <c r="B11" s="9"/>
    </row>
    <row r="12" spans="1:27" ht="16.5" thickBot="1" x14ac:dyDescent="0.3">
      <c r="B12" s="9">
        <f ca="1">MAX(B$3:B11)+0.1</f>
        <v>7.1999999999999993</v>
      </c>
      <c r="C12" s="28" t="s">
        <v>356</v>
      </c>
      <c r="D12" s="28"/>
      <c r="E12" s="28"/>
      <c r="F12" s="28"/>
      <c r="G12" s="28"/>
      <c r="H12" s="28"/>
      <c r="I12" s="28"/>
      <c r="J12" s="28"/>
      <c r="K12" s="28"/>
      <c r="L12" s="28"/>
      <c r="M12" s="28"/>
      <c r="N12" s="28"/>
      <c r="O12" s="28"/>
      <c r="P12" s="28"/>
      <c r="Q12" s="28"/>
      <c r="R12" s="28"/>
      <c r="S12" s="28"/>
      <c r="T12" s="28"/>
      <c r="U12" s="28"/>
      <c r="V12" s="28"/>
      <c r="W12" s="28"/>
      <c r="X12" s="28"/>
      <c r="Y12" s="28"/>
      <c r="Z12" s="28"/>
      <c r="AA12" s="28"/>
    </row>
    <row r="13" spans="1:27" ht="15.75" x14ac:dyDescent="0.25">
      <c r="B13" s="9"/>
    </row>
    <row r="14" spans="1:27" ht="15.75" x14ac:dyDescent="0.25">
      <c r="B14" s="9"/>
      <c r="C14" s="54" t="s">
        <v>769</v>
      </c>
    </row>
    <row r="15" spans="1:27" ht="15.75" x14ac:dyDescent="0.25">
      <c r="B15" s="9"/>
      <c r="C15" s="23" t="s">
        <v>770</v>
      </c>
      <c r="D15" s="23">
        <f>COUNTA(Input_ForRateCalc[Cost item])-(COUNTIF(Input_ForRateCalc[Cost item],"*Ausnet*")*4)</f>
        <v>38</v>
      </c>
    </row>
    <row r="16" spans="1:27" ht="15.75" x14ac:dyDescent="0.25">
      <c r="B16" s="9"/>
      <c r="C16" s="23" t="s">
        <v>771</v>
      </c>
      <c r="D16" s="23"/>
    </row>
    <row r="17" spans="2:13" ht="15.75" x14ac:dyDescent="0.25">
      <c r="B17" s="9"/>
    </row>
    <row r="18" spans="2:13" ht="15.75" x14ac:dyDescent="0.25">
      <c r="B18" s="9"/>
      <c r="C18" s="29" t="s">
        <v>418</v>
      </c>
    </row>
    <row r="19" spans="2:13" ht="15.75" x14ac:dyDescent="0.25">
      <c r="B19" s="9"/>
      <c r="C19" s="54" t="s">
        <v>417</v>
      </c>
      <c r="D19" s="41" t="str">
        <f>Calc_Rates!$D$5</f>
        <v>VDO 2022-23 - Draft</v>
      </c>
      <c r="E19" s="41" t="str">
        <f>Calc_Rates!$D$254</f>
        <v>VDO 2022 - Final</v>
      </c>
      <c r="K19" s="7"/>
      <c r="L19" s="7"/>
      <c r="M19" s="7"/>
    </row>
    <row r="20" spans="2:13" ht="15.75" x14ac:dyDescent="0.25">
      <c r="B20" s="9"/>
    </row>
    <row r="21" spans="2:13" ht="15.75" x14ac:dyDescent="0.25">
      <c r="B21" s="9"/>
      <c r="C21" s="124" t="s">
        <v>412</v>
      </c>
      <c r="D21" s="24">
        <f>Calc_Rates!D3</f>
        <v>0</v>
      </c>
      <c r="E21" s="24">
        <f>Calc_Rates!E3</f>
        <v>0</v>
      </c>
    </row>
    <row r="22" spans="2:13" ht="15.75" x14ac:dyDescent="0.25">
      <c r="B22" s="9"/>
    </row>
    <row r="23" spans="2:13" ht="15.75" x14ac:dyDescent="0.25">
      <c r="B23" s="9"/>
      <c r="C23" s="124" t="s">
        <v>759</v>
      </c>
      <c r="D23" s="24">
        <f>Calc_TU_rates!D3</f>
        <v>0</v>
      </c>
      <c r="E23" s="24">
        <f>Calc_TU_rates!E3</f>
        <v>0</v>
      </c>
    </row>
    <row r="24" spans="2:13" ht="15.75" x14ac:dyDescent="0.25">
      <c r="B24" s="9"/>
    </row>
    <row r="25" spans="2:13" ht="15.75" x14ac:dyDescent="0.25">
      <c r="B25" s="9"/>
      <c r="C25" s="124" t="s">
        <v>413</v>
      </c>
      <c r="D25" s="24">
        <f>OP_Rates!F3</f>
        <v>0</v>
      </c>
      <c r="E25" s="24">
        <f>OP_Rates!G3</f>
        <v>0</v>
      </c>
    </row>
    <row r="26" spans="2:13" ht="15.75" x14ac:dyDescent="0.25">
      <c r="B26" s="9"/>
    </row>
    <row r="27" spans="2:13" ht="15.75" x14ac:dyDescent="0.25">
      <c r="B27" s="9"/>
      <c r="C27" s="124" t="s">
        <v>414</v>
      </c>
      <c r="D27" s="24">
        <f>OP_CMAB!G3</f>
        <v>0</v>
      </c>
      <c r="E27" s="24">
        <f>OP_CMAB!H3</f>
        <v>0</v>
      </c>
    </row>
    <row r="28" spans="2:13" ht="15.75" x14ac:dyDescent="0.25">
      <c r="B28" s="9"/>
    </row>
    <row r="29" spans="2:13" ht="15.75" x14ac:dyDescent="0.25">
      <c r="B29" s="9"/>
      <c r="C29" s="124" t="s">
        <v>415</v>
      </c>
      <c r="D29" s="24">
        <f>CH_CostStack_RES!F3</f>
        <v>0</v>
      </c>
      <c r="E29" s="24">
        <f>CH_CostStack_RES!G3</f>
        <v>0</v>
      </c>
    </row>
    <row r="30" spans="2:13" ht="15.75" x14ac:dyDescent="0.25">
      <c r="B30" s="9"/>
    </row>
    <row r="31" spans="2:13" ht="15.75" x14ac:dyDescent="0.25">
      <c r="B31" s="9"/>
      <c r="C31" s="124" t="s">
        <v>416</v>
      </c>
      <c r="D31" s="24">
        <f>CH_CostStack_SME!F3</f>
        <v>0</v>
      </c>
      <c r="E31" s="24">
        <f>CH_CostStack_SME!G3</f>
        <v>0</v>
      </c>
    </row>
    <row r="32" spans="2:13" ht="15.75" x14ac:dyDescent="0.25">
      <c r="B32" s="9"/>
    </row>
    <row r="33" spans="2:5" ht="15.75" x14ac:dyDescent="0.25">
      <c r="B33" s="9"/>
      <c r="C33" s="160" t="s">
        <v>820</v>
      </c>
      <c r="D33" s="24" t="e">
        <f>'CH_Bill impact annual'!F3</f>
        <v>#REF!</v>
      </c>
      <c r="E33" s="24" t="e">
        <f>'CH_Bill impacts full year 2'!G3</f>
        <v>#REF!</v>
      </c>
    </row>
    <row r="35" spans="2:5" ht="15.75" x14ac:dyDescent="0.25">
      <c r="C35" s="160" t="s">
        <v>821</v>
      </c>
      <c r="D35" s="24" t="e">
        <f>'CH_Bill impacts half year'!H3</f>
        <v>#REF!</v>
      </c>
      <c r="E35" s="24" t="e">
        <f>'CH_Bill impacts half year'!I3</f>
        <v>#REF!</v>
      </c>
    </row>
  </sheetData>
  <sheetProtection algorithmName="SHA-512" hashValue="15i0GCnoK8ayAmT/2gfkRNmP/R46/OJYMPD/tvS1czu0e75Y5ExLbdXh/ybS+ZP+5B2ND3gZ6FKSP1Z/a3kiyQ==" saltValue="2r3Yx0ctqplfUsyEj/01zA==" spinCount="100000" sheet="1" objects="1" scenarios="1"/>
  <mergeCells count="1">
    <mergeCell ref="A2:A3"/>
  </mergeCells>
  <hyperlinks>
    <hyperlink ref="C21" location="Calc_Rates!A1" display="Calc_Rates" xr:uid="{58E1B6BE-996C-4E70-83A8-6EAE4ABCB5E9}"/>
    <hyperlink ref="C25" location="OP_Rates!A1" display="OP_Rates" xr:uid="{812C77A3-8D40-4364-B4F3-05F58B955B54}"/>
    <hyperlink ref="C27" location="OP_CMAB!A1" display="OP_CMAB!A1" xr:uid="{D00A6EE8-9FC4-4D36-AE48-BFB336B93354}"/>
    <hyperlink ref="C29" location="OP_CostStack_RES!A1" display="OP_CostStack_RES!A1" xr:uid="{EA4061F9-F92A-4772-9729-EE548DBE454D}"/>
    <hyperlink ref="C31" location="OP_CostStack_SME!A1" display="OP_CostStack_SME!A1" xr:uid="{7F11B3A9-AEB0-4EBE-80DF-A66F6FF2FAEB}"/>
    <hyperlink ref="C33" location="'CH_Bill impact annual'!A1" display="CH_Bill impact annual!A1" xr:uid="{436B78FE-5A8A-46BA-B5D7-55088B149131}"/>
    <hyperlink ref="C23" location="Calc_TU_rates!A1" display="Calc_TU_rates" xr:uid="{6A1F5FCD-B43C-449E-BE33-59CB84A4C0B0}"/>
    <hyperlink ref="C35" location="'CH_Bill impact monthly'!A1" display="CH_Bill impact monthly!A1" xr:uid="{D0C8D481-C4F2-4EA0-8A54-28569E4C3644}"/>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8F045-24B7-4FA2-8B01-1F72684F6373}">
  <sheetPr>
    <tabColor rgb="FF4986A0"/>
  </sheetPr>
  <dimension ref="A1:Z21"/>
  <sheetViews>
    <sheetView showGridLines="0" topLeftCell="B1" zoomScale="85" zoomScaleNormal="85" workbookViewId="0">
      <pane ySplit="3" topLeftCell="A4" activePane="bottomLeft" state="frozen"/>
      <selection pane="bottomLeft" activeCell="E28" sqref="E28"/>
    </sheetView>
  </sheetViews>
  <sheetFormatPr defaultColWidth="9.42578125" defaultRowHeight="15" outlineLevelCol="1" x14ac:dyDescent="0.25"/>
  <cols>
    <col min="1" max="1" width="100.5703125" hidden="1" customWidth="1" outlineLevel="1"/>
    <col min="2" max="2" width="10.5703125" style="6" customWidth="1" collapsed="1"/>
    <col min="3" max="3" width="36.42578125" customWidth="1"/>
    <col min="4" max="4" width="27.42578125" customWidth="1"/>
    <col min="5" max="26" width="25.5703125" customWidth="1"/>
  </cols>
  <sheetData>
    <row r="1" spans="1:26" ht="15" customHeight="1" x14ac:dyDescent="0.25">
      <c r="A1" s="1" t="s">
        <v>20</v>
      </c>
      <c r="B1" s="21"/>
      <c r="C1" s="22"/>
      <c r="D1" s="22"/>
      <c r="E1" s="22"/>
      <c r="F1" s="22"/>
      <c r="G1" s="22"/>
      <c r="H1" s="22"/>
      <c r="I1" s="22"/>
      <c r="J1" s="22"/>
      <c r="K1" s="22"/>
      <c r="L1" s="22"/>
      <c r="M1" s="22"/>
      <c r="N1" s="22"/>
      <c r="O1" s="22"/>
      <c r="P1" s="22"/>
      <c r="Q1" s="22"/>
      <c r="R1" s="22"/>
      <c r="S1" s="22"/>
      <c r="T1" s="22"/>
      <c r="U1" s="22"/>
      <c r="V1" s="22"/>
      <c r="W1" s="22"/>
      <c r="X1" s="22"/>
      <c r="Y1" s="22"/>
      <c r="Z1" s="22"/>
    </row>
    <row r="2" spans="1:26" s="4" customFormat="1" ht="50.1" customHeight="1" x14ac:dyDescent="0.25">
      <c r="A2" s="382" t="s">
        <v>21</v>
      </c>
      <c r="B2" s="25"/>
      <c r="C2" s="25" t="str">
        <f>Disclaimer!$B$1</f>
        <v>VDO calculation model</v>
      </c>
      <c r="D2" s="25"/>
      <c r="E2" s="25"/>
      <c r="F2" s="25"/>
      <c r="G2" s="25"/>
      <c r="H2" s="25"/>
      <c r="I2" s="25"/>
      <c r="J2" s="25"/>
      <c r="K2" s="25"/>
      <c r="L2" s="25"/>
      <c r="M2" s="25"/>
      <c r="N2" s="25"/>
      <c r="O2" s="25"/>
      <c r="P2" s="25"/>
      <c r="Q2" s="25"/>
      <c r="R2" s="25"/>
      <c r="S2" s="25"/>
      <c r="T2" s="25"/>
      <c r="U2" s="25"/>
      <c r="V2" s="25"/>
      <c r="W2" s="25"/>
      <c r="X2" s="25"/>
      <c r="Y2" s="25"/>
      <c r="Z2" s="25"/>
    </row>
    <row r="3" spans="1:26" s="4" customFormat="1" ht="30" customHeight="1" x14ac:dyDescent="0.25">
      <c r="A3" s="383"/>
      <c r="B3" s="27">
        <f ca="1">_xlfn.SHEET()</f>
        <v>8</v>
      </c>
      <c r="C3" s="26" t="s">
        <v>833</v>
      </c>
      <c r="D3" s="26"/>
      <c r="E3" s="26"/>
      <c r="F3" s="26"/>
      <c r="G3" s="26"/>
      <c r="H3" s="26"/>
      <c r="I3" s="26"/>
      <c r="J3" s="26"/>
      <c r="K3" s="26"/>
      <c r="L3" s="26"/>
      <c r="M3" s="26"/>
      <c r="N3" s="26"/>
      <c r="O3" s="26"/>
      <c r="P3" s="26"/>
      <c r="Q3" s="26"/>
      <c r="R3" s="26"/>
      <c r="S3" s="26"/>
      <c r="T3" s="26"/>
      <c r="U3" s="26"/>
      <c r="V3" s="26"/>
      <c r="W3" s="26"/>
      <c r="X3" s="26"/>
      <c r="Y3" s="26"/>
      <c r="Z3" s="26"/>
    </row>
    <row r="4" spans="1:26" x14ac:dyDescent="0.25">
      <c r="B4"/>
    </row>
    <row r="5" spans="1:26" ht="16.5" thickBot="1" x14ac:dyDescent="0.3">
      <c r="A5" s="1" t="s">
        <v>23</v>
      </c>
      <c r="B5" s="9">
        <f ca="1">MAX(B$3:B4)+0.1</f>
        <v>8.1</v>
      </c>
      <c r="C5" s="28" t="s">
        <v>834</v>
      </c>
      <c r="D5" s="28"/>
    </row>
    <row r="7" spans="1:26" x14ac:dyDescent="0.25">
      <c r="C7" s="252" t="s">
        <v>835</v>
      </c>
      <c r="D7" s="252" t="s">
        <v>843</v>
      </c>
      <c r="E7" s="252" t="s">
        <v>6</v>
      </c>
      <c r="F7" s="252" t="s">
        <v>842</v>
      </c>
      <c r="G7" s="252" t="s">
        <v>6</v>
      </c>
    </row>
    <row r="8" spans="1:26" x14ac:dyDescent="0.25">
      <c r="C8" t="s">
        <v>44</v>
      </c>
      <c r="D8" t="s">
        <v>841</v>
      </c>
      <c r="F8" t="s">
        <v>841</v>
      </c>
    </row>
    <row r="9" spans="1:26" x14ac:dyDescent="0.25">
      <c r="C9" t="s">
        <v>231</v>
      </c>
      <c r="D9" t="s">
        <v>841</v>
      </c>
      <c r="F9" t="s">
        <v>841</v>
      </c>
    </row>
    <row r="10" spans="1:26" x14ac:dyDescent="0.25">
      <c r="C10" t="s">
        <v>249</v>
      </c>
      <c r="D10" t="s">
        <v>841</v>
      </c>
      <c r="F10" t="s">
        <v>841</v>
      </c>
    </row>
    <row r="12" spans="1:26" x14ac:dyDescent="0.25">
      <c r="C12" s="252" t="s">
        <v>836</v>
      </c>
    </row>
    <row r="13" spans="1:26" x14ac:dyDescent="0.25">
      <c r="C13" t="s">
        <v>837</v>
      </c>
      <c r="D13" t="s">
        <v>841</v>
      </c>
      <c r="F13" t="s">
        <v>841</v>
      </c>
    </row>
    <row r="14" spans="1:26" x14ac:dyDescent="0.25">
      <c r="C14" t="s">
        <v>791</v>
      </c>
      <c r="D14" t="s">
        <v>841</v>
      </c>
      <c r="F14" t="s">
        <v>841</v>
      </c>
    </row>
    <row r="15" spans="1:26" x14ac:dyDescent="0.25">
      <c r="C15" t="s">
        <v>759</v>
      </c>
      <c r="D15" t="s">
        <v>841</v>
      </c>
      <c r="F15" t="s">
        <v>841</v>
      </c>
    </row>
    <row r="17" spans="3:6" x14ac:dyDescent="0.25">
      <c r="C17" s="252" t="s">
        <v>838</v>
      </c>
    </row>
    <row r="18" spans="3:6" x14ac:dyDescent="0.25">
      <c r="C18" t="s">
        <v>413</v>
      </c>
      <c r="D18" t="s">
        <v>841</v>
      </c>
      <c r="F18" t="s">
        <v>841</v>
      </c>
    </row>
    <row r="19" spans="3:6" x14ac:dyDescent="0.25">
      <c r="C19" t="s">
        <v>839</v>
      </c>
      <c r="D19" t="s">
        <v>841</v>
      </c>
      <c r="F19" t="s">
        <v>841</v>
      </c>
    </row>
    <row r="21" spans="3:6" x14ac:dyDescent="0.25">
      <c r="C21" s="252" t="s">
        <v>840</v>
      </c>
    </row>
  </sheetData>
  <sheetProtection algorithmName="SHA-512" hashValue="ZoV211/mTt+wASpMU33wR/Qod+0sdz6sep0SSBg+5uOAVpfEN9XePCpSSZ5UNG/1swqeNucXc+lh3YalKhvnUA==" saltValue="AWhaKA94D/CYWtrvV5YMAw==" spinCount="100000" sheet="1" objects="1" scenarios="1"/>
  <mergeCells count="1">
    <mergeCell ref="A2:A3"/>
  </mergeCells>
  <conditionalFormatting sqref="D8:D29">
    <cfRule type="cellIs" dxfId="1105" priority="13" operator="equal">
      <formula>"In progress"</formula>
    </cfRule>
    <cfRule type="cellIs" dxfId="1104" priority="15" operator="equal">
      <formula>"Complete"</formula>
    </cfRule>
  </conditionalFormatting>
  <conditionalFormatting sqref="E8">
    <cfRule type="cellIs" dxfId="1103" priority="14" operator="equal">
      <formula>"Complete"</formula>
    </cfRule>
  </conditionalFormatting>
  <conditionalFormatting sqref="F8:F10">
    <cfRule type="cellIs" dxfId="1102" priority="5" operator="equal">
      <formula>"In progress"</formula>
    </cfRule>
    <cfRule type="cellIs" dxfId="1101" priority="6" operator="equal">
      <formula>"Complete"</formula>
    </cfRule>
  </conditionalFormatting>
  <conditionalFormatting sqref="F13:F15">
    <cfRule type="cellIs" dxfId="1100" priority="3" operator="equal">
      <formula>"In progress"</formula>
    </cfRule>
    <cfRule type="cellIs" dxfId="1099" priority="4" operator="equal">
      <formula>"Complete"</formula>
    </cfRule>
  </conditionalFormatting>
  <conditionalFormatting sqref="F18:F19">
    <cfRule type="cellIs" dxfId="1098" priority="1" operator="equal">
      <formula>"In progress"</formula>
    </cfRule>
    <cfRule type="cellIs" dxfId="1097" priority="2" operator="equal">
      <formula>"Complete"</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6DC8E-AE30-42D6-8AE9-E530798E25EB}">
  <sheetPr codeName="Sheet17">
    <tabColor rgb="FF4986A0"/>
  </sheetPr>
  <dimension ref="A1:Y333"/>
  <sheetViews>
    <sheetView showGridLines="0" topLeftCell="B1" zoomScale="70" zoomScaleNormal="70" workbookViewId="0">
      <pane ySplit="33" topLeftCell="A61" activePane="bottomLeft" state="frozen"/>
      <selection activeCell="B1" sqref="B1"/>
      <selection pane="bottomLeft" activeCell="B12" sqref="B12"/>
    </sheetView>
  </sheetViews>
  <sheetFormatPr defaultColWidth="9.42578125" defaultRowHeight="15" outlineLevelCol="1" x14ac:dyDescent="0.25"/>
  <cols>
    <col min="1" max="1" width="100.5703125" hidden="1" customWidth="1" outlineLevel="1"/>
    <col min="2" max="2" width="10.5703125" style="6" customWidth="1" collapsed="1"/>
    <col min="3" max="3" width="15.5703125" customWidth="1"/>
    <col min="4" max="4" width="20.5703125" customWidth="1"/>
    <col min="5" max="5" width="20.5703125" style="19" customWidth="1"/>
    <col min="6" max="8" width="20.5703125" customWidth="1"/>
    <col min="9" max="10" width="77.42578125" style="216" customWidth="1"/>
    <col min="11" max="11" width="5.5703125" customWidth="1"/>
    <col min="12" max="15" width="20.5703125" style="153" customWidth="1"/>
    <col min="16" max="16" width="50.5703125" style="216" customWidth="1"/>
    <col min="17" max="17" width="10.5703125" customWidth="1"/>
    <col min="18" max="18" width="9.42578125" customWidth="1"/>
  </cols>
  <sheetData>
    <row r="1" spans="1:25" s="4" customFormat="1" ht="15" customHeight="1" x14ac:dyDescent="0.25">
      <c r="A1" s="1" t="s">
        <v>20</v>
      </c>
      <c r="B1" s="21"/>
      <c r="C1" s="22"/>
      <c r="D1" s="22"/>
      <c r="E1" s="308"/>
      <c r="F1" s="22"/>
      <c r="G1" s="22"/>
      <c r="H1" s="22"/>
      <c r="I1" s="304"/>
      <c r="J1" s="304"/>
      <c r="K1" s="22"/>
      <c r="L1" s="313"/>
      <c r="M1" s="313"/>
      <c r="N1" s="313"/>
      <c r="O1" s="313"/>
      <c r="P1" s="304"/>
      <c r="Q1" s="22"/>
      <c r="R1" s="22"/>
      <c r="S1" s="22"/>
      <c r="T1" s="22"/>
      <c r="U1" s="22"/>
      <c r="V1" s="22"/>
      <c r="W1" s="22"/>
      <c r="X1" s="22"/>
      <c r="Y1" s="22"/>
    </row>
    <row r="2" spans="1:25" s="4" customFormat="1" ht="50.1" customHeight="1" x14ac:dyDescent="0.25">
      <c r="A2" s="382" t="s">
        <v>21</v>
      </c>
      <c r="B2" s="25"/>
      <c r="C2" s="25" t="str">
        <f>Disclaimer!$B$1</f>
        <v>VDO calculation model</v>
      </c>
      <c r="D2" s="25"/>
      <c r="E2" s="309"/>
      <c r="F2" s="25"/>
      <c r="G2" s="25"/>
      <c r="H2" s="25"/>
      <c r="I2" s="305"/>
      <c r="J2" s="305"/>
      <c r="K2" s="25"/>
      <c r="L2" s="30"/>
      <c r="M2" s="30"/>
      <c r="N2" s="30"/>
      <c r="O2" s="30"/>
      <c r="P2" s="305"/>
      <c r="Q2" s="25"/>
      <c r="R2" s="25"/>
      <c r="S2" s="25"/>
      <c r="T2" s="25"/>
      <c r="U2" s="25"/>
      <c r="V2" s="25"/>
      <c r="W2" s="25"/>
      <c r="X2" s="25"/>
      <c r="Y2" s="25"/>
    </row>
    <row r="3" spans="1:25" ht="30" customHeight="1" x14ac:dyDescent="0.25">
      <c r="A3" s="382"/>
      <c r="B3" s="27">
        <f ca="1">_xlfn.SHEET()</f>
        <v>9</v>
      </c>
      <c r="C3" s="26" t="s">
        <v>357</v>
      </c>
      <c r="D3" s="26"/>
      <c r="E3" s="310"/>
      <c r="F3" s="26"/>
      <c r="G3" s="26"/>
      <c r="H3" s="26"/>
      <c r="I3" s="306"/>
      <c r="J3" s="306"/>
      <c r="K3" s="26"/>
      <c r="L3" s="27"/>
      <c r="M3" s="27"/>
      <c r="N3" s="27"/>
      <c r="O3" s="27"/>
      <c r="P3" s="306"/>
      <c r="Q3" s="26"/>
      <c r="R3" s="26"/>
      <c r="S3" s="26"/>
      <c r="T3" s="26"/>
      <c r="U3" s="26"/>
      <c r="V3" s="26"/>
      <c r="W3" s="26"/>
      <c r="X3" s="26"/>
      <c r="Y3" s="26"/>
    </row>
    <row r="4" spans="1:25" ht="15.75" x14ac:dyDescent="0.25">
      <c r="B4" s="9"/>
      <c r="C4" s="35" t="s">
        <v>358</v>
      </c>
    </row>
    <row r="5" spans="1:25" ht="15.75" x14ac:dyDescent="0.25">
      <c r="B5" s="9"/>
      <c r="C5" s="153">
        <v>1</v>
      </c>
      <c r="D5" s="303" t="s">
        <v>763</v>
      </c>
      <c r="J5" s="54" t="s">
        <v>359</v>
      </c>
      <c r="K5" s="153"/>
    </row>
    <row r="6" spans="1:25" ht="15.75" x14ac:dyDescent="0.25">
      <c r="B6" s="9"/>
      <c r="C6" s="153">
        <v>2</v>
      </c>
      <c r="D6" s="303" t="s">
        <v>764</v>
      </c>
      <c r="J6" s="317">
        <f>IF(COUNTA(D34:D1048576)=COUNTA(L34:L1048576),0,"YES - "&amp;COUNTA(D34:D1048576)-COUNTA(L34:L1048576))</f>
        <v>0</v>
      </c>
    </row>
    <row r="7" spans="1:25" ht="15.75" x14ac:dyDescent="0.25">
      <c r="B7" s="9"/>
      <c r="C7" s="153">
        <v>3</v>
      </c>
      <c r="D7" s="303" t="s">
        <v>765</v>
      </c>
    </row>
    <row r="8" spans="1:25" ht="15.75" x14ac:dyDescent="0.25">
      <c r="B8" s="9"/>
      <c r="C8" s="153">
        <v>4</v>
      </c>
      <c r="D8" s="303" t="s">
        <v>761</v>
      </c>
    </row>
    <row r="9" spans="1:25" ht="15.75" x14ac:dyDescent="0.25">
      <c r="B9" s="9"/>
    </row>
    <row r="10" spans="1:25" ht="16.5" thickBot="1" x14ac:dyDescent="0.3">
      <c r="B10" s="9">
        <f ca="1">MAX(B$3:B9)+0.1</f>
        <v>9.1</v>
      </c>
      <c r="C10" s="28" t="s">
        <v>762</v>
      </c>
      <c r="D10" s="28"/>
      <c r="E10" s="311"/>
      <c r="F10" s="28"/>
      <c r="G10" s="28"/>
      <c r="H10" s="28"/>
      <c r="I10" s="307"/>
      <c r="J10" s="307"/>
      <c r="K10" s="28"/>
      <c r="L10" s="314"/>
      <c r="M10" s="314"/>
      <c r="N10" s="314"/>
      <c r="O10" s="314"/>
      <c r="P10" s="307"/>
    </row>
    <row r="11" spans="1:25" ht="15.75" x14ac:dyDescent="0.25">
      <c r="B11" s="9"/>
    </row>
    <row r="12" spans="1:25" ht="15.75" x14ac:dyDescent="0.25">
      <c r="B12" s="9"/>
      <c r="C12" s="42" t="s">
        <v>360</v>
      </c>
      <c r="D12" s="42" t="s">
        <v>361</v>
      </c>
      <c r="E12" s="42" t="s">
        <v>252</v>
      </c>
      <c r="F12" s="54" t="s">
        <v>362</v>
      </c>
      <c r="G12" s="54" t="s">
        <v>363</v>
      </c>
      <c r="H12" s="54" t="s">
        <v>3</v>
      </c>
      <c r="I12" s="54" t="s">
        <v>364</v>
      </c>
      <c r="J12" s="54" t="s">
        <v>365</v>
      </c>
      <c r="L12" s="54" t="s">
        <v>768</v>
      </c>
    </row>
    <row r="13" spans="1:25" ht="15.75" x14ac:dyDescent="0.25">
      <c r="B13" s="9"/>
      <c r="C13" s="17">
        <v>1</v>
      </c>
      <c r="D13" s="104"/>
      <c r="E13" s="312"/>
      <c r="F13" s="97"/>
      <c r="G13" s="97"/>
      <c r="H13" s="97"/>
      <c r="I13" s="36"/>
      <c r="J13" s="36"/>
      <c r="L13" s="36" t="str">
        <f>IF(ISBLANK(D13),"-",IF(ISNUMBER(MATCH(I13,$I$34:$I$333,0)),"Yes","No"))</f>
        <v>-</v>
      </c>
    </row>
    <row r="14" spans="1:25" ht="15.75" x14ac:dyDescent="0.25">
      <c r="B14" s="9"/>
      <c r="C14" s="17">
        <v>2</v>
      </c>
      <c r="D14" s="104"/>
      <c r="E14" s="312"/>
      <c r="F14" s="97"/>
      <c r="G14" s="97"/>
      <c r="H14" s="97"/>
      <c r="I14" s="36"/>
      <c r="J14" s="36"/>
      <c r="L14" s="36" t="str">
        <f t="shared" ref="L14:L27" si="0">IF(ISBLANK(D14),"-",IF(ISNUMBER(MATCH(I14,$I$34:$I$333,0)),"Yes","No"))</f>
        <v>-</v>
      </c>
    </row>
    <row r="15" spans="1:25" ht="15.75" x14ac:dyDescent="0.25">
      <c r="B15" s="9"/>
      <c r="C15" s="17">
        <v>3</v>
      </c>
      <c r="D15" s="104"/>
      <c r="E15" s="312"/>
      <c r="F15" s="97"/>
      <c r="G15" s="97"/>
      <c r="H15" s="97"/>
      <c r="I15" s="36"/>
      <c r="J15" s="36"/>
      <c r="L15" s="36" t="str">
        <f t="shared" si="0"/>
        <v>-</v>
      </c>
    </row>
    <row r="16" spans="1:25" ht="15.75" x14ac:dyDescent="0.25">
      <c r="B16" s="9"/>
      <c r="C16" s="17">
        <v>4</v>
      </c>
      <c r="D16" s="104"/>
      <c r="E16" s="312"/>
      <c r="F16" s="97"/>
      <c r="G16" s="97"/>
      <c r="H16" s="97"/>
      <c r="I16" s="36"/>
      <c r="J16" s="36"/>
      <c r="L16" s="36" t="str">
        <f t="shared" si="0"/>
        <v>-</v>
      </c>
    </row>
    <row r="17" spans="2:16" ht="15.75" x14ac:dyDescent="0.25">
      <c r="B17" s="9"/>
      <c r="C17" s="17">
        <v>5</v>
      </c>
      <c r="D17" s="104"/>
      <c r="E17" s="312"/>
      <c r="F17" s="97"/>
      <c r="G17" s="97"/>
      <c r="H17" s="97"/>
      <c r="I17" s="36"/>
      <c r="J17" s="36"/>
      <c r="L17" s="36" t="str">
        <f t="shared" si="0"/>
        <v>-</v>
      </c>
    </row>
    <row r="18" spans="2:16" ht="15.75" x14ac:dyDescent="0.25">
      <c r="B18" s="9"/>
      <c r="C18" s="17">
        <v>6</v>
      </c>
      <c r="D18" s="104"/>
      <c r="E18" s="312"/>
      <c r="F18" s="97"/>
      <c r="G18" s="97"/>
      <c r="H18" s="97"/>
      <c r="I18" s="36"/>
      <c r="J18" s="36"/>
      <c r="L18" s="36" t="str">
        <f t="shared" si="0"/>
        <v>-</v>
      </c>
    </row>
    <row r="19" spans="2:16" ht="15.75" x14ac:dyDescent="0.25">
      <c r="B19" s="9"/>
      <c r="C19" s="17">
        <v>7</v>
      </c>
      <c r="D19" s="104"/>
      <c r="E19" s="312"/>
      <c r="F19" s="97"/>
      <c r="G19" s="97"/>
      <c r="H19" s="97"/>
      <c r="I19" s="36"/>
      <c r="J19" s="36"/>
      <c r="L19" s="36" t="str">
        <f t="shared" si="0"/>
        <v>-</v>
      </c>
    </row>
    <row r="20" spans="2:16" ht="15.75" x14ac:dyDescent="0.25">
      <c r="B20" s="9"/>
      <c r="C20" s="17">
        <v>8</v>
      </c>
      <c r="D20" s="104"/>
      <c r="E20" s="312"/>
      <c r="F20" s="97"/>
      <c r="G20" s="97"/>
      <c r="H20" s="97"/>
      <c r="I20" s="36"/>
      <c r="J20" s="36"/>
      <c r="L20" s="36" t="str">
        <f t="shared" si="0"/>
        <v>-</v>
      </c>
    </row>
    <row r="21" spans="2:16" ht="15.75" x14ac:dyDescent="0.25">
      <c r="B21" s="9"/>
      <c r="C21" s="17">
        <v>9</v>
      </c>
      <c r="D21" s="104"/>
      <c r="E21" s="312"/>
      <c r="F21" s="97"/>
      <c r="G21" s="97"/>
      <c r="H21" s="97"/>
      <c r="I21" s="36"/>
      <c r="J21" s="36"/>
      <c r="L21" s="36" t="str">
        <f t="shared" si="0"/>
        <v>-</v>
      </c>
    </row>
    <row r="22" spans="2:16" ht="15.75" x14ac:dyDescent="0.25">
      <c r="B22" s="9"/>
      <c r="C22" s="17">
        <v>10</v>
      </c>
      <c r="D22" s="104"/>
      <c r="E22" s="312"/>
      <c r="F22" s="97"/>
      <c r="G22" s="97"/>
      <c r="H22" s="97"/>
      <c r="I22" s="36"/>
      <c r="J22" s="36"/>
      <c r="L22" s="36" t="str">
        <f t="shared" si="0"/>
        <v>-</v>
      </c>
    </row>
    <row r="23" spans="2:16" ht="15.75" x14ac:dyDescent="0.25">
      <c r="B23" s="9"/>
      <c r="C23" s="17">
        <v>11</v>
      </c>
      <c r="D23" s="104"/>
      <c r="E23" s="312"/>
      <c r="F23" s="97"/>
      <c r="G23" s="97"/>
      <c r="H23" s="97"/>
      <c r="I23" s="36"/>
      <c r="J23" s="36"/>
      <c r="L23" s="36" t="str">
        <f t="shared" si="0"/>
        <v>-</v>
      </c>
    </row>
    <row r="24" spans="2:16" ht="15.75" x14ac:dyDescent="0.25">
      <c r="B24" s="9"/>
      <c r="C24" s="17">
        <v>12</v>
      </c>
      <c r="D24" s="104"/>
      <c r="E24" s="312"/>
      <c r="F24" s="97"/>
      <c r="G24" s="97"/>
      <c r="H24" s="97"/>
      <c r="I24" s="36"/>
      <c r="J24" s="36"/>
      <c r="L24" s="36" t="str">
        <f t="shared" si="0"/>
        <v>-</v>
      </c>
    </row>
    <row r="25" spans="2:16" ht="15.75" x14ac:dyDescent="0.25">
      <c r="B25" s="9"/>
      <c r="C25" s="17">
        <v>13</v>
      </c>
      <c r="D25" s="104"/>
      <c r="E25" s="312"/>
      <c r="F25" s="97"/>
      <c r="G25" s="97"/>
      <c r="H25" s="97"/>
      <c r="I25" s="36"/>
      <c r="J25" s="36"/>
      <c r="L25" s="36" t="str">
        <f t="shared" si="0"/>
        <v>-</v>
      </c>
    </row>
    <row r="26" spans="2:16" ht="15.75" x14ac:dyDescent="0.25">
      <c r="B26" s="9"/>
      <c r="C26" s="17">
        <v>14</v>
      </c>
      <c r="D26" s="104"/>
      <c r="E26" s="312"/>
      <c r="F26" s="97"/>
      <c r="G26" s="97"/>
      <c r="H26" s="97"/>
      <c r="I26" s="36"/>
      <c r="J26" s="36"/>
      <c r="L26" s="36" t="str">
        <f t="shared" si="0"/>
        <v>-</v>
      </c>
    </row>
    <row r="27" spans="2:16" ht="15.75" x14ac:dyDescent="0.25">
      <c r="B27" s="9"/>
      <c r="C27" s="17">
        <v>15</v>
      </c>
      <c r="D27" s="104"/>
      <c r="E27" s="312"/>
      <c r="F27" s="97"/>
      <c r="G27" s="97"/>
      <c r="H27" s="97"/>
      <c r="I27" s="36"/>
      <c r="J27" s="36"/>
      <c r="L27" s="36" t="str">
        <f t="shared" si="0"/>
        <v>-</v>
      </c>
    </row>
    <row r="28" spans="2:16" ht="15.75" x14ac:dyDescent="0.25">
      <c r="B28" s="9"/>
    </row>
    <row r="29" spans="2:16" ht="15.75" x14ac:dyDescent="0.25">
      <c r="B29" s="9"/>
    </row>
    <row r="30" spans="2:16" ht="15.75" x14ac:dyDescent="0.25">
      <c r="B30" s="9"/>
    </row>
    <row r="31" spans="2:16" ht="16.5" thickBot="1" x14ac:dyDescent="0.3">
      <c r="B31" s="9">
        <f ca="1">MAX(B$3:B30)+0.1</f>
        <v>9.1999999999999993</v>
      </c>
      <c r="C31" s="28" t="s">
        <v>354</v>
      </c>
      <c r="D31" s="28"/>
      <c r="E31" s="311"/>
      <c r="F31" s="28"/>
      <c r="G31" s="28"/>
      <c r="H31" s="28"/>
      <c r="I31" s="307"/>
      <c r="J31" s="307"/>
      <c r="K31" s="28"/>
      <c r="L31" s="314" t="s">
        <v>760</v>
      </c>
      <c r="M31" s="314"/>
      <c r="N31" s="314"/>
      <c r="O31" s="314"/>
      <c r="P31" s="307"/>
    </row>
    <row r="32" spans="2:16" ht="15.75" x14ac:dyDescent="0.25">
      <c r="B32" s="9"/>
    </row>
    <row r="33" spans="2:16" ht="15.75" x14ac:dyDescent="0.25">
      <c r="B33" s="9"/>
      <c r="C33" s="42" t="s">
        <v>360</v>
      </c>
      <c r="D33" s="42" t="s">
        <v>361</v>
      </c>
      <c r="E33" s="42" t="s">
        <v>252</v>
      </c>
      <c r="F33" s="54" t="s">
        <v>362</v>
      </c>
      <c r="G33" s="54" t="s">
        <v>363</v>
      </c>
      <c r="H33" s="54" t="s">
        <v>3</v>
      </c>
      <c r="I33" s="54" t="s">
        <v>364</v>
      </c>
      <c r="J33" s="54" t="s">
        <v>19</v>
      </c>
      <c r="L33" s="126" t="s">
        <v>366</v>
      </c>
      <c r="M33" s="126" t="s">
        <v>252</v>
      </c>
      <c r="N33" s="126" t="s">
        <v>367</v>
      </c>
      <c r="O33" s="126" t="s">
        <v>368</v>
      </c>
      <c r="P33" s="54" t="s">
        <v>798</v>
      </c>
    </row>
    <row r="34" spans="2:16" x14ac:dyDescent="0.25">
      <c r="C34" s="17">
        <v>1</v>
      </c>
      <c r="D34" s="104"/>
      <c r="E34" s="312"/>
      <c r="F34" s="97"/>
      <c r="G34" s="97"/>
      <c r="H34" s="97"/>
      <c r="I34" s="36"/>
      <c r="J34" s="36"/>
      <c r="L34" s="104"/>
      <c r="M34" s="315"/>
      <c r="N34" s="104"/>
      <c r="O34" s="104"/>
      <c r="P34" s="97"/>
    </row>
    <row r="35" spans="2:16" x14ac:dyDescent="0.25">
      <c r="C35" s="17">
        <v>2</v>
      </c>
      <c r="D35" s="104"/>
      <c r="E35" s="312"/>
      <c r="F35" s="97"/>
      <c r="G35" s="97"/>
      <c r="H35" s="97"/>
      <c r="I35" s="36"/>
      <c r="J35" s="36"/>
      <c r="L35" s="104"/>
      <c r="M35" s="315"/>
      <c r="N35" s="104"/>
      <c r="O35" s="104"/>
      <c r="P35" s="97"/>
    </row>
    <row r="36" spans="2:16" x14ac:dyDescent="0.25">
      <c r="C36" s="17">
        <v>3</v>
      </c>
      <c r="D36" s="104"/>
      <c r="E36" s="312"/>
      <c r="F36" s="97"/>
      <c r="G36" s="97"/>
      <c r="H36" s="97"/>
      <c r="I36" s="36"/>
      <c r="J36" s="36"/>
      <c r="L36" s="104"/>
      <c r="M36" s="315"/>
      <c r="N36" s="104"/>
      <c r="O36" s="104"/>
      <c r="P36" s="97"/>
    </row>
    <row r="37" spans="2:16" x14ac:dyDescent="0.25">
      <c r="C37" s="17">
        <v>4</v>
      </c>
      <c r="D37" s="104"/>
      <c r="E37" s="312"/>
      <c r="F37" s="97"/>
      <c r="G37" s="97"/>
      <c r="H37" s="97"/>
      <c r="I37" s="36"/>
      <c r="J37" s="36"/>
      <c r="L37" s="104"/>
      <c r="M37" s="315"/>
      <c r="N37" s="104"/>
      <c r="O37" s="104"/>
      <c r="P37" s="97"/>
    </row>
    <row r="38" spans="2:16" x14ac:dyDescent="0.25">
      <c r="C38" s="17">
        <v>5</v>
      </c>
      <c r="D38" s="104"/>
      <c r="E38" s="312"/>
      <c r="F38" s="97"/>
      <c r="G38" s="97"/>
      <c r="H38" s="97"/>
      <c r="I38" s="36"/>
      <c r="J38" s="36"/>
      <c r="L38" s="104"/>
      <c r="M38" s="315"/>
      <c r="N38" s="104"/>
      <c r="O38" s="104"/>
      <c r="P38" s="97"/>
    </row>
    <row r="39" spans="2:16" x14ac:dyDescent="0.25">
      <c r="C39" s="17">
        <v>6</v>
      </c>
      <c r="D39" s="104"/>
      <c r="E39" s="312"/>
      <c r="F39" s="97"/>
      <c r="G39" s="97"/>
      <c r="H39" s="97"/>
      <c r="I39" s="36"/>
      <c r="J39" s="36"/>
      <c r="L39" s="104"/>
      <c r="M39" s="315"/>
      <c r="N39" s="104"/>
      <c r="O39" s="104"/>
      <c r="P39" s="97"/>
    </row>
    <row r="40" spans="2:16" x14ac:dyDescent="0.25">
      <c r="C40" s="17">
        <v>7</v>
      </c>
      <c r="D40" s="104"/>
      <c r="E40" s="312"/>
      <c r="F40" s="97"/>
      <c r="G40" s="97"/>
      <c r="H40" s="97"/>
      <c r="I40" s="36"/>
      <c r="J40" s="36"/>
      <c r="L40" s="104"/>
      <c r="M40" s="315"/>
      <c r="N40" s="104"/>
      <c r="O40" s="104"/>
      <c r="P40" s="97"/>
    </row>
    <row r="41" spans="2:16" x14ac:dyDescent="0.25">
      <c r="C41" s="17">
        <v>8</v>
      </c>
      <c r="D41" s="104"/>
      <c r="E41" s="312"/>
      <c r="F41" s="97"/>
      <c r="G41" s="97"/>
      <c r="H41" s="97"/>
      <c r="I41" s="36"/>
      <c r="J41" s="36"/>
      <c r="L41" s="104"/>
      <c r="M41" s="315"/>
      <c r="N41" s="104"/>
      <c r="O41" s="104"/>
      <c r="P41" s="97"/>
    </row>
    <row r="42" spans="2:16" x14ac:dyDescent="0.25">
      <c r="C42" s="17">
        <v>9</v>
      </c>
      <c r="D42" s="104"/>
      <c r="E42" s="312"/>
      <c r="F42" s="97"/>
      <c r="G42" s="97"/>
      <c r="H42" s="97"/>
      <c r="I42" s="36"/>
      <c r="J42" s="36"/>
      <c r="L42" s="104"/>
      <c r="M42" s="315"/>
      <c r="N42" s="104"/>
      <c r="O42" s="104"/>
      <c r="P42" s="97"/>
    </row>
    <row r="43" spans="2:16" x14ac:dyDescent="0.25">
      <c r="C43" s="17">
        <v>10</v>
      </c>
      <c r="D43" s="104"/>
      <c r="E43" s="312"/>
      <c r="F43" s="97"/>
      <c r="G43" s="97"/>
      <c r="H43" s="97"/>
      <c r="I43" s="36"/>
      <c r="J43" s="36"/>
      <c r="L43" s="104"/>
      <c r="M43" s="315"/>
      <c r="N43" s="104"/>
      <c r="O43" s="104"/>
      <c r="P43" s="97"/>
    </row>
    <row r="44" spans="2:16" x14ac:dyDescent="0.25">
      <c r="C44" s="17">
        <v>11</v>
      </c>
      <c r="D44" s="104"/>
      <c r="E44" s="312"/>
      <c r="F44" s="97"/>
      <c r="G44" s="97"/>
      <c r="H44" s="97"/>
      <c r="I44" s="36"/>
      <c r="J44" s="36"/>
      <c r="L44" s="104"/>
      <c r="M44" s="315"/>
      <c r="N44" s="104"/>
      <c r="O44" s="104"/>
      <c r="P44" s="97"/>
    </row>
    <row r="45" spans="2:16" x14ac:dyDescent="0.25">
      <c r="C45" s="17">
        <v>12</v>
      </c>
      <c r="D45" s="104"/>
      <c r="E45" s="312"/>
      <c r="F45" s="97"/>
      <c r="G45" s="97"/>
      <c r="H45" s="97"/>
      <c r="I45" s="36"/>
      <c r="J45" s="36"/>
      <c r="L45" s="104"/>
      <c r="M45" s="315"/>
      <c r="N45" s="104"/>
      <c r="O45" s="104"/>
      <c r="P45" s="97"/>
    </row>
    <row r="46" spans="2:16" x14ac:dyDescent="0.25">
      <c r="C46" s="17">
        <v>13</v>
      </c>
      <c r="D46" s="104"/>
      <c r="E46" s="312"/>
      <c r="F46" s="97"/>
      <c r="G46" s="97"/>
      <c r="H46" s="97"/>
      <c r="I46" s="36"/>
      <c r="J46" s="36"/>
      <c r="L46" s="104"/>
      <c r="M46" s="315"/>
      <c r="N46" s="104"/>
      <c r="O46" s="104"/>
      <c r="P46" s="97"/>
    </row>
    <row r="47" spans="2:16" x14ac:dyDescent="0.25">
      <c r="C47" s="17">
        <v>14</v>
      </c>
      <c r="D47" s="104"/>
      <c r="E47" s="312"/>
      <c r="F47" s="97"/>
      <c r="G47" s="97"/>
      <c r="H47" s="97"/>
      <c r="I47" s="36"/>
      <c r="J47" s="36"/>
      <c r="L47" s="104"/>
      <c r="M47" s="315"/>
      <c r="N47" s="104"/>
      <c r="O47" s="104"/>
      <c r="P47" s="97"/>
    </row>
    <row r="48" spans="2:16" x14ac:dyDescent="0.25">
      <c r="C48" s="17">
        <v>15</v>
      </c>
      <c r="D48" s="104"/>
      <c r="E48" s="312"/>
      <c r="F48" s="97"/>
      <c r="G48" s="97"/>
      <c r="H48" s="97"/>
      <c r="I48" s="36"/>
      <c r="J48" s="36"/>
      <c r="L48" s="104"/>
      <c r="M48" s="104"/>
      <c r="N48" s="104"/>
      <c r="O48" s="104"/>
      <c r="P48" s="97"/>
    </row>
    <row r="49" spans="3:16" x14ac:dyDescent="0.25">
      <c r="C49" s="17">
        <v>16</v>
      </c>
      <c r="D49" s="104"/>
      <c r="E49" s="312"/>
      <c r="F49" s="97"/>
      <c r="G49" s="97"/>
      <c r="H49" s="97"/>
      <c r="I49" s="36"/>
      <c r="J49" s="36"/>
      <c r="L49" s="104"/>
      <c r="M49" s="104"/>
      <c r="N49" s="104"/>
      <c r="O49" s="104"/>
      <c r="P49" s="97"/>
    </row>
    <row r="50" spans="3:16" x14ac:dyDescent="0.25">
      <c r="C50" s="17">
        <v>17</v>
      </c>
      <c r="D50" s="104"/>
      <c r="E50" s="312"/>
      <c r="F50" s="97"/>
      <c r="G50" s="97"/>
      <c r="H50" s="97"/>
      <c r="I50" s="36"/>
      <c r="J50" s="36"/>
      <c r="L50" s="104"/>
      <c r="M50" s="104"/>
      <c r="N50" s="104"/>
      <c r="O50" s="104"/>
      <c r="P50" s="97"/>
    </row>
    <row r="51" spans="3:16" x14ac:dyDescent="0.25">
      <c r="C51" s="17">
        <v>18</v>
      </c>
      <c r="D51" s="104"/>
      <c r="E51" s="312"/>
      <c r="F51" s="97"/>
      <c r="G51" s="97"/>
      <c r="H51" s="97"/>
      <c r="I51" s="36"/>
      <c r="J51" s="36"/>
      <c r="L51" s="104"/>
      <c r="M51" s="104"/>
      <c r="N51" s="104"/>
      <c r="O51" s="104"/>
      <c r="P51" s="97"/>
    </row>
    <row r="52" spans="3:16" x14ac:dyDescent="0.25">
      <c r="C52" s="17">
        <v>19</v>
      </c>
      <c r="D52" s="104"/>
      <c r="E52" s="312"/>
      <c r="F52" s="97"/>
      <c r="G52" s="97"/>
      <c r="H52" s="97"/>
      <c r="I52" s="36"/>
      <c r="J52" s="36"/>
      <c r="L52" s="104"/>
      <c r="M52" s="104"/>
      <c r="N52" s="104"/>
      <c r="O52" s="104"/>
      <c r="P52" s="97"/>
    </row>
    <row r="53" spans="3:16" x14ac:dyDescent="0.25">
      <c r="C53" s="17">
        <v>20</v>
      </c>
      <c r="D53" s="104"/>
      <c r="E53" s="312"/>
      <c r="F53" s="97"/>
      <c r="G53" s="97"/>
      <c r="H53" s="97"/>
      <c r="I53" s="36"/>
      <c r="J53" s="36"/>
      <c r="L53" s="104"/>
      <c r="M53" s="104"/>
      <c r="N53" s="104"/>
      <c r="O53" s="104"/>
      <c r="P53" s="97"/>
    </row>
    <row r="54" spans="3:16" x14ac:dyDescent="0.25">
      <c r="C54" s="17">
        <v>21</v>
      </c>
      <c r="D54" s="104"/>
      <c r="E54" s="312"/>
      <c r="F54" s="97"/>
      <c r="G54" s="97"/>
      <c r="H54" s="97"/>
      <c r="I54" s="36"/>
      <c r="J54" s="36"/>
      <c r="L54" s="104"/>
      <c r="M54" s="104"/>
      <c r="N54" s="104"/>
      <c r="O54" s="104"/>
      <c r="P54" s="97"/>
    </row>
    <row r="55" spans="3:16" x14ac:dyDescent="0.25">
      <c r="C55" s="17">
        <v>22</v>
      </c>
      <c r="D55" s="104"/>
      <c r="E55" s="312"/>
      <c r="F55" s="97"/>
      <c r="G55" s="97"/>
      <c r="H55" s="97"/>
      <c r="I55" s="36"/>
      <c r="J55" s="36"/>
      <c r="L55" s="104"/>
      <c r="M55" s="104"/>
      <c r="N55" s="104"/>
      <c r="O55" s="104"/>
      <c r="P55" s="97"/>
    </row>
    <row r="56" spans="3:16" x14ac:dyDescent="0.25">
      <c r="C56" s="17">
        <v>23</v>
      </c>
      <c r="D56" s="104"/>
      <c r="E56" s="312"/>
      <c r="F56" s="97"/>
      <c r="G56" s="97"/>
      <c r="H56" s="97"/>
      <c r="I56" s="36"/>
      <c r="J56" s="36"/>
      <c r="L56" s="104"/>
      <c r="M56" s="104"/>
      <c r="N56" s="104"/>
      <c r="O56" s="104"/>
      <c r="P56" s="97"/>
    </row>
    <row r="57" spans="3:16" x14ac:dyDescent="0.25">
      <c r="C57" s="17">
        <v>24</v>
      </c>
      <c r="D57" s="104"/>
      <c r="E57" s="312"/>
      <c r="F57" s="97"/>
      <c r="G57" s="97"/>
      <c r="H57" s="97"/>
      <c r="I57" s="36"/>
      <c r="J57" s="36"/>
      <c r="L57" s="104"/>
      <c r="M57" s="104"/>
      <c r="N57" s="104"/>
      <c r="O57" s="104"/>
      <c r="P57" s="97"/>
    </row>
    <row r="58" spans="3:16" x14ac:dyDescent="0.25">
      <c r="C58" s="17">
        <v>25</v>
      </c>
      <c r="D58" s="104"/>
      <c r="E58" s="312"/>
      <c r="F58" s="97"/>
      <c r="G58" s="97"/>
      <c r="H58" s="97"/>
      <c r="I58" s="36"/>
      <c r="J58" s="36"/>
      <c r="L58" s="104"/>
      <c r="M58" s="104"/>
      <c r="N58" s="104"/>
      <c r="O58" s="104"/>
      <c r="P58" s="97"/>
    </row>
    <row r="59" spans="3:16" x14ac:dyDescent="0.25">
      <c r="C59" s="17">
        <v>26</v>
      </c>
      <c r="D59" s="104"/>
      <c r="E59" s="312"/>
      <c r="F59" s="97"/>
      <c r="G59" s="97"/>
      <c r="H59" s="97"/>
      <c r="I59" s="36"/>
      <c r="J59" s="36"/>
      <c r="L59" s="104"/>
      <c r="M59" s="104"/>
      <c r="N59" s="104"/>
      <c r="O59" s="104"/>
      <c r="P59" s="97"/>
    </row>
    <row r="60" spans="3:16" x14ac:dyDescent="0.25">
      <c r="C60" s="17">
        <v>27</v>
      </c>
      <c r="D60" s="104"/>
      <c r="E60" s="312"/>
      <c r="F60" s="97"/>
      <c r="G60" s="97"/>
      <c r="H60" s="97"/>
      <c r="I60" s="36"/>
      <c r="J60" s="36"/>
      <c r="L60" s="104"/>
      <c r="M60" s="104"/>
      <c r="N60" s="104"/>
      <c r="O60" s="104"/>
      <c r="P60" s="97"/>
    </row>
    <row r="61" spans="3:16" x14ac:dyDescent="0.25">
      <c r="C61" s="17">
        <v>28</v>
      </c>
      <c r="D61" s="104"/>
      <c r="E61" s="312"/>
      <c r="F61" s="97"/>
      <c r="G61" s="97"/>
      <c r="H61" s="97"/>
      <c r="I61" s="36"/>
      <c r="J61" s="36"/>
      <c r="L61" s="104"/>
      <c r="M61" s="104"/>
      <c r="N61" s="104"/>
      <c r="O61" s="104"/>
      <c r="P61" s="97"/>
    </row>
    <row r="62" spans="3:16" x14ac:dyDescent="0.25">
      <c r="C62" s="17">
        <v>29</v>
      </c>
      <c r="D62" s="104"/>
      <c r="E62" s="312"/>
      <c r="F62" s="97"/>
      <c r="G62" s="97"/>
      <c r="H62" s="97"/>
      <c r="I62" s="36"/>
      <c r="J62" s="36"/>
      <c r="L62" s="104"/>
      <c r="M62" s="104"/>
      <c r="N62" s="104"/>
      <c r="O62" s="104"/>
      <c r="P62" s="97"/>
    </row>
    <row r="63" spans="3:16" x14ac:dyDescent="0.25">
      <c r="C63" s="17">
        <v>30</v>
      </c>
      <c r="D63" s="104"/>
      <c r="E63" s="312"/>
      <c r="F63" s="97"/>
      <c r="G63" s="97"/>
      <c r="H63" s="97"/>
      <c r="I63" s="36"/>
      <c r="J63" s="36"/>
      <c r="L63" s="104"/>
      <c r="M63" s="104"/>
      <c r="N63" s="104"/>
      <c r="O63" s="104"/>
      <c r="P63" s="97"/>
    </row>
    <row r="64" spans="3:16" x14ac:dyDescent="0.25">
      <c r="C64" s="17">
        <v>31</v>
      </c>
      <c r="D64" s="104"/>
      <c r="E64" s="312"/>
      <c r="F64" s="97"/>
      <c r="G64" s="97"/>
      <c r="H64" s="97"/>
      <c r="I64" s="36"/>
      <c r="J64" s="36"/>
      <c r="L64" s="104"/>
      <c r="M64" s="104"/>
      <c r="N64" s="104"/>
      <c r="O64" s="104"/>
      <c r="P64" s="97"/>
    </row>
    <row r="65" spans="3:16" x14ac:dyDescent="0.25">
      <c r="C65" s="17">
        <v>32</v>
      </c>
      <c r="D65" s="104"/>
      <c r="E65" s="312"/>
      <c r="F65" s="97"/>
      <c r="G65" s="97"/>
      <c r="H65" s="97"/>
      <c r="I65" s="36"/>
      <c r="J65" s="36"/>
      <c r="L65" s="104"/>
      <c r="M65" s="104"/>
      <c r="N65" s="104"/>
      <c r="O65" s="104"/>
      <c r="P65" s="97"/>
    </row>
    <row r="66" spans="3:16" x14ac:dyDescent="0.25">
      <c r="C66" s="17">
        <v>33</v>
      </c>
      <c r="D66" s="104"/>
      <c r="E66" s="312"/>
      <c r="F66" s="97"/>
      <c r="G66" s="97"/>
      <c r="H66" s="97"/>
      <c r="I66" s="36"/>
      <c r="J66" s="36"/>
      <c r="L66" s="104"/>
      <c r="M66" s="104"/>
      <c r="N66" s="104"/>
      <c r="O66" s="104"/>
      <c r="P66" s="97"/>
    </row>
    <row r="67" spans="3:16" x14ac:dyDescent="0.25">
      <c r="C67" s="17">
        <v>34</v>
      </c>
      <c r="D67" s="104"/>
      <c r="E67" s="312"/>
      <c r="F67" s="97"/>
      <c r="G67" s="97"/>
      <c r="H67" s="97"/>
      <c r="I67" s="36"/>
      <c r="J67" s="36"/>
      <c r="L67" s="104"/>
      <c r="M67" s="104"/>
      <c r="N67" s="104"/>
      <c r="O67" s="104"/>
      <c r="P67" s="97"/>
    </row>
    <row r="68" spans="3:16" x14ac:dyDescent="0.25">
      <c r="C68" s="17">
        <v>35</v>
      </c>
      <c r="D68" s="104"/>
      <c r="E68" s="312"/>
      <c r="F68" s="97"/>
      <c r="G68" s="97"/>
      <c r="H68" s="97"/>
      <c r="I68" s="36"/>
      <c r="J68" s="36"/>
      <c r="L68" s="104"/>
      <c r="M68" s="104"/>
      <c r="N68" s="104"/>
      <c r="O68" s="104"/>
      <c r="P68" s="97"/>
    </row>
    <row r="69" spans="3:16" x14ac:dyDescent="0.25">
      <c r="C69" s="17">
        <v>36</v>
      </c>
      <c r="D69" s="104"/>
      <c r="E69" s="312"/>
      <c r="F69" s="97"/>
      <c r="G69" s="97"/>
      <c r="H69" s="97"/>
      <c r="I69" s="36"/>
      <c r="J69" s="36"/>
      <c r="L69" s="104"/>
      <c r="M69" s="104"/>
      <c r="N69" s="104"/>
      <c r="O69" s="104"/>
      <c r="P69" s="97"/>
    </row>
    <row r="70" spans="3:16" x14ac:dyDescent="0.25">
      <c r="C70" s="17">
        <v>37</v>
      </c>
      <c r="D70" s="104"/>
      <c r="E70" s="312"/>
      <c r="F70" s="97"/>
      <c r="G70" s="97"/>
      <c r="H70" s="97"/>
      <c r="I70" s="36"/>
      <c r="J70" s="36"/>
      <c r="L70" s="104"/>
      <c r="M70" s="104"/>
      <c r="N70" s="104"/>
      <c r="O70" s="104"/>
      <c r="P70" s="97"/>
    </row>
    <row r="71" spans="3:16" x14ac:dyDescent="0.25">
      <c r="C71" s="17">
        <v>38</v>
      </c>
      <c r="D71" s="104"/>
      <c r="E71" s="312"/>
      <c r="F71" s="97"/>
      <c r="G71" s="97"/>
      <c r="H71" s="97"/>
      <c r="I71" s="36"/>
      <c r="J71" s="36"/>
      <c r="L71" s="104"/>
      <c r="M71" s="104"/>
      <c r="N71" s="104"/>
      <c r="O71" s="104"/>
      <c r="P71" s="97"/>
    </row>
    <row r="72" spans="3:16" x14ac:dyDescent="0.25">
      <c r="C72" s="17">
        <v>39</v>
      </c>
      <c r="D72" s="104"/>
      <c r="E72" s="312"/>
      <c r="F72" s="97"/>
      <c r="G72" s="97"/>
      <c r="H72" s="97"/>
      <c r="I72" s="36"/>
      <c r="J72" s="36"/>
      <c r="L72" s="104"/>
      <c r="M72" s="104"/>
      <c r="N72" s="104"/>
      <c r="O72" s="104"/>
      <c r="P72" s="97"/>
    </row>
    <row r="73" spans="3:16" x14ac:dyDescent="0.25">
      <c r="C73" s="17">
        <v>40</v>
      </c>
      <c r="D73" s="104"/>
      <c r="E73" s="312"/>
      <c r="F73" s="97"/>
      <c r="G73" s="97"/>
      <c r="H73" s="97"/>
      <c r="I73" s="36"/>
      <c r="J73" s="36"/>
      <c r="L73" s="104"/>
      <c r="M73" s="104"/>
      <c r="N73" s="104"/>
      <c r="O73" s="104"/>
      <c r="P73" s="97"/>
    </row>
    <row r="74" spans="3:16" x14ac:dyDescent="0.25">
      <c r="C74" s="17">
        <v>41</v>
      </c>
      <c r="D74" s="104"/>
      <c r="E74" s="312"/>
      <c r="F74" s="97"/>
      <c r="G74" s="97"/>
      <c r="H74" s="97"/>
      <c r="I74" s="36"/>
      <c r="J74" s="36"/>
      <c r="L74" s="104"/>
      <c r="M74" s="104"/>
      <c r="N74" s="104"/>
      <c r="O74" s="104"/>
      <c r="P74" s="97"/>
    </row>
    <row r="75" spans="3:16" x14ac:dyDescent="0.25">
      <c r="C75" s="17">
        <v>42</v>
      </c>
      <c r="D75" s="104"/>
      <c r="E75" s="312"/>
      <c r="F75" s="97"/>
      <c r="G75" s="97"/>
      <c r="H75" s="97"/>
      <c r="I75" s="36"/>
      <c r="J75" s="36"/>
      <c r="L75" s="104"/>
      <c r="M75" s="104"/>
      <c r="N75" s="104"/>
      <c r="O75" s="104"/>
      <c r="P75" s="97"/>
    </row>
    <row r="76" spans="3:16" x14ac:dyDescent="0.25">
      <c r="C76" s="17">
        <v>43</v>
      </c>
      <c r="D76" s="104"/>
      <c r="E76" s="312"/>
      <c r="F76" s="97"/>
      <c r="G76" s="97"/>
      <c r="H76" s="97"/>
      <c r="I76" s="36"/>
      <c r="J76" s="36"/>
      <c r="L76" s="104"/>
      <c r="M76" s="104"/>
      <c r="N76" s="104"/>
      <c r="O76" s="104"/>
      <c r="P76" s="97"/>
    </row>
    <row r="77" spans="3:16" x14ac:dyDescent="0.25">
      <c r="C77" s="17">
        <v>44</v>
      </c>
      <c r="D77" s="104"/>
      <c r="E77" s="312"/>
      <c r="F77" s="97"/>
      <c r="G77" s="97"/>
      <c r="H77" s="97"/>
      <c r="I77" s="36"/>
      <c r="J77" s="36"/>
      <c r="L77" s="104"/>
      <c r="M77" s="104"/>
      <c r="N77" s="104"/>
      <c r="O77" s="104"/>
      <c r="P77" s="97"/>
    </row>
    <row r="78" spans="3:16" x14ac:dyDescent="0.25">
      <c r="C78" s="17">
        <v>45</v>
      </c>
      <c r="D78" s="104"/>
      <c r="E78" s="312"/>
      <c r="F78" s="97"/>
      <c r="G78" s="97"/>
      <c r="H78" s="97"/>
      <c r="I78" s="36"/>
      <c r="J78" s="36"/>
      <c r="L78" s="104"/>
      <c r="M78" s="104"/>
      <c r="N78" s="104"/>
      <c r="O78" s="104"/>
      <c r="P78" s="97"/>
    </row>
    <row r="79" spans="3:16" x14ac:dyDescent="0.25">
      <c r="C79" s="17">
        <v>46</v>
      </c>
      <c r="D79" s="104"/>
      <c r="E79" s="312"/>
      <c r="F79" s="97"/>
      <c r="G79" s="97"/>
      <c r="H79" s="97"/>
      <c r="I79" s="36"/>
      <c r="J79" s="36"/>
      <c r="L79" s="104"/>
      <c r="M79" s="104"/>
      <c r="N79" s="104"/>
      <c r="O79" s="104"/>
      <c r="P79" s="97"/>
    </row>
    <row r="80" spans="3:16" x14ac:dyDescent="0.25">
      <c r="C80" s="17">
        <v>47</v>
      </c>
      <c r="D80" s="104"/>
      <c r="E80" s="312"/>
      <c r="F80" s="97"/>
      <c r="G80" s="97"/>
      <c r="H80" s="97"/>
      <c r="I80" s="36"/>
      <c r="J80" s="36"/>
      <c r="L80" s="104"/>
      <c r="M80" s="104"/>
      <c r="N80" s="104"/>
      <c r="O80" s="104"/>
      <c r="P80" s="97"/>
    </row>
    <row r="81" spans="3:16" x14ac:dyDescent="0.25">
      <c r="C81" s="17">
        <v>48</v>
      </c>
      <c r="D81" s="104"/>
      <c r="E81" s="312"/>
      <c r="F81" s="97"/>
      <c r="G81" s="97"/>
      <c r="H81" s="97"/>
      <c r="I81" s="36"/>
      <c r="J81" s="36"/>
      <c r="L81" s="104"/>
      <c r="M81" s="104"/>
      <c r="N81" s="104"/>
      <c r="O81" s="104"/>
      <c r="P81" s="97"/>
    </row>
    <row r="82" spans="3:16" x14ac:dyDescent="0.25">
      <c r="C82" s="17">
        <v>49</v>
      </c>
      <c r="D82" s="104"/>
      <c r="E82" s="312"/>
      <c r="F82" s="97"/>
      <c r="G82" s="97"/>
      <c r="H82" s="97"/>
      <c r="I82" s="36"/>
      <c r="J82" s="36"/>
      <c r="L82" s="104"/>
      <c r="M82" s="104"/>
      <c r="N82" s="104"/>
      <c r="O82" s="104"/>
      <c r="P82" s="97"/>
    </row>
    <row r="83" spans="3:16" x14ac:dyDescent="0.25">
      <c r="C83" s="17">
        <v>50</v>
      </c>
      <c r="D83" s="104"/>
      <c r="E83" s="312"/>
      <c r="F83" s="97"/>
      <c r="G83" s="97"/>
      <c r="H83" s="97"/>
      <c r="I83" s="36"/>
      <c r="J83" s="36"/>
      <c r="L83" s="104"/>
      <c r="M83" s="104"/>
      <c r="N83" s="104"/>
      <c r="O83" s="104"/>
      <c r="P83" s="97"/>
    </row>
    <row r="84" spans="3:16" x14ac:dyDescent="0.25">
      <c r="C84" s="17">
        <v>51</v>
      </c>
      <c r="D84" s="104"/>
      <c r="E84" s="312"/>
      <c r="F84" s="97"/>
      <c r="G84" s="97"/>
      <c r="H84" s="97"/>
      <c r="I84" s="36"/>
      <c r="J84" s="36"/>
      <c r="L84" s="104"/>
      <c r="M84" s="104"/>
      <c r="N84" s="104"/>
      <c r="O84" s="104"/>
      <c r="P84" s="97"/>
    </row>
    <row r="85" spans="3:16" x14ac:dyDescent="0.25">
      <c r="C85" s="17">
        <v>52</v>
      </c>
      <c r="D85" s="104"/>
      <c r="E85" s="312"/>
      <c r="F85" s="97"/>
      <c r="G85" s="97"/>
      <c r="H85" s="97"/>
      <c r="I85" s="36"/>
      <c r="J85" s="36"/>
      <c r="L85" s="104"/>
      <c r="M85" s="104"/>
      <c r="N85" s="104"/>
      <c r="O85" s="104"/>
      <c r="P85" s="97"/>
    </row>
    <row r="86" spans="3:16" x14ac:dyDescent="0.25">
      <c r="C86" s="17">
        <v>53</v>
      </c>
      <c r="D86" s="104"/>
      <c r="E86" s="312"/>
      <c r="F86" s="97"/>
      <c r="G86" s="97"/>
      <c r="H86" s="97"/>
      <c r="I86" s="36"/>
      <c r="J86" s="36"/>
      <c r="L86" s="104"/>
      <c r="M86" s="104"/>
      <c r="N86" s="104"/>
      <c r="O86" s="104"/>
      <c r="P86" s="97"/>
    </row>
    <row r="87" spans="3:16" x14ac:dyDescent="0.25">
      <c r="C87" s="17">
        <v>54</v>
      </c>
      <c r="D87" s="104"/>
      <c r="E87" s="312"/>
      <c r="F87" s="97"/>
      <c r="G87" s="97"/>
      <c r="H87" s="97"/>
      <c r="I87" s="36"/>
      <c r="J87" s="36"/>
      <c r="L87" s="104"/>
      <c r="M87" s="104"/>
      <c r="N87" s="104"/>
      <c r="O87" s="104"/>
      <c r="P87" s="97"/>
    </row>
    <row r="88" spans="3:16" x14ac:dyDescent="0.25">
      <c r="C88" s="17">
        <v>55</v>
      </c>
      <c r="D88" s="104"/>
      <c r="E88" s="312"/>
      <c r="F88" s="97"/>
      <c r="G88" s="97"/>
      <c r="H88" s="97"/>
      <c r="I88" s="36"/>
      <c r="J88" s="36"/>
      <c r="L88" s="104"/>
      <c r="M88" s="104"/>
      <c r="N88" s="104"/>
      <c r="O88" s="104"/>
      <c r="P88" s="97"/>
    </row>
    <row r="89" spans="3:16" x14ac:dyDescent="0.25">
      <c r="C89" s="17">
        <v>56</v>
      </c>
      <c r="D89" s="104"/>
      <c r="E89" s="312"/>
      <c r="F89" s="97"/>
      <c r="G89" s="97"/>
      <c r="H89" s="97"/>
      <c r="I89" s="36"/>
      <c r="J89" s="36"/>
      <c r="L89" s="104"/>
      <c r="M89" s="104"/>
      <c r="N89" s="104"/>
      <c r="O89" s="104"/>
      <c r="P89" s="97"/>
    </row>
    <row r="90" spans="3:16" x14ac:dyDescent="0.25">
      <c r="C90" s="17">
        <v>57</v>
      </c>
      <c r="D90" s="104"/>
      <c r="E90" s="312"/>
      <c r="F90" s="97"/>
      <c r="G90" s="97"/>
      <c r="H90" s="97"/>
      <c r="I90" s="36"/>
      <c r="J90" s="36"/>
      <c r="L90" s="104"/>
      <c r="M90" s="104"/>
      <c r="N90" s="104"/>
      <c r="O90" s="104"/>
      <c r="P90" s="97"/>
    </row>
    <row r="91" spans="3:16" x14ac:dyDescent="0.25">
      <c r="C91" s="17">
        <v>58</v>
      </c>
      <c r="D91" s="104"/>
      <c r="E91" s="312"/>
      <c r="F91" s="97"/>
      <c r="G91" s="97"/>
      <c r="H91" s="97"/>
      <c r="I91" s="36"/>
      <c r="J91" s="36"/>
      <c r="L91" s="104"/>
      <c r="M91" s="104"/>
      <c r="N91" s="104"/>
      <c r="O91" s="104"/>
      <c r="P91" s="97"/>
    </row>
    <row r="92" spans="3:16" x14ac:dyDescent="0.25">
      <c r="C92" s="17">
        <v>59</v>
      </c>
      <c r="D92" s="104"/>
      <c r="E92" s="312"/>
      <c r="F92" s="97"/>
      <c r="G92" s="97"/>
      <c r="H92" s="97"/>
      <c r="I92" s="36"/>
      <c r="J92" s="36"/>
      <c r="L92" s="104"/>
      <c r="M92" s="104"/>
      <c r="N92" s="104"/>
      <c r="O92" s="104"/>
      <c r="P92" s="97"/>
    </row>
    <row r="93" spans="3:16" x14ac:dyDescent="0.25">
      <c r="C93" s="17">
        <v>60</v>
      </c>
      <c r="D93" s="104"/>
      <c r="E93" s="312"/>
      <c r="F93" s="97"/>
      <c r="G93" s="97"/>
      <c r="H93" s="97"/>
      <c r="I93" s="36"/>
      <c r="J93" s="36"/>
      <c r="L93" s="104"/>
      <c r="M93" s="104"/>
      <c r="N93" s="104"/>
      <c r="O93" s="104"/>
      <c r="P93" s="97"/>
    </row>
    <row r="94" spans="3:16" x14ac:dyDescent="0.25">
      <c r="C94" s="17">
        <v>61</v>
      </c>
      <c r="D94" s="104"/>
      <c r="E94" s="312"/>
      <c r="F94" s="97"/>
      <c r="G94" s="97"/>
      <c r="H94" s="97"/>
      <c r="I94" s="36"/>
      <c r="J94" s="36"/>
      <c r="L94" s="104"/>
      <c r="M94" s="104"/>
      <c r="N94" s="104"/>
      <c r="O94" s="104"/>
      <c r="P94" s="97"/>
    </row>
    <row r="95" spans="3:16" x14ac:dyDescent="0.25">
      <c r="C95" s="17">
        <v>62</v>
      </c>
      <c r="D95" s="104"/>
      <c r="E95" s="312"/>
      <c r="F95" s="97"/>
      <c r="G95" s="97"/>
      <c r="H95" s="97"/>
      <c r="I95" s="36"/>
      <c r="J95" s="36"/>
      <c r="L95" s="104"/>
      <c r="M95" s="104"/>
      <c r="N95" s="104"/>
      <c r="O95" s="104"/>
      <c r="P95" s="97"/>
    </row>
    <row r="96" spans="3:16" x14ac:dyDescent="0.25">
      <c r="C96" s="17">
        <v>63</v>
      </c>
      <c r="D96" s="104"/>
      <c r="E96" s="312"/>
      <c r="F96" s="97"/>
      <c r="G96" s="97"/>
      <c r="H96" s="97"/>
      <c r="I96" s="36"/>
      <c r="J96" s="36"/>
      <c r="L96" s="104"/>
      <c r="M96" s="104"/>
      <c r="N96" s="104"/>
      <c r="O96" s="104"/>
      <c r="P96" s="97"/>
    </row>
    <row r="97" spans="3:16" x14ac:dyDescent="0.25">
      <c r="C97" s="17">
        <v>64</v>
      </c>
      <c r="D97" s="104"/>
      <c r="E97" s="312"/>
      <c r="F97" s="97"/>
      <c r="G97" s="97"/>
      <c r="H97" s="97"/>
      <c r="I97" s="36"/>
      <c r="J97" s="36"/>
      <c r="L97" s="104"/>
      <c r="M97" s="104"/>
      <c r="N97" s="104"/>
      <c r="O97" s="104"/>
      <c r="P97" s="97"/>
    </row>
    <row r="98" spans="3:16" x14ac:dyDescent="0.25">
      <c r="C98" s="17">
        <v>65</v>
      </c>
      <c r="D98" s="104"/>
      <c r="E98" s="312"/>
      <c r="F98" s="97"/>
      <c r="G98" s="97"/>
      <c r="H98" s="97"/>
      <c r="I98" s="36"/>
      <c r="J98" s="36"/>
      <c r="L98" s="104"/>
      <c r="M98" s="104"/>
      <c r="N98" s="104"/>
      <c r="O98" s="104"/>
      <c r="P98" s="97"/>
    </row>
    <row r="99" spans="3:16" x14ac:dyDescent="0.25">
      <c r="C99" s="17">
        <v>66</v>
      </c>
      <c r="D99" s="104"/>
      <c r="E99" s="312"/>
      <c r="F99" s="97"/>
      <c r="G99" s="97"/>
      <c r="H99" s="97"/>
      <c r="I99" s="36"/>
      <c r="J99" s="36"/>
      <c r="L99" s="104"/>
      <c r="M99" s="104"/>
      <c r="N99" s="104"/>
      <c r="O99" s="104"/>
      <c r="P99" s="97"/>
    </row>
    <row r="100" spans="3:16" x14ac:dyDescent="0.25">
      <c r="C100" s="17">
        <v>67</v>
      </c>
      <c r="D100" s="104"/>
      <c r="E100" s="312"/>
      <c r="F100" s="97"/>
      <c r="G100" s="97"/>
      <c r="H100" s="97"/>
      <c r="I100" s="36"/>
      <c r="J100" s="36"/>
      <c r="L100" s="104"/>
      <c r="M100" s="104"/>
      <c r="N100" s="104"/>
      <c r="O100" s="104"/>
      <c r="P100" s="97"/>
    </row>
    <row r="101" spans="3:16" x14ac:dyDescent="0.25">
      <c r="C101" s="17">
        <v>68</v>
      </c>
      <c r="D101" s="104"/>
      <c r="E101" s="312"/>
      <c r="F101" s="97"/>
      <c r="G101" s="97"/>
      <c r="H101" s="97"/>
      <c r="I101" s="36"/>
      <c r="J101" s="36"/>
      <c r="L101" s="104"/>
      <c r="M101" s="104"/>
      <c r="N101" s="104"/>
      <c r="O101" s="104"/>
      <c r="P101" s="97"/>
    </row>
    <row r="102" spans="3:16" x14ac:dyDescent="0.25">
      <c r="C102" s="17">
        <v>69</v>
      </c>
      <c r="D102" s="104"/>
      <c r="E102" s="312"/>
      <c r="F102" s="97"/>
      <c r="G102" s="97"/>
      <c r="H102" s="97"/>
      <c r="I102" s="36"/>
      <c r="J102" s="36"/>
      <c r="L102" s="104"/>
      <c r="M102" s="104"/>
      <c r="N102" s="104"/>
      <c r="O102" s="104"/>
      <c r="P102" s="97"/>
    </row>
    <row r="103" spans="3:16" x14ac:dyDescent="0.25">
      <c r="C103" s="17">
        <v>70</v>
      </c>
      <c r="D103" s="104"/>
      <c r="E103" s="312"/>
      <c r="F103" s="97"/>
      <c r="G103" s="97"/>
      <c r="H103" s="97"/>
      <c r="I103" s="36"/>
      <c r="J103" s="36"/>
      <c r="L103" s="104"/>
      <c r="M103" s="104"/>
      <c r="N103" s="104"/>
      <c r="O103" s="104"/>
      <c r="P103" s="97"/>
    </row>
    <row r="104" spans="3:16" x14ac:dyDescent="0.25">
      <c r="C104" s="17">
        <v>71</v>
      </c>
      <c r="D104" s="104"/>
      <c r="E104" s="312"/>
      <c r="F104" s="97"/>
      <c r="G104" s="97"/>
      <c r="H104" s="97"/>
      <c r="I104" s="36"/>
      <c r="J104" s="36"/>
      <c r="L104" s="104"/>
      <c r="M104" s="104"/>
      <c r="N104" s="104"/>
      <c r="O104" s="104"/>
      <c r="P104" s="97"/>
    </row>
    <row r="105" spans="3:16" x14ac:dyDescent="0.25">
      <c r="C105" s="17">
        <v>72</v>
      </c>
      <c r="D105" s="104"/>
      <c r="E105" s="312"/>
      <c r="F105" s="97"/>
      <c r="G105" s="97"/>
      <c r="H105" s="97"/>
      <c r="I105" s="36"/>
      <c r="J105" s="36"/>
      <c r="L105" s="104"/>
      <c r="M105" s="104"/>
      <c r="N105" s="104"/>
      <c r="O105" s="104"/>
      <c r="P105" s="97"/>
    </row>
    <row r="106" spans="3:16" x14ac:dyDescent="0.25">
      <c r="C106" s="17">
        <v>73</v>
      </c>
      <c r="D106" s="104"/>
      <c r="E106" s="312"/>
      <c r="F106" s="97"/>
      <c r="G106" s="97"/>
      <c r="H106" s="97"/>
      <c r="I106" s="36"/>
      <c r="J106" s="36"/>
      <c r="L106" s="104"/>
      <c r="M106" s="104"/>
      <c r="N106" s="104"/>
      <c r="O106" s="104"/>
      <c r="P106" s="97"/>
    </row>
    <row r="107" spans="3:16" x14ac:dyDescent="0.25">
      <c r="C107" s="17">
        <v>74</v>
      </c>
      <c r="D107" s="104"/>
      <c r="E107" s="312"/>
      <c r="F107" s="97"/>
      <c r="G107" s="97"/>
      <c r="H107" s="97"/>
      <c r="I107" s="36"/>
      <c r="J107" s="36"/>
      <c r="L107" s="104"/>
      <c r="M107" s="104"/>
      <c r="N107" s="104"/>
      <c r="O107" s="104"/>
      <c r="P107" s="97"/>
    </row>
    <row r="108" spans="3:16" x14ac:dyDescent="0.25">
      <c r="C108" s="17">
        <v>75</v>
      </c>
      <c r="D108" s="104"/>
      <c r="E108" s="312"/>
      <c r="F108" s="97"/>
      <c r="G108" s="97"/>
      <c r="H108" s="97"/>
      <c r="I108" s="36"/>
      <c r="J108" s="36"/>
      <c r="L108" s="104"/>
      <c r="M108" s="104"/>
      <c r="N108" s="104"/>
      <c r="O108" s="104"/>
      <c r="P108" s="97"/>
    </row>
    <row r="109" spans="3:16" x14ac:dyDescent="0.25">
      <c r="C109" s="17">
        <v>76</v>
      </c>
      <c r="D109" s="104"/>
      <c r="E109" s="312"/>
      <c r="F109" s="97"/>
      <c r="G109" s="97"/>
      <c r="H109" s="97"/>
      <c r="I109" s="36"/>
      <c r="J109" s="36"/>
      <c r="L109" s="104"/>
      <c r="M109" s="104"/>
      <c r="N109" s="104"/>
      <c r="O109" s="104"/>
      <c r="P109" s="97"/>
    </row>
    <row r="110" spans="3:16" x14ac:dyDescent="0.25">
      <c r="C110" s="17">
        <v>77</v>
      </c>
      <c r="D110" s="104"/>
      <c r="E110" s="312"/>
      <c r="F110" s="97"/>
      <c r="G110" s="97"/>
      <c r="H110" s="97"/>
      <c r="I110" s="36"/>
      <c r="J110" s="36"/>
      <c r="L110" s="104"/>
      <c r="M110" s="104"/>
      <c r="N110" s="104"/>
      <c r="O110" s="104"/>
      <c r="P110" s="97"/>
    </row>
    <row r="111" spans="3:16" x14ac:dyDescent="0.25">
      <c r="C111" s="17">
        <v>78</v>
      </c>
      <c r="D111" s="104"/>
      <c r="E111" s="312"/>
      <c r="F111" s="97"/>
      <c r="G111" s="97"/>
      <c r="H111" s="97"/>
      <c r="I111" s="36"/>
      <c r="J111" s="36"/>
      <c r="L111" s="104"/>
      <c r="M111" s="104"/>
      <c r="N111" s="104"/>
      <c r="O111" s="104"/>
      <c r="P111" s="97"/>
    </row>
    <row r="112" spans="3:16" x14ac:dyDescent="0.25">
      <c r="C112" s="17">
        <v>79</v>
      </c>
      <c r="D112" s="104"/>
      <c r="E112" s="312"/>
      <c r="F112" s="97"/>
      <c r="G112" s="97"/>
      <c r="H112" s="97"/>
      <c r="I112" s="36"/>
      <c r="J112" s="36"/>
      <c r="L112" s="104"/>
      <c r="M112" s="104"/>
      <c r="N112" s="104"/>
      <c r="O112" s="104"/>
      <c r="P112" s="97"/>
    </row>
    <row r="113" spans="3:16" x14ac:dyDescent="0.25">
      <c r="C113" s="17">
        <v>80</v>
      </c>
      <c r="D113" s="104"/>
      <c r="E113" s="312"/>
      <c r="F113" s="97"/>
      <c r="G113" s="97"/>
      <c r="H113" s="97"/>
      <c r="I113" s="36"/>
      <c r="J113" s="36"/>
      <c r="L113" s="104"/>
      <c r="M113" s="104"/>
      <c r="N113" s="104"/>
      <c r="O113" s="104"/>
      <c r="P113" s="97"/>
    </row>
    <row r="114" spans="3:16" x14ac:dyDescent="0.25">
      <c r="C114" s="17">
        <v>81</v>
      </c>
      <c r="D114" s="104"/>
      <c r="E114" s="312"/>
      <c r="F114" s="97"/>
      <c r="G114" s="97"/>
      <c r="H114" s="97"/>
      <c r="I114" s="36"/>
      <c r="J114" s="36"/>
      <c r="L114" s="104"/>
      <c r="M114" s="104"/>
      <c r="N114" s="104"/>
      <c r="O114" s="104"/>
      <c r="P114" s="97"/>
    </row>
    <row r="115" spans="3:16" x14ac:dyDescent="0.25">
      <c r="C115" s="17">
        <v>82</v>
      </c>
      <c r="D115" s="104"/>
      <c r="E115" s="312"/>
      <c r="F115" s="97"/>
      <c r="G115" s="97"/>
      <c r="H115" s="97"/>
      <c r="I115" s="36"/>
      <c r="J115" s="36"/>
      <c r="L115" s="104"/>
      <c r="M115" s="104"/>
      <c r="N115" s="104"/>
      <c r="O115" s="104"/>
      <c r="P115" s="97"/>
    </row>
    <row r="116" spans="3:16" x14ac:dyDescent="0.25">
      <c r="C116" s="17">
        <v>83</v>
      </c>
      <c r="D116" s="104"/>
      <c r="E116" s="312"/>
      <c r="F116" s="97"/>
      <c r="G116" s="97"/>
      <c r="H116" s="97"/>
      <c r="I116" s="36"/>
      <c r="J116" s="36"/>
      <c r="L116" s="104"/>
      <c r="M116" s="104"/>
      <c r="N116" s="104"/>
      <c r="O116" s="104"/>
      <c r="P116" s="97"/>
    </row>
    <row r="117" spans="3:16" x14ac:dyDescent="0.25">
      <c r="C117" s="17">
        <v>84</v>
      </c>
      <c r="D117" s="104"/>
      <c r="E117" s="312"/>
      <c r="F117" s="97"/>
      <c r="G117" s="97"/>
      <c r="H117" s="97"/>
      <c r="I117" s="36"/>
      <c r="J117" s="36"/>
      <c r="L117" s="104"/>
      <c r="M117" s="104"/>
      <c r="N117" s="104"/>
      <c r="O117" s="104"/>
      <c r="P117" s="97"/>
    </row>
    <row r="118" spans="3:16" x14ac:dyDescent="0.25">
      <c r="C118" s="17">
        <v>85</v>
      </c>
      <c r="D118" s="104"/>
      <c r="E118" s="312"/>
      <c r="F118" s="97"/>
      <c r="G118" s="97"/>
      <c r="H118" s="97"/>
      <c r="I118" s="36"/>
      <c r="J118" s="36"/>
      <c r="L118" s="104"/>
      <c r="M118" s="104"/>
      <c r="N118" s="104"/>
      <c r="O118" s="104"/>
      <c r="P118" s="97"/>
    </row>
    <row r="119" spans="3:16" x14ac:dyDescent="0.25">
      <c r="C119" s="17">
        <v>86</v>
      </c>
      <c r="D119" s="104"/>
      <c r="E119" s="312"/>
      <c r="F119" s="97"/>
      <c r="G119" s="97"/>
      <c r="H119" s="97"/>
      <c r="I119" s="36"/>
      <c r="J119" s="36"/>
      <c r="L119" s="104"/>
      <c r="M119" s="104"/>
      <c r="N119" s="104"/>
      <c r="O119" s="104"/>
      <c r="P119" s="97"/>
    </row>
    <row r="120" spans="3:16" x14ac:dyDescent="0.25">
      <c r="C120" s="17">
        <v>87</v>
      </c>
      <c r="D120" s="104"/>
      <c r="E120" s="312"/>
      <c r="F120" s="97"/>
      <c r="G120" s="97"/>
      <c r="H120" s="97"/>
      <c r="I120" s="36"/>
      <c r="J120" s="36"/>
      <c r="L120" s="104"/>
      <c r="M120" s="104"/>
      <c r="N120" s="104"/>
      <c r="O120" s="104"/>
      <c r="P120" s="97"/>
    </row>
    <row r="121" spans="3:16" x14ac:dyDescent="0.25">
      <c r="C121" s="17">
        <v>88</v>
      </c>
      <c r="D121" s="104"/>
      <c r="E121" s="312"/>
      <c r="F121" s="97"/>
      <c r="G121" s="97"/>
      <c r="H121" s="97"/>
      <c r="I121" s="36"/>
      <c r="J121" s="36"/>
      <c r="L121" s="104"/>
      <c r="M121" s="104"/>
      <c r="N121" s="104"/>
      <c r="O121" s="104"/>
      <c r="P121" s="97"/>
    </row>
    <row r="122" spans="3:16" x14ac:dyDescent="0.25">
      <c r="C122" s="17">
        <v>89</v>
      </c>
      <c r="D122" s="104"/>
      <c r="E122" s="312"/>
      <c r="F122" s="97"/>
      <c r="G122" s="97"/>
      <c r="H122" s="97"/>
      <c r="I122" s="36"/>
      <c r="J122" s="36"/>
      <c r="L122" s="104"/>
      <c r="M122" s="104"/>
      <c r="N122" s="104"/>
      <c r="O122" s="104"/>
      <c r="P122" s="97"/>
    </row>
    <row r="123" spans="3:16" x14ac:dyDescent="0.25">
      <c r="C123" s="17">
        <v>90</v>
      </c>
      <c r="D123" s="104"/>
      <c r="E123" s="312"/>
      <c r="F123" s="97"/>
      <c r="G123" s="97"/>
      <c r="H123" s="97"/>
      <c r="I123" s="36"/>
      <c r="J123" s="36"/>
      <c r="L123" s="104"/>
      <c r="M123" s="104"/>
      <c r="N123" s="104"/>
      <c r="O123" s="104"/>
      <c r="P123" s="97"/>
    </row>
    <row r="124" spans="3:16" x14ac:dyDescent="0.25">
      <c r="C124" s="17">
        <v>91</v>
      </c>
      <c r="D124" s="104"/>
      <c r="E124" s="312"/>
      <c r="F124" s="97"/>
      <c r="G124" s="97"/>
      <c r="H124" s="97"/>
      <c r="I124" s="36"/>
      <c r="J124" s="36"/>
      <c r="L124" s="104"/>
      <c r="M124" s="104"/>
      <c r="N124" s="104"/>
      <c r="O124" s="104"/>
      <c r="P124" s="97"/>
    </row>
    <row r="125" spans="3:16" x14ac:dyDescent="0.25">
      <c r="C125" s="17">
        <v>92</v>
      </c>
      <c r="D125" s="104"/>
      <c r="E125" s="312"/>
      <c r="F125" s="97"/>
      <c r="G125" s="97"/>
      <c r="H125" s="97"/>
      <c r="I125" s="36"/>
      <c r="J125" s="36"/>
      <c r="L125" s="104"/>
      <c r="M125" s="104"/>
      <c r="N125" s="104"/>
      <c r="O125" s="104"/>
      <c r="P125" s="97"/>
    </row>
    <row r="126" spans="3:16" x14ac:dyDescent="0.25">
      <c r="C126" s="17">
        <v>93</v>
      </c>
      <c r="D126" s="104"/>
      <c r="E126" s="312"/>
      <c r="F126" s="97"/>
      <c r="G126" s="97"/>
      <c r="H126" s="97"/>
      <c r="I126" s="36"/>
      <c r="J126" s="36"/>
      <c r="L126" s="104"/>
      <c r="M126" s="104"/>
      <c r="N126" s="104"/>
      <c r="O126" s="104"/>
      <c r="P126" s="97"/>
    </row>
    <row r="127" spans="3:16" x14ac:dyDescent="0.25">
      <c r="C127" s="17">
        <v>94</v>
      </c>
      <c r="D127" s="104"/>
      <c r="E127" s="312"/>
      <c r="F127" s="97"/>
      <c r="G127" s="97"/>
      <c r="H127" s="97"/>
      <c r="I127" s="36"/>
      <c r="J127" s="36"/>
      <c r="L127" s="104"/>
      <c r="M127" s="104"/>
      <c r="N127" s="104"/>
      <c r="O127" s="104"/>
      <c r="P127" s="97"/>
    </row>
    <row r="128" spans="3:16" x14ac:dyDescent="0.25">
      <c r="C128" s="17">
        <v>95</v>
      </c>
      <c r="D128" s="104"/>
      <c r="E128" s="312"/>
      <c r="F128" s="97"/>
      <c r="G128" s="97"/>
      <c r="H128" s="97"/>
      <c r="I128" s="36"/>
      <c r="J128" s="36"/>
      <c r="L128" s="104"/>
      <c r="M128" s="104"/>
      <c r="N128" s="104"/>
      <c r="O128" s="104"/>
      <c r="P128" s="97"/>
    </row>
    <row r="129" spans="3:16" x14ac:dyDescent="0.25">
      <c r="C129" s="17">
        <v>96</v>
      </c>
      <c r="D129" s="104"/>
      <c r="E129" s="312"/>
      <c r="F129" s="97"/>
      <c r="G129" s="97"/>
      <c r="H129" s="97"/>
      <c r="I129" s="36"/>
      <c r="J129" s="36"/>
      <c r="L129" s="104"/>
      <c r="M129" s="104"/>
      <c r="N129" s="104"/>
      <c r="O129" s="104"/>
      <c r="P129" s="97"/>
    </row>
    <row r="130" spans="3:16" x14ac:dyDescent="0.25">
      <c r="C130" s="17">
        <v>97</v>
      </c>
      <c r="D130" s="104"/>
      <c r="E130" s="312"/>
      <c r="F130" s="97"/>
      <c r="G130" s="97"/>
      <c r="H130" s="97"/>
      <c r="I130" s="36"/>
      <c r="J130" s="36"/>
      <c r="L130" s="104"/>
      <c r="M130" s="104"/>
      <c r="N130" s="104"/>
      <c r="O130" s="104"/>
      <c r="P130" s="97"/>
    </row>
    <row r="131" spans="3:16" x14ac:dyDescent="0.25">
      <c r="C131" s="17">
        <v>98</v>
      </c>
      <c r="D131" s="104"/>
      <c r="E131" s="312"/>
      <c r="F131" s="97"/>
      <c r="G131" s="97"/>
      <c r="H131" s="97"/>
      <c r="I131" s="36"/>
      <c r="J131" s="36"/>
      <c r="L131" s="104"/>
      <c r="M131" s="104"/>
      <c r="N131" s="104"/>
      <c r="O131" s="104"/>
      <c r="P131" s="97"/>
    </row>
    <row r="132" spans="3:16" x14ac:dyDescent="0.25">
      <c r="C132" s="17">
        <v>99</v>
      </c>
      <c r="D132" s="104"/>
      <c r="E132" s="312"/>
      <c r="F132" s="97"/>
      <c r="G132" s="97"/>
      <c r="H132" s="97"/>
      <c r="I132" s="36"/>
      <c r="J132" s="36"/>
      <c r="L132" s="104"/>
      <c r="M132" s="104"/>
      <c r="N132" s="104"/>
      <c r="O132" s="104"/>
      <c r="P132" s="97"/>
    </row>
    <row r="133" spans="3:16" x14ac:dyDescent="0.25">
      <c r="C133" s="17">
        <v>100</v>
      </c>
      <c r="D133" s="104"/>
      <c r="E133" s="312"/>
      <c r="F133" s="97"/>
      <c r="G133" s="97"/>
      <c r="H133" s="97"/>
      <c r="I133" s="36"/>
      <c r="J133" s="36"/>
      <c r="L133" s="104"/>
      <c r="M133" s="104"/>
      <c r="N133" s="104"/>
      <c r="O133" s="104"/>
      <c r="P133" s="97"/>
    </row>
    <row r="134" spans="3:16" x14ac:dyDescent="0.25">
      <c r="C134" s="17">
        <v>101</v>
      </c>
      <c r="D134" s="104"/>
      <c r="E134" s="312"/>
      <c r="F134" s="97"/>
      <c r="G134" s="97"/>
      <c r="H134" s="97"/>
      <c r="I134" s="36"/>
      <c r="J134" s="36"/>
      <c r="L134" s="104"/>
      <c r="M134" s="104"/>
      <c r="N134" s="104"/>
      <c r="O134" s="104"/>
      <c r="P134" s="97"/>
    </row>
    <row r="135" spans="3:16" x14ac:dyDescent="0.25">
      <c r="C135" s="17">
        <v>102</v>
      </c>
      <c r="D135" s="104"/>
      <c r="E135" s="312"/>
      <c r="F135" s="97"/>
      <c r="G135" s="97"/>
      <c r="H135" s="97"/>
      <c r="I135" s="36"/>
      <c r="J135" s="36"/>
      <c r="L135" s="104"/>
      <c r="M135" s="104"/>
      <c r="N135" s="104"/>
      <c r="O135" s="104"/>
      <c r="P135" s="97"/>
    </row>
    <row r="136" spans="3:16" x14ac:dyDescent="0.25">
      <c r="C136" s="17">
        <v>103</v>
      </c>
      <c r="D136" s="104"/>
      <c r="E136" s="312"/>
      <c r="F136" s="97"/>
      <c r="G136" s="97"/>
      <c r="H136" s="97"/>
      <c r="I136" s="36"/>
      <c r="J136" s="36"/>
      <c r="L136" s="104"/>
      <c r="M136" s="104"/>
      <c r="N136" s="104"/>
      <c r="O136" s="104"/>
      <c r="P136" s="97"/>
    </row>
    <row r="137" spans="3:16" x14ac:dyDescent="0.25">
      <c r="C137" s="17">
        <v>104</v>
      </c>
      <c r="D137" s="104"/>
      <c r="E137" s="312"/>
      <c r="F137" s="97"/>
      <c r="G137" s="97"/>
      <c r="H137" s="97"/>
      <c r="I137" s="36"/>
      <c r="J137" s="36"/>
      <c r="L137" s="104"/>
      <c r="M137" s="104"/>
      <c r="N137" s="104"/>
      <c r="O137" s="104"/>
      <c r="P137" s="97"/>
    </row>
    <row r="138" spans="3:16" x14ac:dyDescent="0.25">
      <c r="C138" s="17">
        <v>105</v>
      </c>
      <c r="D138" s="104"/>
      <c r="E138" s="312"/>
      <c r="F138" s="97"/>
      <c r="G138" s="97"/>
      <c r="H138" s="97"/>
      <c r="I138" s="36"/>
      <c r="J138" s="36"/>
      <c r="L138" s="104"/>
      <c r="M138" s="104"/>
      <c r="N138" s="104"/>
      <c r="O138" s="104"/>
      <c r="P138" s="97"/>
    </row>
    <row r="139" spans="3:16" x14ac:dyDescent="0.25">
      <c r="C139" s="17">
        <v>106</v>
      </c>
      <c r="D139" s="104"/>
      <c r="E139" s="312"/>
      <c r="F139" s="97"/>
      <c r="G139" s="97"/>
      <c r="H139" s="97"/>
      <c r="I139" s="36"/>
      <c r="J139" s="36"/>
      <c r="L139" s="104"/>
      <c r="M139" s="104"/>
      <c r="N139" s="104"/>
      <c r="O139" s="104"/>
      <c r="P139" s="97"/>
    </row>
    <row r="140" spans="3:16" x14ac:dyDescent="0.25">
      <c r="C140" s="17">
        <v>107</v>
      </c>
      <c r="D140" s="104"/>
      <c r="E140" s="312"/>
      <c r="F140" s="97"/>
      <c r="G140" s="97"/>
      <c r="H140" s="97"/>
      <c r="I140" s="36"/>
      <c r="J140" s="36"/>
      <c r="L140" s="104"/>
      <c r="M140" s="104"/>
      <c r="N140" s="104"/>
      <c r="O140" s="104"/>
      <c r="P140" s="97"/>
    </row>
    <row r="141" spans="3:16" x14ac:dyDescent="0.25">
      <c r="C141" s="17">
        <v>108</v>
      </c>
      <c r="D141" s="104"/>
      <c r="E141" s="312"/>
      <c r="F141" s="97"/>
      <c r="G141" s="97"/>
      <c r="H141" s="97"/>
      <c r="I141" s="36"/>
      <c r="J141" s="36"/>
      <c r="L141" s="104"/>
      <c r="M141" s="104"/>
      <c r="N141" s="104"/>
      <c r="O141" s="104"/>
      <c r="P141" s="97"/>
    </row>
    <row r="142" spans="3:16" x14ac:dyDescent="0.25">
      <c r="C142" s="17">
        <v>109</v>
      </c>
      <c r="D142" s="104"/>
      <c r="E142" s="312"/>
      <c r="F142" s="97"/>
      <c r="G142" s="97"/>
      <c r="H142" s="97"/>
      <c r="I142" s="36"/>
      <c r="J142" s="36"/>
      <c r="L142" s="104"/>
      <c r="M142" s="104"/>
      <c r="N142" s="104"/>
      <c r="O142" s="104"/>
      <c r="P142" s="97"/>
    </row>
    <row r="143" spans="3:16" x14ac:dyDescent="0.25">
      <c r="C143" s="17">
        <v>110</v>
      </c>
      <c r="D143" s="104"/>
      <c r="E143" s="312"/>
      <c r="F143" s="97"/>
      <c r="G143" s="97"/>
      <c r="H143" s="97"/>
      <c r="I143" s="36"/>
      <c r="J143" s="36"/>
      <c r="L143" s="104"/>
      <c r="M143" s="104"/>
      <c r="N143" s="104"/>
      <c r="O143" s="104"/>
      <c r="P143" s="97"/>
    </row>
    <row r="144" spans="3:16" x14ac:dyDescent="0.25">
      <c r="C144" s="17">
        <v>111</v>
      </c>
      <c r="D144" s="104"/>
      <c r="E144" s="312"/>
      <c r="F144" s="97"/>
      <c r="G144" s="97"/>
      <c r="H144" s="97"/>
      <c r="I144" s="36"/>
      <c r="J144" s="36"/>
      <c r="L144" s="104"/>
      <c r="M144" s="104"/>
      <c r="N144" s="104"/>
      <c r="O144" s="104"/>
      <c r="P144" s="97"/>
    </row>
    <row r="145" spans="3:16" x14ac:dyDescent="0.25">
      <c r="C145" s="17">
        <v>112</v>
      </c>
      <c r="D145" s="104"/>
      <c r="E145" s="312"/>
      <c r="F145" s="97"/>
      <c r="G145" s="97"/>
      <c r="H145" s="97"/>
      <c r="I145" s="36"/>
      <c r="J145" s="36"/>
      <c r="L145" s="104"/>
      <c r="M145" s="104"/>
      <c r="N145" s="104"/>
      <c r="O145" s="104"/>
      <c r="P145" s="97"/>
    </row>
    <row r="146" spans="3:16" x14ac:dyDescent="0.25">
      <c r="C146" s="17">
        <v>113</v>
      </c>
      <c r="D146" s="104"/>
      <c r="E146" s="312"/>
      <c r="F146" s="97"/>
      <c r="G146" s="97"/>
      <c r="H146" s="97"/>
      <c r="I146" s="36"/>
      <c r="J146" s="36"/>
      <c r="L146" s="104"/>
      <c r="M146" s="104"/>
      <c r="N146" s="104"/>
      <c r="O146" s="104"/>
      <c r="P146" s="97"/>
    </row>
    <row r="147" spans="3:16" x14ac:dyDescent="0.25">
      <c r="C147" s="17">
        <v>114</v>
      </c>
      <c r="D147" s="104"/>
      <c r="E147" s="312"/>
      <c r="F147" s="97"/>
      <c r="G147" s="97"/>
      <c r="H147" s="97"/>
      <c r="I147" s="36"/>
      <c r="J147" s="36"/>
      <c r="L147" s="104"/>
      <c r="M147" s="104"/>
      <c r="N147" s="104"/>
      <c r="O147" s="104"/>
      <c r="P147" s="97"/>
    </row>
    <row r="148" spans="3:16" x14ac:dyDescent="0.25">
      <c r="C148" s="17">
        <v>115</v>
      </c>
      <c r="D148" s="104"/>
      <c r="E148" s="312"/>
      <c r="F148" s="97"/>
      <c r="G148" s="97"/>
      <c r="H148" s="97"/>
      <c r="I148" s="36"/>
      <c r="J148" s="36"/>
      <c r="L148" s="104"/>
      <c r="M148" s="104"/>
      <c r="N148" s="104"/>
      <c r="O148" s="104"/>
      <c r="P148" s="97"/>
    </row>
    <row r="149" spans="3:16" x14ac:dyDescent="0.25">
      <c r="C149" s="17">
        <v>116</v>
      </c>
      <c r="D149" s="104"/>
      <c r="E149" s="312"/>
      <c r="F149" s="97"/>
      <c r="G149" s="97"/>
      <c r="H149" s="97"/>
      <c r="I149" s="36"/>
      <c r="J149" s="36"/>
      <c r="L149" s="104"/>
      <c r="M149" s="104"/>
      <c r="N149" s="104"/>
      <c r="O149" s="104"/>
      <c r="P149" s="97"/>
    </row>
    <row r="150" spans="3:16" x14ac:dyDescent="0.25">
      <c r="C150" s="17">
        <v>117</v>
      </c>
      <c r="D150" s="104"/>
      <c r="E150" s="312"/>
      <c r="F150" s="97"/>
      <c r="G150" s="97"/>
      <c r="H150" s="97"/>
      <c r="I150" s="36"/>
      <c r="J150" s="36"/>
      <c r="L150" s="104"/>
      <c r="M150" s="104"/>
      <c r="N150" s="104"/>
      <c r="O150" s="104"/>
      <c r="P150" s="97"/>
    </row>
    <row r="151" spans="3:16" x14ac:dyDescent="0.25">
      <c r="C151" s="17">
        <v>118</v>
      </c>
      <c r="D151" s="104"/>
      <c r="E151" s="312"/>
      <c r="F151" s="97"/>
      <c r="G151" s="97"/>
      <c r="H151" s="97"/>
      <c r="I151" s="36"/>
      <c r="J151" s="36"/>
      <c r="L151" s="104"/>
      <c r="M151" s="104"/>
      <c r="N151" s="104"/>
      <c r="O151" s="104"/>
      <c r="P151" s="97"/>
    </row>
    <row r="152" spans="3:16" x14ac:dyDescent="0.25">
      <c r="C152" s="17">
        <v>119</v>
      </c>
      <c r="D152" s="104"/>
      <c r="E152" s="312"/>
      <c r="F152" s="97"/>
      <c r="G152" s="97"/>
      <c r="H152" s="97"/>
      <c r="I152" s="36"/>
      <c r="J152" s="36"/>
      <c r="L152" s="104"/>
      <c r="M152" s="104"/>
      <c r="N152" s="104"/>
      <c r="O152" s="104"/>
      <c r="P152" s="97"/>
    </row>
    <row r="153" spans="3:16" x14ac:dyDescent="0.25">
      <c r="C153" s="17">
        <v>120</v>
      </c>
      <c r="D153" s="104"/>
      <c r="E153" s="312"/>
      <c r="F153" s="97"/>
      <c r="G153" s="97"/>
      <c r="H153" s="97"/>
      <c r="I153" s="36"/>
      <c r="J153" s="36"/>
      <c r="L153" s="104"/>
      <c r="M153" s="104"/>
      <c r="N153" s="104"/>
      <c r="O153" s="104"/>
      <c r="P153" s="97"/>
    </row>
    <row r="154" spans="3:16" x14ac:dyDescent="0.25">
      <c r="C154" s="17">
        <v>121</v>
      </c>
      <c r="D154" s="104"/>
      <c r="E154" s="312"/>
      <c r="F154" s="97"/>
      <c r="G154" s="97"/>
      <c r="H154" s="97"/>
      <c r="I154" s="36"/>
      <c r="J154" s="36"/>
      <c r="L154" s="104"/>
      <c r="M154" s="104"/>
      <c r="N154" s="104"/>
      <c r="O154" s="104"/>
      <c r="P154" s="97"/>
    </row>
    <row r="155" spans="3:16" x14ac:dyDescent="0.25">
      <c r="C155" s="17">
        <v>122</v>
      </c>
      <c r="D155" s="104"/>
      <c r="E155" s="312"/>
      <c r="F155" s="97"/>
      <c r="G155" s="97"/>
      <c r="H155" s="97"/>
      <c r="I155" s="36"/>
      <c r="J155" s="36"/>
      <c r="L155" s="104"/>
      <c r="M155" s="104"/>
      <c r="N155" s="104"/>
      <c r="O155" s="104"/>
      <c r="P155" s="97"/>
    </row>
    <row r="156" spans="3:16" x14ac:dyDescent="0.25">
      <c r="C156" s="17">
        <v>123</v>
      </c>
      <c r="D156" s="104"/>
      <c r="E156" s="312"/>
      <c r="F156" s="97"/>
      <c r="G156" s="97"/>
      <c r="H156" s="97"/>
      <c r="I156" s="36"/>
      <c r="J156" s="36"/>
      <c r="L156" s="104"/>
      <c r="M156" s="104"/>
      <c r="N156" s="104"/>
      <c r="O156" s="104"/>
      <c r="P156" s="97"/>
    </row>
    <row r="157" spans="3:16" x14ac:dyDescent="0.25">
      <c r="C157" s="17">
        <v>124</v>
      </c>
      <c r="D157" s="104"/>
      <c r="E157" s="312"/>
      <c r="F157" s="97"/>
      <c r="G157" s="97"/>
      <c r="H157" s="97"/>
      <c r="I157" s="36"/>
      <c r="J157" s="36"/>
      <c r="L157" s="104"/>
      <c r="M157" s="104"/>
      <c r="N157" s="104"/>
      <c r="O157" s="104"/>
      <c r="P157" s="97"/>
    </row>
    <row r="158" spans="3:16" x14ac:dyDescent="0.25">
      <c r="C158" s="17">
        <v>125</v>
      </c>
      <c r="D158" s="104"/>
      <c r="E158" s="312"/>
      <c r="F158" s="97"/>
      <c r="G158" s="97"/>
      <c r="H158" s="97"/>
      <c r="I158" s="36"/>
      <c r="J158" s="36"/>
      <c r="L158" s="104"/>
      <c r="M158" s="104"/>
      <c r="N158" s="104"/>
      <c r="O158" s="104"/>
      <c r="P158" s="97"/>
    </row>
    <row r="159" spans="3:16" x14ac:dyDescent="0.25">
      <c r="C159" s="17">
        <v>126</v>
      </c>
      <c r="D159" s="104"/>
      <c r="E159" s="312"/>
      <c r="F159" s="97"/>
      <c r="G159" s="97"/>
      <c r="H159" s="97"/>
      <c r="I159" s="36"/>
      <c r="J159" s="36"/>
      <c r="L159" s="104"/>
      <c r="M159" s="104"/>
      <c r="N159" s="104"/>
      <c r="O159" s="104"/>
      <c r="P159" s="97"/>
    </row>
    <row r="160" spans="3:16" x14ac:dyDescent="0.25">
      <c r="C160" s="17">
        <v>127</v>
      </c>
      <c r="D160" s="104"/>
      <c r="E160" s="312"/>
      <c r="F160" s="97"/>
      <c r="G160" s="97"/>
      <c r="H160" s="97"/>
      <c r="I160" s="36"/>
      <c r="J160" s="36"/>
      <c r="L160" s="104"/>
      <c r="M160" s="104"/>
      <c r="N160" s="104"/>
      <c r="O160" s="104"/>
      <c r="P160" s="97"/>
    </row>
    <row r="161" spans="3:16" x14ac:dyDescent="0.25">
      <c r="C161" s="17">
        <v>128</v>
      </c>
      <c r="D161" s="104"/>
      <c r="E161" s="312"/>
      <c r="F161" s="97"/>
      <c r="G161" s="97"/>
      <c r="H161" s="97"/>
      <c r="I161" s="36"/>
      <c r="J161" s="36"/>
      <c r="L161" s="104"/>
      <c r="M161" s="104"/>
      <c r="N161" s="104"/>
      <c r="O161" s="104"/>
      <c r="P161" s="97"/>
    </row>
    <row r="162" spans="3:16" x14ac:dyDescent="0.25">
      <c r="C162" s="17">
        <v>129</v>
      </c>
      <c r="D162" s="104"/>
      <c r="E162" s="312"/>
      <c r="F162" s="97"/>
      <c r="G162" s="97"/>
      <c r="H162" s="97"/>
      <c r="I162" s="36"/>
      <c r="J162" s="36"/>
      <c r="L162" s="104"/>
      <c r="M162" s="104"/>
      <c r="N162" s="104"/>
      <c r="O162" s="104"/>
      <c r="P162" s="97"/>
    </row>
    <row r="163" spans="3:16" x14ac:dyDescent="0.25">
      <c r="C163" s="17">
        <v>130</v>
      </c>
      <c r="D163" s="104"/>
      <c r="E163" s="312"/>
      <c r="F163" s="97"/>
      <c r="G163" s="97"/>
      <c r="H163" s="97"/>
      <c r="I163" s="36"/>
      <c r="J163" s="36"/>
      <c r="L163" s="104"/>
      <c r="M163" s="104"/>
      <c r="N163" s="104"/>
      <c r="O163" s="104"/>
      <c r="P163" s="97"/>
    </row>
    <row r="164" spans="3:16" x14ac:dyDescent="0.25">
      <c r="C164" s="17">
        <v>131</v>
      </c>
      <c r="D164" s="104"/>
      <c r="E164" s="312"/>
      <c r="F164" s="97"/>
      <c r="G164" s="97"/>
      <c r="H164" s="97"/>
      <c r="I164" s="36"/>
      <c r="J164" s="36"/>
      <c r="L164" s="104"/>
      <c r="M164" s="104"/>
      <c r="N164" s="104"/>
      <c r="O164" s="104"/>
      <c r="P164" s="97"/>
    </row>
    <row r="165" spans="3:16" x14ac:dyDescent="0.25">
      <c r="C165" s="17">
        <v>132</v>
      </c>
      <c r="D165" s="104"/>
      <c r="E165" s="312"/>
      <c r="F165" s="97"/>
      <c r="G165" s="97"/>
      <c r="H165" s="97"/>
      <c r="I165" s="36"/>
      <c r="J165" s="36"/>
      <c r="L165" s="104"/>
      <c r="M165" s="104"/>
      <c r="N165" s="104"/>
      <c r="O165" s="104"/>
      <c r="P165" s="97"/>
    </row>
    <row r="166" spans="3:16" x14ac:dyDescent="0.25">
      <c r="C166" s="17">
        <v>133</v>
      </c>
      <c r="D166" s="104"/>
      <c r="E166" s="312"/>
      <c r="F166" s="97"/>
      <c r="G166" s="97"/>
      <c r="H166" s="97"/>
      <c r="I166" s="36"/>
      <c r="J166" s="36"/>
      <c r="L166" s="104"/>
      <c r="M166" s="104"/>
      <c r="N166" s="104"/>
      <c r="O166" s="104"/>
      <c r="P166" s="97"/>
    </row>
    <row r="167" spans="3:16" x14ac:dyDescent="0.25">
      <c r="C167" s="17">
        <v>134</v>
      </c>
      <c r="D167" s="104"/>
      <c r="E167" s="312"/>
      <c r="F167" s="97"/>
      <c r="G167" s="97"/>
      <c r="H167" s="97"/>
      <c r="I167" s="36"/>
      <c r="J167" s="36"/>
      <c r="L167" s="104"/>
      <c r="M167" s="104"/>
      <c r="N167" s="104"/>
      <c r="O167" s="104"/>
      <c r="P167" s="97"/>
    </row>
    <row r="168" spans="3:16" x14ac:dyDescent="0.25">
      <c r="C168" s="17">
        <v>135</v>
      </c>
      <c r="D168" s="104"/>
      <c r="E168" s="312"/>
      <c r="F168" s="97"/>
      <c r="G168" s="97"/>
      <c r="H168" s="97"/>
      <c r="I168" s="36"/>
      <c r="J168" s="36"/>
      <c r="L168" s="104"/>
      <c r="M168" s="104"/>
      <c r="N168" s="104"/>
      <c r="O168" s="104"/>
      <c r="P168" s="97"/>
    </row>
    <row r="169" spans="3:16" x14ac:dyDescent="0.25">
      <c r="C169" s="17">
        <v>136</v>
      </c>
      <c r="D169" s="104"/>
      <c r="E169" s="312"/>
      <c r="F169" s="97"/>
      <c r="G169" s="97"/>
      <c r="H169" s="97"/>
      <c r="I169" s="36"/>
      <c r="J169" s="36"/>
      <c r="L169" s="104"/>
      <c r="M169" s="104"/>
      <c r="N169" s="104"/>
      <c r="O169" s="104"/>
      <c r="P169" s="97"/>
    </row>
    <row r="170" spans="3:16" x14ac:dyDescent="0.25">
      <c r="C170" s="17">
        <v>137</v>
      </c>
      <c r="D170" s="104"/>
      <c r="E170" s="312"/>
      <c r="F170" s="97"/>
      <c r="G170" s="97"/>
      <c r="H170" s="97"/>
      <c r="I170" s="36"/>
      <c r="J170" s="36"/>
      <c r="L170" s="104"/>
      <c r="M170" s="104"/>
      <c r="N170" s="104"/>
      <c r="O170" s="104"/>
      <c r="P170" s="97"/>
    </row>
    <row r="171" spans="3:16" x14ac:dyDescent="0.25">
      <c r="C171" s="17">
        <v>138</v>
      </c>
      <c r="D171" s="104"/>
      <c r="E171" s="312"/>
      <c r="F171" s="97"/>
      <c r="G171" s="97"/>
      <c r="H171" s="97"/>
      <c r="I171" s="36"/>
      <c r="J171" s="36"/>
      <c r="L171" s="104"/>
      <c r="M171" s="104"/>
      <c r="N171" s="104"/>
      <c r="O171" s="104"/>
      <c r="P171" s="97"/>
    </row>
    <row r="172" spans="3:16" x14ac:dyDescent="0.25">
      <c r="C172" s="17">
        <v>139</v>
      </c>
      <c r="D172" s="104"/>
      <c r="E172" s="312"/>
      <c r="F172" s="97"/>
      <c r="G172" s="97"/>
      <c r="H172" s="97"/>
      <c r="I172" s="36"/>
      <c r="J172" s="36"/>
      <c r="L172" s="104"/>
      <c r="M172" s="104"/>
      <c r="N172" s="104"/>
      <c r="O172" s="104"/>
      <c r="P172" s="97"/>
    </row>
    <row r="173" spans="3:16" x14ac:dyDescent="0.25">
      <c r="C173" s="17">
        <v>140</v>
      </c>
      <c r="D173" s="104"/>
      <c r="E173" s="312"/>
      <c r="F173" s="97"/>
      <c r="G173" s="97"/>
      <c r="H173" s="97"/>
      <c r="I173" s="36"/>
      <c r="J173" s="36"/>
      <c r="L173" s="104"/>
      <c r="M173" s="104"/>
      <c r="N173" s="104"/>
      <c r="O173" s="104"/>
      <c r="P173" s="97"/>
    </row>
    <row r="174" spans="3:16" x14ac:dyDescent="0.25">
      <c r="C174" s="17">
        <v>141</v>
      </c>
      <c r="D174" s="104"/>
      <c r="E174" s="312"/>
      <c r="F174" s="97"/>
      <c r="G174" s="97"/>
      <c r="H174" s="97"/>
      <c r="I174" s="36"/>
      <c r="J174" s="36"/>
      <c r="L174" s="104"/>
      <c r="M174" s="104"/>
      <c r="N174" s="104"/>
      <c r="O174" s="104"/>
      <c r="P174" s="97"/>
    </row>
    <row r="175" spans="3:16" x14ac:dyDescent="0.25">
      <c r="C175" s="17">
        <v>142</v>
      </c>
      <c r="D175" s="104"/>
      <c r="E175" s="312"/>
      <c r="F175" s="97"/>
      <c r="G175" s="97"/>
      <c r="H175" s="97"/>
      <c r="I175" s="36"/>
      <c r="J175" s="36"/>
      <c r="L175" s="104"/>
      <c r="M175" s="104"/>
      <c r="N175" s="104"/>
      <c r="O175" s="104"/>
      <c r="P175" s="97"/>
    </row>
    <row r="176" spans="3:16" x14ac:dyDescent="0.25">
      <c r="C176" s="17">
        <v>143</v>
      </c>
      <c r="D176" s="104"/>
      <c r="E176" s="312"/>
      <c r="F176" s="97"/>
      <c r="G176" s="97"/>
      <c r="H176" s="97"/>
      <c r="I176" s="36"/>
      <c r="J176" s="36"/>
      <c r="L176" s="104"/>
      <c r="M176" s="104"/>
      <c r="N176" s="104"/>
      <c r="O176" s="104"/>
      <c r="P176" s="97"/>
    </row>
    <row r="177" spans="3:16" x14ac:dyDescent="0.25">
      <c r="C177" s="17">
        <v>144</v>
      </c>
      <c r="D177" s="104"/>
      <c r="E177" s="312"/>
      <c r="F177" s="97"/>
      <c r="G177" s="97"/>
      <c r="H177" s="97"/>
      <c r="I177" s="36"/>
      <c r="J177" s="36"/>
      <c r="L177" s="104"/>
      <c r="M177" s="104"/>
      <c r="N177" s="104"/>
      <c r="O177" s="104"/>
      <c r="P177" s="97"/>
    </row>
    <row r="178" spans="3:16" x14ac:dyDescent="0.25">
      <c r="C178" s="17">
        <v>145</v>
      </c>
      <c r="D178" s="104"/>
      <c r="E178" s="312"/>
      <c r="F178" s="97"/>
      <c r="G178" s="97"/>
      <c r="H178" s="97"/>
      <c r="I178" s="36"/>
      <c r="J178" s="36"/>
      <c r="L178" s="104"/>
      <c r="M178" s="104"/>
      <c r="N178" s="104"/>
      <c r="O178" s="104"/>
      <c r="P178" s="97"/>
    </row>
    <row r="179" spans="3:16" x14ac:dyDescent="0.25">
      <c r="C179" s="17">
        <v>146</v>
      </c>
      <c r="D179" s="104"/>
      <c r="E179" s="312"/>
      <c r="F179" s="97"/>
      <c r="G179" s="97"/>
      <c r="H179" s="97"/>
      <c r="I179" s="36"/>
      <c r="J179" s="36"/>
      <c r="L179" s="104"/>
      <c r="M179" s="104"/>
      <c r="N179" s="104"/>
      <c r="O179" s="104"/>
      <c r="P179" s="97"/>
    </row>
    <row r="180" spans="3:16" x14ac:dyDescent="0.25">
      <c r="C180" s="17">
        <v>147</v>
      </c>
      <c r="D180" s="104"/>
      <c r="E180" s="312"/>
      <c r="F180" s="97"/>
      <c r="G180" s="97"/>
      <c r="H180" s="97"/>
      <c r="I180" s="36"/>
      <c r="J180" s="36"/>
      <c r="L180" s="104"/>
      <c r="M180" s="104"/>
      <c r="N180" s="104"/>
      <c r="O180" s="104"/>
      <c r="P180" s="97"/>
    </row>
    <row r="181" spans="3:16" x14ac:dyDescent="0.25">
      <c r="C181" s="17">
        <v>148</v>
      </c>
      <c r="D181" s="104"/>
      <c r="E181" s="312"/>
      <c r="F181" s="97"/>
      <c r="G181" s="97"/>
      <c r="H181" s="97"/>
      <c r="I181" s="36"/>
      <c r="J181" s="36"/>
      <c r="L181" s="104"/>
      <c r="M181" s="104"/>
      <c r="N181" s="104"/>
      <c r="O181" s="104"/>
      <c r="P181" s="97"/>
    </row>
    <row r="182" spans="3:16" x14ac:dyDescent="0.25">
      <c r="C182" s="17">
        <v>149</v>
      </c>
      <c r="D182" s="104"/>
      <c r="E182" s="312"/>
      <c r="F182" s="97"/>
      <c r="G182" s="97"/>
      <c r="H182" s="97"/>
      <c r="I182" s="36"/>
      <c r="J182" s="36"/>
      <c r="L182" s="104"/>
      <c r="M182" s="104"/>
      <c r="N182" s="104"/>
      <c r="O182" s="104"/>
      <c r="P182" s="97"/>
    </row>
    <row r="183" spans="3:16" x14ac:dyDescent="0.25">
      <c r="C183" s="17">
        <v>150</v>
      </c>
      <c r="D183" s="104"/>
      <c r="E183" s="312"/>
      <c r="F183" s="97"/>
      <c r="G183" s="97"/>
      <c r="H183" s="97"/>
      <c r="I183" s="36"/>
      <c r="J183" s="36"/>
      <c r="L183" s="104"/>
      <c r="M183" s="104"/>
      <c r="N183" s="104"/>
      <c r="O183" s="104"/>
      <c r="P183" s="97"/>
    </row>
    <row r="184" spans="3:16" x14ac:dyDescent="0.25">
      <c r="C184" s="17">
        <v>151</v>
      </c>
      <c r="D184" s="104"/>
      <c r="E184" s="312"/>
      <c r="F184" s="97"/>
      <c r="G184" s="97"/>
      <c r="H184" s="97"/>
      <c r="I184" s="36"/>
      <c r="J184" s="36"/>
      <c r="L184" s="104"/>
      <c r="M184" s="104"/>
      <c r="N184" s="104"/>
      <c r="O184" s="104"/>
      <c r="P184" s="97"/>
    </row>
    <row r="185" spans="3:16" x14ac:dyDescent="0.25">
      <c r="C185" s="17">
        <v>152</v>
      </c>
      <c r="D185" s="104"/>
      <c r="E185" s="312"/>
      <c r="F185" s="97"/>
      <c r="G185" s="97"/>
      <c r="H185" s="97"/>
      <c r="I185" s="36"/>
      <c r="J185" s="36"/>
      <c r="L185" s="104"/>
      <c r="M185" s="104"/>
      <c r="N185" s="104"/>
      <c r="O185" s="104"/>
      <c r="P185" s="97"/>
    </row>
    <row r="186" spans="3:16" x14ac:dyDescent="0.25">
      <c r="C186" s="17">
        <v>153</v>
      </c>
      <c r="D186" s="104"/>
      <c r="E186" s="312"/>
      <c r="F186" s="97"/>
      <c r="G186" s="97"/>
      <c r="H186" s="97"/>
      <c r="I186" s="36"/>
      <c r="J186" s="36"/>
      <c r="L186" s="104"/>
      <c r="M186" s="104"/>
      <c r="N186" s="104"/>
      <c r="O186" s="104"/>
      <c r="P186" s="97"/>
    </row>
    <row r="187" spans="3:16" x14ac:dyDescent="0.25">
      <c r="C187" s="17">
        <v>154</v>
      </c>
      <c r="D187" s="104"/>
      <c r="E187" s="312"/>
      <c r="F187" s="97"/>
      <c r="G187" s="97"/>
      <c r="H187" s="97"/>
      <c r="I187" s="36"/>
      <c r="J187" s="36"/>
      <c r="L187" s="104"/>
      <c r="M187" s="104"/>
      <c r="N187" s="104"/>
      <c r="O187" s="104"/>
      <c r="P187" s="97"/>
    </row>
    <row r="188" spans="3:16" x14ac:dyDescent="0.25">
      <c r="C188" s="17">
        <v>155</v>
      </c>
      <c r="D188" s="104"/>
      <c r="E188" s="312"/>
      <c r="F188" s="97"/>
      <c r="G188" s="97"/>
      <c r="H188" s="97"/>
      <c r="I188" s="36"/>
      <c r="J188" s="36"/>
      <c r="L188" s="104"/>
      <c r="M188" s="104"/>
      <c r="N188" s="104"/>
      <c r="O188" s="104"/>
      <c r="P188" s="97"/>
    </row>
    <row r="189" spans="3:16" x14ac:dyDescent="0.25">
      <c r="C189" s="17">
        <v>156</v>
      </c>
      <c r="D189" s="104"/>
      <c r="E189" s="312"/>
      <c r="F189" s="97"/>
      <c r="G189" s="97"/>
      <c r="H189" s="97"/>
      <c r="I189" s="36"/>
      <c r="J189" s="36"/>
      <c r="L189" s="104"/>
      <c r="M189" s="104"/>
      <c r="N189" s="104"/>
      <c r="O189" s="104"/>
      <c r="P189" s="97"/>
    </row>
    <row r="190" spans="3:16" x14ac:dyDescent="0.25">
      <c r="C190" s="17">
        <v>157</v>
      </c>
      <c r="D190" s="104"/>
      <c r="E190" s="312"/>
      <c r="F190" s="97"/>
      <c r="G190" s="97"/>
      <c r="H190" s="97"/>
      <c r="I190" s="36"/>
      <c r="J190" s="36"/>
      <c r="L190" s="104"/>
      <c r="M190" s="104"/>
      <c r="N190" s="104"/>
      <c r="O190" s="104"/>
      <c r="P190" s="97"/>
    </row>
    <row r="191" spans="3:16" x14ac:dyDescent="0.25">
      <c r="C191" s="17">
        <v>158</v>
      </c>
      <c r="D191" s="104"/>
      <c r="E191" s="312"/>
      <c r="F191" s="97"/>
      <c r="G191" s="97"/>
      <c r="H191" s="97"/>
      <c r="I191" s="36"/>
      <c r="J191" s="36"/>
      <c r="L191" s="104"/>
      <c r="M191" s="104"/>
      <c r="N191" s="104"/>
      <c r="O191" s="104"/>
      <c r="P191" s="97"/>
    </row>
    <row r="192" spans="3:16" x14ac:dyDescent="0.25">
      <c r="C192" s="17">
        <v>159</v>
      </c>
      <c r="D192" s="104"/>
      <c r="E192" s="312"/>
      <c r="F192" s="97"/>
      <c r="G192" s="97"/>
      <c r="H192" s="97"/>
      <c r="I192" s="36"/>
      <c r="J192" s="36"/>
      <c r="L192" s="104"/>
      <c r="M192" s="104"/>
      <c r="N192" s="104"/>
      <c r="O192" s="104"/>
      <c r="P192" s="97"/>
    </row>
    <row r="193" spans="3:16" x14ac:dyDescent="0.25">
      <c r="C193" s="17">
        <v>160</v>
      </c>
      <c r="D193" s="104"/>
      <c r="E193" s="312"/>
      <c r="F193" s="97"/>
      <c r="G193" s="97"/>
      <c r="H193" s="97"/>
      <c r="I193" s="36"/>
      <c r="J193" s="36"/>
      <c r="L193" s="104"/>
      <c r="M193" s="104"/>
      <c r="N193" s="104"/>
      <c r="O193" s="104"/>
      <c r="P193" s="97"/>
    </row>
    <row r="194" spans="3:16" x14ac:dyDescent="0.25">
      <c r="C194" s="17">
        <v>161</v>
      </c>
      <c r="D194" s="104"/>
      <c r="E194" s="312"/>
      <c r="F194" s="97"/>
      <c r="G194" s="97"/>
      <c r="H194" s="97"/>
      <c r="I194" s="36"/>
      <c r="J194" s="36"/>
      <c r="L194" s="104"/>
      <c r="M194" s="104"/>
      <c r="N194" s="104"/>
      <c r="O194" s="104"/>
      <c r="P194" s="97"/>
    </row>
    <row r="195" spans="3:16" x14ac:dyDescent="0.25">
      <c r="C195" s="17">
        <v>162</v>
      </c>
      <c r="D195" s="104"/>
      <c r="E195" s="312"/>
      <c r="F195" s="97"/>
      <c r="G195" s="97"/>
      <c r="H195" s="97"/>
      <c r="I195" s="36"/>
      <c r="J195" s="36"/>
      <c r="L195" s="104"/>
      <c r="M195" s="104"/>
      <c r="N195" s="104"/>
      <c r="O195" s="104"/>
      <c r="P195" s="97"/>
    </row>
    <row r="196" spans="3:16" x14ac:dyDescent="0.25">
      <c r="C196" s="17">
        <v>163</v>
      </c>
      <c r="D196" s="104"/>
      <c r="E196" s="312"/>
      <c r="F196" s="97"/>
      <c r="G196" s="97"/>
      <c r="H196" s="97"/>
      <c r="I196" s="36"/>
      <c r="J196" s="36"/>
      <c r="L196" s="104"/>
      <c r="M196" s="104"/>
      <c r="N196" s="104"/>
      <c r="O196" s="104"/>
      <c r="P196" s="97"/>
    </row>
    <row r="197" spans="3:16" x14ac:dyDescent="0.25">
      <c r="C197" s="17">
        <v>164</v>
      </c>
      <c r="D197" s="104"/>
      <c r="E197" s="312"/>
      <c r="F197" s="97"/>
      <c r="G197" s="97"/>
      <c r="H197" s="97"/>
      <c r="I197" s="36"/>
      <c r="J197" s="36"/>
      <c r="L197" s="104"/>
      <c r="M197" s="104"/>
      <c r="N197" s="104"/>
      <c r="O197" s="104"/>
      <c r="P197" s="97"/>
    </row>
    <row r="198" spans="3:16" x14ac:dyDescent="0.25">
      <c r="C198" s="17">
        <v>165</v>
      </c>
      <c r="D198" s="104"/>
      <c r="E198" s="312"/>
      <c r="F198" s="97"/>
      <c r="G198" s="97"/>
      <c r="H198" s="97"/>
      <c r="I198" s="36"/>
      <c r="J198" s="36"/>
      <c r="L198" s="104"/>
      <c r="M198" s="104"/>
      <c r="N198" s="104"/>
      <c r="O198" s="104"/>
      <c r="P198" s="97"/>
    </row>
    <row r="199" spans="3:16" x14ac:dyDescent="0.25">
      <c r="C199" s="17">
        <v>166</v>
      </c>
      <c r="D199" s="104"/>
      <c r="E199" s="312"/>
      <c r="F199" s="97"/>
      <c r="G199" s="97"/>
      <c r="H199" s="97"/>
      <c r="I199" s="36"/>
      <c r="J199" s="36"/>
      <c r="L199" s="104"/>
      <c r="M199" s="104"/>
      <c r="N199" s="104"/>
      <c r="O199" s="104"/>
      <c r="P199" s="97"/>
    </row>
    <row r="200" spans="3:16" x14ac:dyDescent="0.25">
      <c r="C200" s="17">
        <v>167</v>
      </c>
      <c r="D200" s="104"/>
      <c r="E200" s="312"/>
      <c r="F200" s="97"/>
      <c r="G200" s="97"/>
      <c r="H200" s="97"/>
      <c r="I200" s="36"/>
      <c r="J200" s="36"/>
      <c r="L200" s="104"/>
      <c r="M200" s="104"/>
      <c r="N200" s="104"/>
      <c r="O200" s="104"/>
      <c r="P200" s="97"/>
    </row>
    <row r="201" spans="3:16" x14ac:dyDescent="0.25">
      <c r="C201" s="17">
        <v>168</v>
      </c>
      <c r="D201" s="104"/>
      <c r="E201" s="312"/>
      <c r="F201" s="97"/>
      <c r="G201" s="97"/>
      <c r="H201" s="97"/>
      <c r="I201" s="36"/>
      <c r="J201" s="36"/>
      <c r="L201" s="104"/>
      <c r="M201" s="104"/>
      <c r="N201" s="104"/>
      <c r="O201" s="104"/>
      <c r="P201" s="97"/>
    </row>
    <row r="202" spans="3:16" x14ac:dyDescent="0.25">
      <c r="C202" s="17">
        <v>169</v>
      </c>
      <c r="D202" s="104"/>
      <c r="E202" s="312"/>
      <c r="F202" s="97"/>
      <c r="G202" s="97"/>
      <c r="H202" s="97"/>
      <c r="I202" s="36"/>
      <c r="J202" s="36"/>
      <c r="L202" s="104"/>
      <c r="M202" s="104"/>
      <c r="N202" s="104"/>
      <c r="O202" s="104"/>
      <c r="P202" s="97"/>
    </row>
    <row r="203" spans="3:16" x14ac:dyDescent="0.25">
      <c r="C203" s="17">
        <v>170</v>
      </c>
      <c r="D203" s="104"/>
      <c r="E203" s="312"/>
      <c r="F203" s="97"/>
      <c r="G203" s="97"/>
      <c r="H203" s="97"/>
      <c r="I203" s="36"/>
      <c r="J203" s="36"/>
      <c r="L203" s="104"/>
      <c r="M203" s="104"/>
      <c r="N203" s="104"/>
      <c r="O203" s="104"/>
      <c r="P203" s="97"/>
    </row>
    <row r="204" spans="3:16" x14ac:dyDescent="0.25">
      <c r="C204" s="17">
        <v>171</v>
      </c>
      <c r="D204" s="104"/>
      <c r="E204" s="312"/>
      <c r="F204" s="97"/>
      <c r="G204" s="97"/>
      <c r="H204" s="97"/>
      <c r="I204" s="36"/>
      <c r="J204" s="36"/>
      <c r="L204" s="104"/>
      <c r="M204" s="104"/>
      <c r="N204" s="104"/>
      <c r="O204" s="104"/>
      <c r="P204" s="97"/>
    </row>
    <row r="205" spans="3:16" x14ac:dyDescent="0.25">
      <c r="C205" s="17">
        <v>172</v>
      </c>
      <c r="D205" s="104"/>
      <c r="E205" s="312"/>
      <c r="F205" s="97"/>
      <c r="G205" s="97"/>
      <c r="H205" s="97"/>
      <c r="I205" s="36"/>
      <c r="J205" s="36"/>
      <c r="L205" s="104"/>
      <c r="M205" s="104"/>
      <c r="N205" s="104"/>
      <c r="O205" s="104"/>
      <c r="P205" s="97"/>
    </row>
    <row r="206" spans="3:16" x14ac:dyDescent="0.25">
      <c r="C206" s="17">
        <v>173</v>
      </c>
      <c r="D206" s="104"/>
      <c r="E206" s="312"/>
      <c r="F206" s="97"/>
      <c r="G206" s="97"/>
      <c r="H206" s="97"/>
      <c r="I206" s="36"/>
      <c r="J206" s="36"/>
      <c r="L206" s="104"/>
      <c r="M206" s="104"/>
      <c r="N206" s="104"/>
      <c r="O206" s="104"/>
      <c r="P206" s="97"/>
    </row>
    <row r="207" spans="3:16" x14ac:dyDescent="0.25">
      <c r="C207" s="17">
        <v>174</v>
      </c>
      <c r="D207" s="104"/>
      <c r="E207" s="312"/>
      <c r="F207" s="97"/>
      <c r="G207" s="97"/>
      <c r="H207" s="97"/>
      <c r="I207" s="36"/>
      <c r="J207" s="36"/>
      <c r="L207" s="104"/>
      <c r="M207" s="104"/>
      <c r="N207" s="104"/>
      <c r="O207" s="104"/>
      <c r="P207" s="97"/>
    </row>
    <row r="208" spans="3:16" x14ac:dyDescent="0.25">
      <c r="C208" s="17">
        <v>175</v>
      </c>
      <c r="D208" s="104"/>
      <c r="E208" s="312"/>
      <c r="F208" s="97"/>
      <c r="G208" s="97"/>
      <c r="H208" s="97"/>
      <c r="I208" s="36"/>
      <c r="J208" s="36"/>
      <c r="L208" s="104"/>
      <c r="M208" s="104"/>
      <c r="N208" s="104"/>
      <c r="O208" s="104"/>
      <c r="P208" s="97"/>
    </row>
    <row r="209" spans="3:16" x14ac:dyDescent="0.25">
      <c r="C209" s="17">
        <v>176</v>
      </c>
      <c r="D209" s="104"/>
      <c r="E209" s="312"/>
      <c r="F209" s="97"/>
      <c r="G209" s="97"/>
      <c r="H209" s="97"/>
      <c r="I209" s="36"/>
      <c r="J209" s="36"/>
      <c r="L209" s="104"/>
      <c r="M209" s="104"/>
      <c r="N209" s="104"/>
      <c r="O209" s="104"/>
      <c r="P209" s="97"/>
    </row>
    <row r="210" spans="3:16" x14ac:dyDescent="0.25">
      <c r="C210" s="17">
        <v>177</v>
      </c>
      <c r="D210" s="104"/>
      <c r="E210" s="312"/>
      <c r="F210" s="97"/>
      <c r="G210" s="97"/>
      <c r="H210" s="97"/>
      <c r="I210" s="36"/>
      <c r="J210" s="36"/>
      <c r="L210" s="104"/>
      <c r="M210" s="104"/>
      <c r="N210" s="104"/>
      <c r="O210" s="104"/>
      <c r="P210" s="97"/>
    </row>
    <row r="211" spans="3:16" x14ac:dyDescent="0.25">
      <c r="C211" s="17">
        <v>178</v>
      </c>
      <c r="D211" s="104"/>
      <c r="E211" s="312"/>
      <c r="F211" s="97"/>
      <c r="G211" s="97"/>
      <c r="H211" s="97"/>
      <c r="I211" s="36"/>
      <c r="J211" s="36"/>
      <c r="L211" s="104"/>
      <c r="M211" s="104"/>
      <c r="N211" s="104"/>
      <c r="O211" s="104"/>
      <c r="P211" s="97"/>
    </row>
    <row r="212" spans="3:16" x14ac:dyDescent="0.25">
      <c r="C212" s="17">
        <v>179</v>
      </c>
      <c r="D212" s="104"/>
      <c r="E212" s="312"/>
      <c r="F212" s="97"/>
      <c r="G212" s="97"/>
      <c r="H212" s="97"/>
      <c r="I212" s="36"/>
      <c r="J212" s="36"/>
      <c r="L212" s="104"/>
      <c r="M212" s="104"/>
      <c r="N212" s="104"/>
      <c r="O212" s="104"/>
      <c r="P212" s="97"/>
    </row>
    <row r="213" spans="3:16" x14ac:dyDescent="0.25">
      <c r="C213" s="17">
        <v>180</v>
      </c>
      <c r="D213" s="104"/>
      <c r="E213" s="312"/>
      <c r="F213" s="97"/>
      <c r="G213" s="97"/>
      <c r="H213" s="97"/>
      <c r="I213" s="36"/>
      <c r="J213" s="36"/>
      <c r="L213" s="104"/>
      <c r="M213" s="104"/>
      <c r="N213" s="104"/>
      <c r="O213" s="104"/>
      <c r="P213" s="97"/>
    </row>
    <row r="214" spans="3:16" x14ac:dyDescent="0.25">
      <c r="C214" s="17">
        <v>181</v>
      </c>
      <c r="D214" s="104"/>
      <c r="E214" s="312"/>
      <c r="F214" s="97"/>
      <c r="G214" s="97"/>
      <c r="H214" s="97"/>
      <c r="I214" s="36"/>
      <c r="J214" s="36"/>
      <c r="L214" s="104"/>
      <c r="M214" s="104"/>
      <c r="N214" s="104"/>
      <c r="O214" s="104"/>
      <c r="P214" s="97"/>
    </row>
    <row r="215" spans="3:16" x14ac:dyDescent="0.25">
      <c r="C215" s="17">
        <v>182</v>
      </c>
      <c r="D215" s="104"/>
      <c r="E215" s="312"/>
      <c r="F215" s="97"/>
      <c r="G215" s="97"/>
      <c r="H215" s="97"/>
      <c r="I215" s="36"/>
      <c r="J215" s="36"/>
      <c r="L215" s="104"/>
      <c r="M215" s="104"/>
      <c r="N215" s="104"/>
      <c r="O215" s="104"/>
      <c r="P215" s="97"/>
    </row>
    <row r="216" spans="3:16" x14ac:dyDescent="0.25">
      <c r="C216" s="17">
        <v>183</v>
      </c>
      <c r="D216" s="104"/>
      <c r="E216" s="312"/>
      <c r="F216" s="97"/>
      <c r="G216" s="97"/>
      <c r="H216" s="97"/>
      <c r="I216" s="36"/>
      <c r="J216" s="36"/>
      <c r="L216" s="104"/>
      <c r="M216" s="104"/>
      <c r="N216" s="104"/>
      <c r="O216" s="104"/>
      <c r="P216" s="97"/>
    </row>
    <row r="217" spans="3:16" x14ac:dyDescent="0.25">
      <c r="C217" s="17">
        <v>184</v>
      </c>
      <c r="D217" s="104"/>
      <c r="E217" s="312"/>
      <c r="F217" s="97"/>
      <c r="G217" s="97"/>
      <c r="H217" s="97"/>
      <c r="I217" s="36"/>
      <c r="J217" s="36"/>
      <c r="L217" s="104"/>
      <c r="M217" s="104"/>
      <c r="N217" s="104"/>
      <c r="O217" s="104"/>
      <c r="P217" s="97"/>
    </row>
    <row r="218" spans="3:16" x14ac:dyDescent="0.25">
      <c r="C218" s="17">
        <v>185</v>
      </c>
      <c r="D218" s="104"/>
      <c r="E218" s="312"/>
      <c r="F218" s="97"/>
      <c r="G218" s="97"/>
      <c r="H218" s="97"/>
      <c r="I218" s="36"/>
      <c r="J218" s="36"/>
      <c r="L218" s="104"/>
      <c r="M218" s="104"/>
      <c r="N218" s="104"/>
      <c r="O218" s="104"/>
      <c r="P218" s="97"/>
    </row>
    <row r="219" spans="3:16" x14ac:dyDescent="0.25">
      <c r="C219" s="17">
        <v>186</v>
      </c>
      <c r="D219" s="104"/>
      <c r="E219" s="312"/>
      <c r="F219" s="97"/>
      <c r="G219" s="97"/>
      <c r="H219" s="97"/>
      <c r="I219" s="36"/>
      <c r="J219" s="36"/>
      <c r="L219" s="104"/>
      <c r="M219" s="104"/>
      <c r="N219" s="104"/>
      <c r="O219" s="104"/>
      <c r="P219" s="97"/>
    </row>
    <row r="220" spans="3:16" x14ac:dyDescent="0.25">
      <c r="C220" s="17">
        <v>187</v>
      </c>
      <c r="D220" s="104"/>
      <c r="E220" s="312"/>
      <c r="F220" s="97"/>
      <c r="G220" s="97"/>
      <c r="H220" s="97"/>
      <c r="I220" s="36"/>
      <c r="J220" s="36"/>
      <c r="L220" s="104"/>
      <c r="M220" s="104"/>
      <c r="N220" s="104"/>
      <c r="O220" s="104"/>
      <c r="P220" s="97"/>
    </row>
    <row r="221" spans="3:16" x14ac:dyDescent="0.25">
      <c r="C221" s="17">
        <v>188</v>
      </c>
      <c r="D221" s="104"/>
      <c r="E221" s="312"/>
      <c r="F221" s="97"/>
      <c r="G221" s="97"/>
      <c r="H221" s="97"/>
      <c r="I221" s="36"/>
      <c r="J221" s="36"/>
      <c r="L221" s="104"/>
      <c r="M221" s="104"/>
      <c r="N221" s="104"/>
      <c r="O221" s="104"/>
      <c r="P221" s="97"/>
    </row>
    <row r="222" spans="3:16" x14ac:dyDescent="0.25">
      <c r="C222" s="17">
        <v>189</v>
      </c>
      <c r="D222" s="104"/>
      <c r="E222" s="312"/>
      <c r="F222" s="97"/>
      <c r="G222" s="97"/>
      <c r="H222" s="97"/>
      <c r="I222" s="36"/>
      <c r="J222" s="36"/>
      <c r="L222" s="104"/>
      <c r="M222" s="104"/>
      <c r="N222" s="104"/>
      <c r="O222" s="104"/>
      <c r="P222" s="97"/>
    </row>
    <row r="223" spans="3:16" x14ac:dyDescent="0.25">
      <c r="C223" s="17">
        <v>190</v>
      </c>
      <c r="D223" s="104"/>
      <c r="E223" s="312"/>
      <c r="F223" s="97"/>
      <c r="G223" s="97"/>
      <c r="H223" s="97"/>
      <c r="I223" s="36"/>
      <c r="J223" s="36"/>
      <c r="L223" s="104"/>
      <c r="M223" s="104"/>
      <c r="N223" s="104"/>
      <c r="O223" s="104"/>
      <c r="P223" s="97"/>
    </row>
    <row r="224" spans="3:16" x14ac:dyDescent="0.25">
      <c r="C224" s="17">
        <v>191</v>
      </c>
      <c r="D224" s="104"/>
      <c r="E224" s="312"/>
      <c r="F224" s="97"/>
      <c r="G224" s="97"/>
      <c r="H224" s="97"/>
      <c r="I224" s="36"/>
      <c r="J224" s="36"/>
      <c r="L224" s="104"/>
      <c r="M224" s="104"/>
      <c r="N224" s="104"/>
      <c r="O224" s="104"/>
      <c r="P224" s="97"/>
    </row>
    <row r="225" spans="3:16" x14ac:dyDescent="0.25">
      <c r="C225" s="17">
        <v>192</v>
      </c>
      <c r="D225" s="104"/>
      <c r="E225" s="312"/>
      <c r="F225" s="97"/>
      <c r="G225" s="97"/>
      <c r="H225" s="97"/>
      <c r="I225" s="36"/>
      <c r="J225" s="36"/>
      <c r="L225" s="104"/>
      <c r="M225" s="104"/>
      <c r="N225" s="104"/>
      <c r="O225" s="104"/>
      <c r="P225" s="97"/>
    </row>
    <row r="226" spans="3:16" x14ac:dyDescent="0.25">
      <c r="C226" s="17">
        <v>193</v>
      </c>
      <c r="D226" s="104"/>
      <c r="E226" s="312"/>
      <c r="F226" s="97"/>
      <c r="G226" s="97"/>
      <c r="H226" s="97"/>
      <c r="I226" s="36"/>
      <c r="J226" s="36"/>
      <c r="L226" s="104"/>
      <c r="M226" s="104"/>
      <c r="N226" s="104"/>
      <c r="O226" s="104"/>
      <c r="P226" s="97"/>
    </row>
    <row r="227" spans="3:16" x14ac:dyDescent="0.25">
      <c r="C227" s="17">
        <v>194</v>
      </c>
      <c r="D227" s="104"/>
      <c r="E227" s="312"/>
      <c r="F227" s="97"/>
      <c r="G227" s="97"/>
      <c r="H227" s="97"/>
      <c r="I227" s="36"/>
      <c r="J227" s="36"/>
      <c r="L227" s="104"/>
      <c r="M227" s="104"/>
      <c r="N227" s="104"/>
      <c r="O227" s="104"/>
      <c r="P227" s="97"/>
    </row>
    <row r="228" spans="3:16" x14ac:dyDescent="0.25">
      <c r="C228" s="17">
        <v>195</v>
      </c>
      <c r="D228" s="104"/>
      <c r="E228" s="312"/>
      <c r="F228" s="97"/>
      <c r="G228" s="97"/>
      <c r="H228" s="97"/>
      <c r="I228" s="36"/>
      <c r="J228" s="36"/>
      <c r="L228" s="104"/>
      <c r="M228" s="104"/>
      <c r="N228" s="104"/>
      <c r="O228" s="104"/>
      <c r="P228" s="97"/>
    </row>
    <row r="229" spans="3:16" x14ac:dyDescent="0.25">
      <c r="C229" s="17">
        <v>196</v>
      </c>
      <c r="D229" s="104"/>
      <c r="E229" s="312"/>
      <c r="F229" s="97"/>
      <c r="G229" s="97"/>
      <c r="H229" s="97"/>
      <c r="I229" s="36"/>
      <c r="J229" s="36"/>
      <c r="L229" s="104"/>
      <c r="M229" s="104"/>
      <c r="N229" s="104"/>
      <c r="O229" s="104"/>
      <c r="P229" s="97"/>
    </row>
    <row r="230" spans="3:16" x14ac:dyDescent="0.25">
      <c r="C230" s="17">
        <v>197</v>
      </c>
      <c r="D230" s="104"/>
      <c r="E230" s="312"/>
      <c r="F230" s="97"/>
      <c r="G230" s="97"/>
      <c r="H230" s="97"/>
      <c r="I230" s="36"/>
      <c r="J230" s="36"/>
      <c r="L230" s="104"/>
      <c r="M230" s="104"/>
      <c r="N230" s="104"/>
      <c r="O230" s="104"/>
      <c r="P230" s="97"/>
    </row>
    <row r="231" spans="3:16" x14ac:dyDescent="0.25">
      <c r="C231" s="17">
        <v>198</v>
      </c>
      <c r="D231" s="104"/>
      <c r="E231" s="312"/>
      <c r="F231" s="97"/>
      <c r="G231" s="97"/>
      <c r="H231" s="97"/>
      <c r="I231" s="36"/>
      <c r="J231" s="36"/>
      <c r="L231" s="104"/>
      <c r="M231" s="104"/>
      <c r="N231" s="104"/>
      <c r="O231" s="104"/>
      <c r="P231" s="97"/>
    </row>
    <row r="232" spans="3:16" x14ac:dyDescent="0.25">
      <c r="C232" s="17">
        <v>199</v>
      </c>
      <c r="D232" s="104"/>
      <c r="E232" s="312"/>
      <c r="F232" s="97"/>
      <c r="G232" s="97"/>
      <c r="H232" s="97"/>
      <c r="I232" s="36"/>
      <c r="J232" s="36"/>
      <c r="L232" s="104"/>
      <c r="M232" s="104"/>
      <c r="N232" s="104"/>
      <c r="O232" s="104"/>
      <c r="P232" s="97"/>
    </row>
    <row r="233" spans="3:16" x14ac:dyDescent="0.25">
      <c r="C233" s="17">
        <v>200</v>
      </c>
      <c r="D233" s="104"/>
      <c r="E233" s="312"/>
      <c r="F233" s="97"/>
      <c r="G233" s="97"/>
      <c r="H233" s="97"/>
      <c r="I233" s="36"/>
      <c r="J233" s="36"/>
      <c r="L233" s="104"/>
      <c r="M233" s="104"/>
      <c r="N233" s="104"/>
      <c r="O233" s="104"/>
      <c r="P233" s="97"/>
    </row>
    <row r="234" spans="3:16" x14ac:dyDescent="0.25">
      <c r="C234" s="17">
        <v>201</v>
      </c>
      <c r="D234" s="104"/>
      <c r="E234" s="312"/>
      <c r="F234" s="97"/>
      <c r="G234" s="97"/>
      <c r="H234" s="97"/>
      <c r="I234" s="36"/>
      <c r="J234" s="36"/>
      <c r="L234" s="104"/>
      <c r="M234" s="104"/>
      <c r="N234" s="104"/>
      <c r="O234" s="104"/>
      <c r="P234" s="97"/>
    </row>
    <row r="235" spans="3:16" x14ac:dyDescent="0.25">
      <c r="C235" s="17">
        <v>202</v>
      </c>
      <c r="D235" s="104"/>
      <c r="E235" s="312"/>
      <c r="F235" s="97"/>
      <c r="G235" s="97"/>
      <c r="H235" s="97"/>
      <c r="I235" s="36"/>
      <c r="J235" s="36"/>
      <c r="L235" s="104"/>
      <c r="M235" s="104"/>
      <c r="N235" s="104"/>
      <c r="O235" s="104"/>
      <c r="P235" s="97"/>
    </row>
    <row r="236" spans="3:16" x14ac:dyDescent="0.25">
      <c r="C236" s="17">
        <v>203</v>
      </c>
      <c r="D236" s="104"/>
      <c r="E236" s="312"/>
      <c r="F236" s="97"/>
      <c r="G236" s="97"/>
      <c r="H236" s="97"/>
      <c r="I236" s="36"/>
      <c r="J236" s="36"/>
      <c r="L236" s="104"/>
      <c r="M236" s="104"/>
      <c r="N236" s="104"/>
      <c r="O236" s="104"/>
      <c r="P236" s="97"/>
    </row>
    <row r="237" spans="3:16" x14ac:dyDescent="0.25">
      <c r="C237" s="17">
        <v>204</v>
      </c>
      <c r="D237" s="104"/>
      <c r="E237" s="312"/>
      <c r="F237" s="97"/>
      <c r="G237" s="97"/>
      <c r="H237" s="97"/>
      <c r="I237" s="36"/>
      <c r="J237" s="36"/>
      <c r="L237" s="104"/>
      <c r="M237" s="104"/>
      <c r="N237" s="104"/>
      <c r="O237" s="104"/>
      <c r="P237" s="97"/>
    </row>
    <row r="238" spans="3:16" x14ac:dyDescent="0.25">
      <c r="C238" s="17">
        <v>205</v>
      </c>
      <c r="D238" s="104"/>
      <c r="E238" s="312"/>
      <c r="F238" s="97"/>
      <c r="G238" s="97"/>
      <c r="H238" s="97"/>
      <c r="I238" s="36"/>
      <c r="J238" s="36"/>
      <c r="L238" s="104"/>
      <c r="M238" s="104"/>
      <c r="N238" s="104"/>
      <c r="O238" s="104"/>
      <c r="P238" s="97"/>
    </row>
    <row r="239" spans="3:16" x14ac:dyDescent="0.25">
      <c r="C239" s="17">
        <v>206</v>
      </c>
      <c r="D239" s="104"/>
      <c r="E239" s="312"/>
      <c r="F239" s="97"/>
      <c r="G239" s="97"/>
      <c r="H239" s="97"/>
      <c r="I239" s="36"/>
      <c r="J239" s="36"/>
      <c r="L239" s="104"/>
      <c r="M239" s="104"/>
      <c r="N239" s="104"/>
      <c r="O239" s="104"/>
      <c r="P239" s="97"/>
    </row>
    <row r="240" spans="3:16" x14ac:dyDescent="0.25">
      <c r="C240" s="17">
        <v>207</v>
      </c>
      <c r="D240" s="104"/>
      <c r="E240" s="312"/>
      <c r="F240" s="97"/>
      <c r="G240" s="97"/>
      <c r="H240" s="97"/>
      <c r="I240" s="36"/>
      <c r="J240" s="36"/>
      <c r="L240" s="104"/>
      <c r="M240" s="104"/>
      <c r="N240" s="104"/>
      <c r="O240" s="104"/>
      <c r="P240" s="97"/>
    </row>
    <row r="241" spans="3:16" x14ac:dyDescent="0.25">
      <c r="C241" s="17">
        <v>208</v>
      </c>
      <c r="D241" s="104"/>
      <c r="E241" s="312"/>
      <c r="F241" s="97"/>
      <c r="G241" s="97"/>
      <c r="H241" s="97"/>
      <c r="I241" s="36"/>
      <c r="J241" s="36"/>
      <c r="L241" s="104"/>
      <c r="M241" s="104"/>
      <c r="N241" s="104"/>
      <c r="O241" s="104"/>
      <c r="P241" s="97"/>
    </row>
    <row r="242" spans="3:16" x14ac:dyDescent="0.25">
      <c r="C242" s="17">
        <v>209</v>
      </c>
      <c r="D242" s="104"/>
      <c r="E242" s="312"/>
      <c r="F242" s="97"/>
      <c r="G242" s="97"/>
      <c r="H242" s="97"/>
      <c r="I242" s="36"/>
      <c r="J242" s="36"/>
      <c r="L242" s="104"/>
      <c r="M242" s="104"/>
      <c r="N242" s="104"/>
      <c r="O242" s="104"/>
      <c r="P242" s="97"/>
    </row>
    <row r="243" spans="3:16" x14ac:dyDescent="0.25">
      <c r="C243" s="17">
        <v>210</v>
      </c>
      <c r="D243" s="104"/>
      <c r="E243" s="312"/>
      <c r="F243" s="97"/>
      <c r="G243" s="97"/>
      <c r="H243" s="97"/>
      <c r="I243" s="36"/>
      <c r="J243" s="36"/>
      <c r="L243" s="104"/>
      <c r="M243" s="104"/>
      <c r="N243" s="104"/>
      <c r="O243" s="104"/>
      <c r="P243" s="97"/>
    </row>
    <row r="244" spans="3:16" x14ac:dyDescent="0.25">
      <c r="C244" s="17">
        <v>211</v>
      </c>
      <c r="D244" s="104"/>
      <c r="E244" s="312"/>
      <c r="F244" s="97"/>
      <c r="G244" s="97"/>
      <c r="H244" s="97"/>
      <c r="I244" s="36"/>
      <c r="J244" s="36"/>
      <c r="L244" s="104"/>
      <c r="M244" s="104"/>
      <c r="N244" s="104"/>
      <c r="O244" s="104"/>
      <c r="P244" s="97"/>
    </row>
    <row r="245" spans="3:16" x14ac:dyDescent="0.25">
      <c r="C245" s="17">
        <v>212</v>
      </c>
      <c r="D245" s="104"/>
      <c r="E245" s="312"/>
      <c r="F245" s="97"/>
      <c r="G245" s="97"/>
      <c r="H245" s="97"/>
      <c r="I245" s="36"/>
      <c r="J245" s="36"/>
      <c r="L245" s="104"/>
      <c r="M245" s="104"/>
      <c r="N245" s="104"/>
      <c r="O245" s="104"/>
      <c r="P245" s="97"/>
    </row>
    <row r="246" spans="3:16" x14ac:dyDescent="0.25">
      <c r="C246" s="17">
        <v>213</v>
      </c>
      <c r="D246" s="104"/>
      <c r="E246" s="312"/>
      <c r="F246" s="97"/>
      <c r="G246" s="97"/>
      <c r="H246" s="97"/>
      <c r="I246" s="36"/>
      <c r="J246" s="36"/>
      <c r="L246" s="104"/>
      <c r="M246" s="104"/>
      <c r="N246" s="104"/>
      <c r="O246" s="104"/>
      <c r="P246" s="97"/>
    </row>
    <row r="247" spans="3:16" x14ac:dyDescent="0.25">
      <c r="C247" s="17">
        <v>214</v>
      </c>
      <c r="D247" s="104"/>
      <c r="E247" s="312"/>
      <c r="F247" s="97"/>
      <c r="G247" s="97"/>
      <c r="H247" s="97"/>
      <c r="I247" s="36"/>
      <c r="J247" s="36"/>
      <c r="L247" s="104"/>
      <c r="M247" s="104"/>
      <c r="N247" s="104"/>
      <c r="O247" s="104"/>
      <c r="P247" s="97"/>
    </row>
    <row r="248" spans="3:16" x14ac:dyDescent="0.25">
      <c r="C248" s="17">
        <v>215</v>
      </c>
      <c r="D248" s="104"/>
      <c r="E248" s="312"/>
      <c r="F248" s="97"/>
      <c r="G248" s="97"/>
      <c r="H248" s="97"/>
      <c r="I248" s="36"/>
      <c r="J248" s="36"/>
      <c r="L248" s="104"/>
      <c r="M248" s="104"/>
      <c r="N248" s="104"/>
      <c r="O248" s="104"/>
      <c r="P248" s="97"/>
    </row>
    <row r="249" spans="3:16" x14ac:dyDescent="0.25">
      <c r="C249" s="17">
        <v>216</v>
      </c>
      <c r="D249" s="104"/>
      <c r="E249" s="312"/>
      <c r="F249" s="97"/>
      <c r="G249" s="97"/>
      <c r="H249" s="97"/>
      <c r="I249" s="36"/>
      <c r="J249" s="36"/>
      <c r="L249" s="104"/>
      <c r="M249" s="104"/>
      <c r="N249" s="104"/>
      <c r="O249" s="104"/>
      <c r="P249" s="97"/>
    </row>
    <row r="250" spans="3:16" x14ac:dyDescent="0.25">
      <c r="C250" s="17">
        <v>217</v>
      </c>
      <c r="D250" s="104"/>
      <c r="E250" s="312"/>
      <c r="F250" s="97"/>
      <c r="G250" s="97"/>
      <c r="H250" s="97"/>
      <c r="I250" s="36"/>
      <c r="J250" s="36"/>
      <c r="L250" s="104"/>
      <c r="M250" s="104"/>
      <c r="N250" s="104"/>
      <c r="O250" s="104"/>
      <c r="P250" s="97"/>
    </row>
    <row r="251" spans="3:16" x14ac:dyDescent="0.25">
      <c r="C251" s="17">
        <v>218</v>
      </c>
      <c r="D251" s="104"/>
      <c r="E251" s="312"/>
      <c r="F251" s="97"/>
      <c r="G251" s="97"/>
      <c r="H251" s="97"/>
      <c r="I251" s="36"/>
      <c r="J251" s="36"/>
      <c r="L251" s="104"/>
      <c r="M251" s="104"/>
      <c r="N251" s="104"/>
      <c r="O251" s="104"/>
      <c r="P251" s="97"/>
    </row>
    <row r="252" spans="3:16" x14ac:dyDescent="0.25">
      <c r="C252" s="17">
        <v>219</v>
      </c>
      <c r="D252" s="104"/>
      <c r="E252" s="312"/>
      <c r="F252" s="97"/>
      <c r="G252" s="97"/>
      <c r="H252" s="97"/>
      <c r="I252" s="36"/>
      <c r="J252" s="36"/>
      <c r="L252" s="104"/>
      <c r="M252" s="104"/>
      <c r="N252" s="104"/>
      <c r="O252" s="104"/>
      <c r="P252" s="97"/>
    </row>
    <row r="253" spans="3:16" x14ac:dyDescent="0.25">
      <c r="C253" s="17">
        <v>220</v>
      </c>
      <c r="D253" s="104"/>
      <c r="E253" s="312"/>
      <c r="F253" s="97"/>
      <c r="G253" s="97"/>
      <c r="H253" s="97"/>
      <c r="I253" s="36"/>
      <c r="J253" s="36"/>
      <c r="L253" s="104"/>
      <c r="M253" s="104"/>
      <c r="N253" s="104"/>
      <c r="O253" s="104"/>
      <c r="P253" s="97"/>
    </row>
    <row r="254" spans="3:16" x14ac:dyDescent="0.25">
      <c r="C254" s="17">
        <v>221</v>
      </c>
      <c r="D254" s="104"/>
      <c r="E254" s="312"/>
      <c r="F254" s="97"/>
      <c r="G254" s="97"/>
      <c r="H254" s="97"/>
      <c r="I254" s="36"/>
      <c r="J254" s="36"/>
      <c r="L254" s="104"/>
      <c r="M254" s="104"/>
      <c r="N254" s="104"/>
      <c r="O254" s="104"/>
      <c r="P254" s="97"/>
    </row>
    <row r="255" spans="3:16" x14ac:dyDescent="0.25">
      <c r="C255" s="17">
        <v>222</v>
      </c>
      <c r="D255" s="104"/>
      <c r="E255" s="312"/>
      <c r="F255" s="97"/>
      <c r="G255" s="97"/>
      <c r="H255" s="97"/>
      <c r="I255" s="36"/>
      <c r="J255" s="36"/>
      <c r="L255" s="104"/>
      <c r="M255" s="104"/>
      <c r="N255" s="104"/>
      <c r="O255" s="104"/>
      <c r="P255" s="97"/>
    </row>
    <row r="256" spans="3:16" x14ac:dyDescent="0.25">
      <c r="C256" s="17">
        <v>223</v>
      </c>
      <c r="D256" s="104"/>
      <c r="E256" s="312"/>
      <c r="F256" s="97"/>
      <c r="G256" s="97"/>
      <c r="H256" s="97"/>
      <c r="I256" s="36"/>
      <c r="J256" s="36"/>
      <c r="L256" s="104"/>
      <c r="M256" s="104"/>
      <c r="N256" s="104"/>
      <c r="O256" s="104"/>
      <c r="P256" s="97"/>
    </row>
    <row r="257" spans="3:16" x14ac:dyDescent="0.25">
      <c r="C257" s="17">
        <v>224</v>
      </c>
      <c r="D257" s="104"/>
      <c r="E257" s="312"/>
      <c r="F257" s="97"/>
      <c r="G257" s="97"/>
      <c r="H257" s="97"/>
      <c r="I257" s="36"/>
      <c r="J257" s="36"/>
      <c r="L257" s="104"/>
      <c r="M257" s="104"/>
      <c r="N257" s="104"/>
      <c r="O257" s="104"/>
      <c r="P257" s="97"/>
    </row>
    <row r="258" spans="3:16" x14ac:dyDescent="0.25">
      <c r="C258" s="17">
        <v>225</v>
      </c>
      <c r="D258" s="104"/>
      <c r="E258" s="312"/>
      <c r="F258" s="97"/>
      <c r="G258" s="97"/>
      <c r="H258" s="97"/>
      <c r="I258" s="36"/>
      <c r="J258" s="36"/>
      <c r="L258" s="104"/>
      <c r="M258" s="104"/>
      <c r="N258" s="104"/>
      <c r="O258" s="104"/>
      <c r="P258" s="97"/>
    </row>
    <row r="259" spans="3:16" x14ac:dyDescent="0.25">
      <c r="C259" s="17">
        <v>226</v>
      </c>
      <c r="D259" s="104"/>
      <c r="E259" s="312"/>
      <c r="F259" s="97"/>
      <c r="G259" s="97"/>
      <c r="H259" s="97"/>
      <c r="I259" s="36"/>
      <c r="J259" s="36"/>
      <c r="L259" s="104"/>
      <c r="M259" s="104"/>
      <c r="N259" s="104"/>
      <c r="O259" s="104"/>
      <c r="P259" s="97"/>
    </row>
    <row r="260" spans="3:16" x14ac:dyDescent="0.25">
      <c r="C260" s="17">
        <v>227</v>
      </c>
      <c r="D260" s="104"/>
      <c r="E260" s="312"/>
      <c r="F260" s="97"/>
      <c r="G260" s="97"/>
      <c r="H260" s="97"/>
      <c r="I260" s="36"/>
      <c r="J260" s="36"/>
      <c r="L260" s="104"/>
      <c r="M260" s="104"/>
      <c r="N260" s="104"/>
      <c r="O260" s="104"/>
      <c r="P260" s="97"/>
    </row>
    <row r="261" spans="3:16" x14ac:dyDescent="0.25">
      <c r="C261" s="17">
        <v>228</v>
      </c>
      <c r="D261" s="104"/>
      <c r="E261" s="312"/>
      <c r="F261" s="97"/>
      <c r="G261" s="97"/>
      <c r="H261" s="97"/>
      <c r="I261" s="36"/>
      <c r="J261" s="36"/>
      <c r="L261" s="104"/>
      <c r="M261" s="104"/>
      <c r="N261" s="104"/>
      <c r="O261" s="104"/>
      <c r="P261" s="97"/>
    </row>
    <row r="262" spans="3:16" x14ac:dyDescent="0.25">
      <c r="C262" s="17">
        <v>229</v>
      </c>
      <c r="D262" s="104"/>
      <c r="E262" s="312"/>
      <c r="F262" s="97"/>
      <c r="G262" s="97"/>
      <c r="H262" s="97"/>
      <c r="I262" s="36"/>
      <c r="J262" s="36"/>
      <c r="L262" s="104"/>
      <c r="M262" s="104"/>
      <c r="N262" s="104"/>
      <c r="O262" s="104"/>
      <c r="P262" s="97"/>
    </row>
    <row r="263" spans="3:16" x14ac:dyDescent="0.25">
      <c r="C263" s="17">
        <v>230</v>
      </c>
      <c r="D263" s="104"/>
      <c r="E263" s="312"/>
      <c r="F263" s="97"/>
      <c r="G263" s="97"/>
      <c r="H263" s="97"/>
      <c r="I263" s="36"/>
      <c r="J263" s="36"/>
      <c r="L263" s="104"/>
      <c r="M263" s="104"/>
      <c r="N263" s="104"/>
      <c r="O263" s="104"/>
      <c r="P263" s="97"/>
    </row>
    <row r="264" spans="3:16" x14ac:dyDescent="0.25">
      <c r="C264" s="17">
        <v>231</v>
      </c>
      <c r="D264" s="104"/>
      <c r="E264" s="312"/>
      <c r="F264" s="97"/>
      <c r="G264" s="97"/>
      <c r="H264" s="97"/>
      <c r="I264" s="36"/>
      <c r="J264" s="36"/>
      <c r="L264" s="104"/>
      <c r="M264" s="104"/>
      <c r="N264" s="104"/>
      <c r="O264" s="104"/>
      <c r="P264" s="97"/>
    </row>
    <row r="265" spans="3:16" x14ac:dyDescent="0.25">
      <c r="C265" s="17">
        <v>232</v>
      </c>
      <c r="D265" s="104"/>
      <c r="E265" s="312"/>
      <c r="F265" s="97"/>
      <c r="G265" s="97"/>
      <c r="H265" s="97"/>
      <c r="I265" s="36"/>
      <c r="J265" s="36"/>
      <c r="L265" s="104"/>
      <c r="M265" s="104"/>
      <c r="N265" s="104"/>
      <c r="O265" s="104"/>
      <c r="P265" s="97"/>
    </row>
    <row r="266" spans="3:16" x14ac:dyDescent="0.25">
      <c r="C266" s="17">
        <v>233</v>
      </c>
      <c r="D266" s="104"/>
      <c r="E266" s="312"/>
      <c r="F266" s="97"/>
      <c r="G266" s="97"/>
      <c r="H266" s="97"/>
      <c r="I266" s="36"/>
      <c r="J266" s="36"/>
      <c r="L266" s="104"/>
      <c r="M266" s="104"/>
      <c r="N266" s="104"/>
      <c r="O266" s="104"/>
      <c r="P266" s="97"/>
    </row>
    <row r="267" spans="3:16" x14ac:dyDescent="0.25">
      <c r="C267" s="17">
        <v>234</v>
      </c>
      <c r="D267" s="104"/>
      <c r="E267" s="312"/>
      <c r="F267" s="97"/>
      <c r="G267" s="97"/>
      <c r="H267" s="97"/>
      <c r="I267" s="36"/>
      <c r="J267" s="36"/>
      <c r="L267" s="104"/>
      <c r="M267" s="104"/>
      <c r="N267" s="104"/>
      <c r="O267" s="104"/>
      <c r="P267" s="97"/>
    </row>
    <row r="268" spans="3:16" x14ac:dyDescent="0.25">
      <c r="C268" s="17">
        <v>235</v>
      </c>
      <c r="D268" s="104"/>
      <c r="E268" s="312"/>
      <c r="F268" s="97"/>
      <c r="G268" s="97"/>
      <c r="H268" s="97"/>
      <c r="I268" s="36"/>
      <c r="J268" s="36"/>
      <c r="L268" s="104"/>
      <c r="M268" s="104"/>
      <c r="N268" s="104"/>
      <c r="O268" s="104"/>
      <c r="P268" s="97"/>
    </row>
    <row r="269" spans="3:16" x14ac:dyDescent="0.25">
      <c r="C269" s="17">
        <v>236</v>
      </c>
      <c r="D269" s="104"/>
      <c r="E269" s="312"/>
      <c r="F269" s="97"/>
      <c r="G269" s="97"/>
      <c r="H269" s="97"/>
      <c r="I269" s="36"/>
      <c r="J269" s="36"/>
      <c r="L269" s="104"/>
      <c r="M269" s="104"/>
      <c r="N269" s="104"/>
      <c r="O269" s="104"/>
      <c r="P269" s="97"/>
    </row>
    <row r="270" spans="3:16" x14ac:dyDescent="0.25">
      <c r="C270" s="17">
        <v>237</v>
      </c>
      <c r="D270" s="104"/>
      <c r="E270" s="312"/>
      <c r="F270" s="97"/>
      <c r="G270" s="97"/>
      <c r="H270" s="97"/>
      <c r="I270" s="36"/>
      <c r="J270" s="36"/>
      <c r="L270" s="104"/>
      <c r="M270" s="104"/>
      <c r="N270" s="104"/>
      <c r="O270" s="104"/>
      <c r="P270" s="97"/>
    </row>
    <row r="271" spans="3:16" x14ac:dyDescent="0.25">
      <c r="C271" s="17">
        <v>238</v>
      </c>
      <c r="D271" s="104"/>
      <c r="E271" s="312"/>
      <c r="F271" s="97"/>
      <c r="G271" s="97"/>
      <c r="H271" s="97"/>
      <c r="I271" s="36"/>
      <c r="J271" s="36"/>
      <c r="L271" s="104"/>
      <c r="M271" s="104"/>
      <c r="N271" s="104"/>
      <c r="O271" s="104"/>
      <c r="P271" s="97"/>
    </row>
    <row r="272" spans="3:16" x14ac:dyDescent="0.25">
      <c r="C272" s="17">
        <v>239</v>
      </c>
      <c r="D272" s="104"/>
      <c r="E272" s="312"/>
      <c r="F272" s="97"/>
      <c r="G272" s="97"/>
      <c r="H272" s="97"/>
      <c r="I272" s="36"/>
      <c r="J272" s="36"/>
      <c r="L272" s="104"/>
      <c r="M272" s="104"/>
      <c r="N272" s="104"/>
      <c r="O272" s="104"/>
      <c r="P272" s="97"/>
    </row>
    <row r="273" spans="3:16" x14ac:dyDescent="0.25">
      <c r="C273" s="17">
        <v>240</v>
      </c>
      <c r="D273" s="104"/>
      <c r="E273" s="312"/>
      <c r="F273" s="97"/>
      <c r="G273" s="97"/>
      <c r="H273" s="97"/>
      <c r="I273" s="36"/>
      <c r="J273" s="36"/>
      <c r="L273" s="104"/>
      <c r="M273" s="104"/>
      <c r="N273" s="104"/>
      <c r="O273" s="104"/>
      <c r="P273" s="97"/>
    </row>
    <row r="274" spans="3:16" x14ac:dyDescent="0.25">
      <c r="C274" s="17">
        <v>241</v>
      </c>
      <c r="D274" s="104"/>
      <c r="E274" s="312"/>
      <c r="F274" s="97"/>
      <c r="G274" s="97"/>
      <c r="H274" s="97"/>
      <c r="I274" s="36"/>
      <c r="J274" s="36"/>
      <c r="L274" s="104"/>
      <c r="M274" s="104"/>
      <c r="N274" s="104"/>
      <c r="O274" s="104"/>
      <c r="P274" s="97"/>
    </row>
    <row r="275" spans="3:16" x14ac:dyDescent="0.25">
      <c r="C275" s="17">
        <v>242</v>
      </c>
      <c r="D275" s="104"/>
      <c r="E275" s="312"/>
      <c r="F275" s="97"/>
      <c r="G275" s="97"/>
      <c r="H275" s="97"/>
      <c r="I275" s="36"/>
      <c r="J275" s="36"/>
      <c r="L275" s="104"/>
      <c r="M275" s="104"/>
      <c r="N275" s="104"/>
      <c r="O275" s="104"/>
      <c r="P275" s="97"/>
    </row>
    <row r="276" spans="3:16" x14ac:dyDescent="0.25">
      <c r="C276" s="17">
        <v>243</v>
      </c>
      <c r="D276" s="104"/>
      <c r="E276" s="312"/>
      <c r="F276" s="97"/>
      <c r="G276" s="97"/>
      <c r="H276" s="97"/>
      <c r="I276" s="36"/>
      <c r="J276" s="36"/>
      <c r="L276" s="104"/>
      <c r="M276" s="104"/>
      <c r="N276" s="104"/>
      <c r="O276" s="104"/>
      <c r="P276" s="97"/>
    </row>
    <row r="277" spans="3:16" x14ac:dyDescent="0.25">
      <c r="C277" s="17">
        <v>244</v>
      </c>
      <c r="D277" s="104"/>
      <c r="E277" s="312"/>
      <c r="F277" s="97"/>
      <c r="G277" s="97"/>
      <c r="H277" s="97"/>
      <c r="I277" s="36"/>
      <c r="J277" s="36"/>
      <c r="L277" s="104"/>
      <c r="M277" s="104"/>
      <c r="N277" s="104"/>
      <c r="O277" s="104"/>
      <c r="P277" s="97"/>
    </row>
    <row r="278" spans="3:16" x14ac:dyDescent="0.25">
      <c r="C278" s="17">
        <v>245</v>
      </c>
      <c r="D278" s="104"/>
      <c r="E278" s="312"/>
      <c r="F278" s="97"/>
      <c r="G278" s="97"/>
      <c r="H278" s="97"/>
      <c r="I278" s="36"/>
      <c r="J278" s="36"/>
      <c r="L278" s="104"/>
      <c r="M278" s="104"/>
      <c r="N278" s="104"/>
      <c r="O278" s="104"/>
      <c r="P278" s="97"/>
    </row>
    <row r="279" spans="3:16" x14ac:dyDescent="0.25">
      <c r="C279" s="17">
        <v>246</v>
      </c>
      <c r="D279" s="104"/>
      <c r="E279" s="312"/>
      <c r="F279" s="97"/>
      <c r="G279" s="97"/>
      <c r="H279" s="97"/>
      <c r="I279" s="36"/>
      <c r="J279" s="36"/>
      <c r="L279" s="104"/>
      <c r="M279" s="104"/>
      <c r="N279" s="104"/>
      <c r="O279" s="104"/>
      <c r="P279" s="97"/>
    </row>
    <row r="280" spans="3:16" x14ac:dyDescent="0.25">
      <c r="C280" s="17">
        <v>247</v>
      </c>
      <c r="D280" s="104"/>
      <c r="E280" s="312"/>
      <c r="F280" s="97"/>
      <c r="G280" s="97"/>
      <c r="H280" s="97"/>
      <c r="I280" s="36"/>
      <c r="J280" s="36"/>
      <c r="L280" s="104"/>
      <c r="M280" s="104"/>
      <c r="N280" s="104"/>
      <c r="O280" s="104"/>
      <c r="P280" s="97"/>
    </row>
    <row r="281" spans="3:16" x14ac:dyDescent="0.25">
      <c r="C281" s="17">
        <v>248</v>
      </c>
      <c r="D281" s="104"/>
      <c r="E281" s="312"/>
      <c r="F281" s="97"/>
      <c r="G281" s="97"/>
      <c r="H281" s="97"/>
      <c r="I281" s="36"/>
      <c r="J281" s="36"/>
      <c r="L281" s="104"/>
      <c r="M281" s="104"/>
      <c r="N281" s="104"/>
      <c r="O281" s="104"/>
      <c r="P281" s="97"/>
    </row>
    <row r="282" spans="3:16" x14ac:dyDescent="0.25">
      <c r="C282" s="17">
        <v>249</v>
      </c>
      <c r="D282" s="104"/>
      <c r="E282" s="312"/>
      <c r="F282" s="97"/>
      <c r="G282" s="97"/>
      <c r="H282" s="97"/>
      <c r="I282" s="36"/>
      <c r="J282" s="36"/>
      <c r="L282" s="104"/>
      <c r="M282" s="104"/>
      <c r="N282" s="104"/>
      <c r="O282" s="104"/>
      <c r="P282" s="97"/>
    </row>
    <row r="283" spans="3:16" x14ac:dyDescent="0.25">
      <c r="C283" s="17">
        <v>250</v>
      </c>
      <c r="D283" s="104"/>
      <c r="E283" s="312"/>
      <c r="F283" s="97"/>
      <c r="G283" s="97"/>
      <c r="H283" s="97"/>
      <c r="I283" s="36"/>
      <c r="J283" s="36"/>
      <c r="L283" s="104"/>
      <c r="M283" s="104"/>
      <c r="N283" s="104"/>
      <c r="O283" s="104"/>
      <c r="P283" s="97"/>
    </row>
    <row r="284" spans="3:16" x14ac:dyDescent="0.25">
      <c r="C284" s="17">
        <v>251</v>
      </c>
      <c r="D284" s="104"/>
      <c r="E284" s="312"/>
      <c r="F284" s="97"/>
      <c r="G284" s="97"/>
      <c r="H284" s="97"/>
      <c r="I284" s="36"/>
      <c r="J284" s="36"/>
      <c r="L284" s="104"/>
      <c r="M284" s="104"/>
      <c r="N284" s="104"/>
      <c r="O284" s="104"/>
      <c r="P284" s="97"/>
    </row>
    <row r="285" spans="3:16" x14ac:dyDescent="0.25">
      <c r="C285" s="17">
        <v>252</v>
      </c>
      <c r="D285" s="104"/>
      <c r="E285" s="312"/>
      <c r="F285" s="97"/>
      <c r="G285" s="97"/>
      <c r="H285" s="97"/>
      <c r="I285" s="36"/>
      <c r="J285" s="36"/>
      <c r="L285" s="104"/>
      <c r="M285" s="104"/>
      <c r="N285" s="104"/>
      <c r="O285" s="104"/>
      <c r="P285" s="97"/>
    </row>
    <row r="286" spans="3:16" x14ac:dyDescent="0.25">
      <c r="C286" s="17">
        <v>253</v>
      </c>
      <c r="D286" s="104"/>
      <c r="E286" s="312"/>
      <c r="F286" s="97"/>
      <c r="G286" s="97"/>
      <c r="H286" s="97"/>
      <c r="I286" s="36"/>
      <c r="J286" s="36"/>
      <c r="L286" s="104"/>
      <c r="M286" s="104"/>
      <c r="N286" s="104"/>
      <c r="O286" s="104"/>
      <c r="P286" s="97"/>
    </row>
    <row r="287" spans="3:16" x14ac:dyDescent="0.25">
      <c r="C287" s="17">
        <v>254</v>
      </c>
      <c r="D287" s="104"/>
      <c r="E287" s="312"/>
      <c r="F287" s="97"/>
      <c r="G287" s="97"/>
      <c r="H287" s="97"/>
      <c r="I287" s="36"/>
      <c r="J287" s="36"/>
      <c r="L287" s="104"/>
      <c r="M287" s="104"/>
      <c r="N287" s="104"/>
      <c r="O287" s="104"/>
      <c r="P287" s="97"/>
    </row>
    <row r="288" spans="3:16" x14ac:dyDescent="0.25">
      <c r="C288" s="17">
        <v>255</v>
      </c>
      <c r="D288" s="104"/>
      <c r="E288" s="312"/>
      <c r="F288" s="97"/>
      <c r="G288" s="97"/>
      <c r="H288" s="97"/>
      <c r="I288" s="36"/>
      <c r="J288" s="36"/>
      <c r="L288" s="104"/>
      <c r="M288" s="104"/>
      <c r="N288" s="104"/>
      <c r="O288" s="104"/>
      <c r="P288" s="97"/>
    </row>
    <row r="289" spans="3:16" x14ac:dyDescent="0.25">
      <c r="C289" s="17">
        <v>256</v>
      </c>
      <c r="D289" s="104"/>
      <c r="E289" s="312"/>
      <c r="F289" s="97"/>
      <c r="G289" s="97"/>
      <c r="H289" s="97"/>
      <c r="I289" s="36"/>
      <c r="J289" s="36"/>
      <c r="L289" s="104"/>
      <c r="M289" s="104"/>
      <c r="N289" s="104"/>
      <c r="O289" s="104"/>
      <c r="P289" s="97"/>
    </row>
    <row r="290" spans="3:16" x14ac:dyDescent="0.25">
      <c r="C290" s="17">
        <v>257</v>
      </c>
      <c r="D290" s="104"/>
      <c r="E290" s="312"/>
      <c r="F290" s="97"/>
      <c r="G290" s="97"/>
      <c r="H290" s="97"/>
      <c r="I290" s="36"/>
      <c r="J290" s="36"/>
      <c r="L290" s="104"/>
      <c r="M290" s="104"/>
      <c r="N290" s="104"/>
      <c r="O290" s="104"/>
      <c r="P290" s="97"/>
    </row>
    <row r="291" spans="3:16" x14ac:dyDescent="0.25">
      <c r="C291" s="17">
        <v>258</v>
      </c>
      <c r="D291" s="104"/>
      <c r="E291" s="312"/>
      <c r="F291" s="97"/>
      <c r="G291" s="97"/>
      <c r="H291" s="97"/>
      <c r="I291" s="36"/>
      <c r="J291" s="36"/>
      <c r="L291" s="104"/>
      <c r="M291" s="104"/>
      <c r="N291" s="104"/>
      <c r="O291" s="104"/>
      <c r="P291" s="97"/>
    </row>
    <row r="292" spans="3:16" x14ac:dyDescent="0.25">
      <c r="C292" s="17">
        <v>259</v>
      </c>
      <c r="D292" s="104"/>
      <c r="E292" s="312"/>
      <c r="F292" s="97"/>
      <c r="G292" s="97"/>
      <c r="H292" s="97"/>
      <c r="I292" s="36"/>
      <c r="J292" s="36"/>
      <c r="L292" s="104"/>
      <c r="M292" s="104"/>
      <c r="N292" s="104"/>
      <c r="O292" s="104"/>
      <c r="P292" s="97"/>
    </row>
    <row r="293" spans="3:16" x14ac:dyDescent="0.25">
      <c r="C293" s="17">
        <v>260</v>
      </c>
      <c r="D293" s="104"/>
      <c r="E293" s="312"/>
      <c r="F293" s="97"/>
      <c r="G293" s="97"/>
      <c r="H293" s="97"/>
      <c r="I293" s="36"/>
      <c r="J293" s="36"/>
      <c r="L293" s="104"/>
      <c r="M293" s="104"/>
      <c r="N293" s="104"/>
      <c r="O293" s="104"/>
      <c r="P293" s="97"/>
    </row>
    <row r="294" spans="3:16" x14ac:dyDescent="0.25">
      <c r="C294" s="17">
        <v>261</v>
      </c>
      <c r="D294" s="104"/>
      <c r="E294" s="312"/>
      <c r="F294" s="97"/>
      <c r="G294" s="97"/>
      <c r="H294" s="97"/>
      <c r="I294" s="36"/>
      <c r="J294" s="36"/>
      <c r="L294" s="104"/>
      <c r="M294" s="104"/>
      <c r="N294" s="104"/>
      <c r="O294" s="104"/>
      <c r="P294" s="97"/>
    </row>
    <row r="295" spans="3:16" x14ac:dyDescent="0.25">
      <c r="C295" s="17">
        <v>262</v>
      </c>
      <c r="D295" s="104"/>
      <c r="E295" s="312"/>
      <c r="F295" s="97"/>
      <c r="G295" s="97"/>
      <c r="H295" s="97"/>
      <c r="I295" s="36"/>
      <c r="J295" s="36"/>
      <c r="L295" s="104"/>
      <c r="M295" s="104"/>
      <c r="N295" s="104"/>
      <c r="O295" s="104"/>
      <c r="P295" s="97"/>
    </row>
    <row r="296" spans="3:16" x14ac:dyDescent="0.25">
      <c r="C296" s="17">
        <v>263</v>
      </c>
      <c r="D296" s="104"/>
      <c r="E296" s="312"/>
      <c r="F296" s="97"/>
      <c r="G296" s="97"/>
      <c r="H296" s="97"/>
      <c r="I296" s="36"/>
      <c r="J296" s="36"/>
      <c r="L296" s="104"/>
      <c r="M296" s="104"/>
      <c r="N296" s="104"/>
      <c r="O296" s="104"/>
      <c r="P296" s="97"/>
    </row>
    <row r="297" spans="3:16" x14ac:dyDescent="0.25">
      <c r="C297" s="17">
        <v>264</v>
      </c>
      <c r="D297" s="104"/>
      <c r="E297" s="312"/>
      <c r="F297" s="97"/>
      <c r="G297" s="97"/>
      <c r="H297" s="97"/>
      <c r="I297" s="36"/>
      <c r="J297" s="36"/>
      <c r="L297" s="104"/>
      <c r="M297" s="104"/>
      <c r="N297" s="104"/>
      <c r="O297" s="104"/>
      <c r="P297" s="97"/>
    </row>
    <row r="298" spans="3:16" x14ac:dyDescent="0.25">
      <c r="C298" s="17">
        <v>265</v>
      </c>
      <c r="D298" s="104"/>
      <c r="E298" s="312"/>
      <c r="F298" s="97"/>
      <c r="G298" s="97"/>
      <c r="H298" s="97"/>
      <c r="I298" s="36"/>
      <c r="J298" s="36"/>
      <c r="L298" s="104"/>
      <c r="M298" s="104"/>
      <c r="N298" s="104"/>
      <c r="O298" s="104"/>
      <c r="P298" s="97"/>
    </row>
    <row r="299" spans="3:16" x14ac:dyDescent="0.25">
      <c r="C299" s="17">
        <v>266</v>
      </c>
      <c r="D299" s="104"/>
      <c r="E299" s="312"/>
      <c r="F299" s="97"/>
      <c r="G299" s="97"/>
      <c r="H299" s="97"/>
      <c r="I299" s="36"/>
      <c r="J299" s="36"/>
      <c r="L299" s="104"/>
      <c r="M299" s="104"/>
      <c r="N299" s="104"/>
      <c r="O299" s="104"/>
      <c r="P299" s="97"/>
    </row>
    <row r="300" spans="3:16" x14ac:dyDescent="0.25">
      <c r="C300" s="17">
        <v>267</v>
      </c>
      <c r="D300" s="104"/>
      <c r="E300" s="312"/>
      <c r="F300" s="97"/>
      <c r="G300" s="97"/>
      <c r="H300" s="97"/>
      <c r="I300" s="36"/>
      <c r="J300" s="36"/>
      <c r="L300" s="104"/>
      <c r="M300" s="104"/>
      <c r="N300" s="104"/>
      <c r="O300" s="104"/>
      <c r="P300" s="97"/>
    </row>
    <row r="301" spans="3:16" x14ac:dyDescent="0.25">
      <c r="C301" s="17">
        <v>268</v>
      </c>
      <c r="D301" s="104"/>
      <c r="E301" s="312"/>
      <c r="F301" s="97"/>
      <c r="G301" s="97"/>
      <c r="H301" s="97"/>
      <c r="I301" s="36"/>
      <c r="J301" s="36"/>
      <c r="L301" s="104"/>
      <c r="M301" s="104"/>
      <c r="N301" s="104"/>
      <c r="O301" s="104"/>
      <c r="P301" s="97"/>
    </row>
    <row r="302" spans="3:16" x14ac:dyDescent="0.25">
      <c r="C302" s="17">
        <v>269</v>
      </c>
      <c r="D302" s="104"/>
      <c r="E302" s="312"/>
      <c r="F302" s="97"/>
      <c r="G302" s="97"/>
      <c r="H302" s="97"/>
      <c r="I302" s="36"/>
      <c r="J302" s="36"/>
      <c r="L302" s="104"/>
      <c r="M302" s="104"/>
      <c r="N302" s="104"/>
      <c r="O302" s="104"/>
      <c r="P302" s="97"/>
    </row>
    <row r="303" spans="3:16" x14ac:dyDescent="0.25">
      <c r="C303" s="17">
        <v>270</v>
      </c>
      <c r="D303" s="104"/>
      <c r="E303" s="312"/>
      <c r="F303" s="97"/>
      <c r="G303" s="97"/>
      <c r="H303" s="97"/>
      <c r="I303" s="36"/>
      <c r="J303" s="36"/>
      <c r="L303" s="104"/>
      <c r="M303" s="104"/>
      <c r="N303" s="104"/>
      <c r="O303" s="104"/>
      <c r="P303" s="97"/>
    </row>
    <row r="304" spans="3:16" x14ac:dyDescent="0.25">
      <c r="C304" s="17">
        <v>271</v>
      </c>
      <c r="D304" s="104"/>
      <c r="E304" s="312"/>
      <c r="F304" s="97"/>
      <c r="G304" s="97"/>
      <c r="H304" s="97"/>
      <c r="I304" s="36"/>
      <c r="J304" s="36"/>
      <c r="L304" s="104"/>
      <c r="M304" s="104"/>
      <c r="N304" s="104"/>
      <c r="O304" s="104"/>
      <c r="P304" s="97"/>
    </row>
    <row r="305" spans="3:16" x14ac:dyDescent="0.25">
      <c r="C305" s="17">
        <v>272</v>
      </c>
      <c r="D305" s="104"/>
      <c r="E305" s="312"/>
      <c r="F305" s="97"/>
      <c r="G305" s="97"/>
      <c r="H305" s="97"/>
      <c r="I305" s="36"/>
      <c r="J305" s="36"/>
      <c r="L305" s="104"/>
      <c r="M305" s="104"/>
      <c r="N305" s="104"/>
      <c r="O305" s="104"/>
      <c r="P305" s="97"/>
    </row>
    <row r="306" spans="3:16" x14ac:dyDescent="0.25">
      <c r="C306" s="17">
        <v>273</v>
      </c>
      <c r="D306" s="104"/>
      <c r="E306" s="312"/>
      <c r="F306" s="97"/>
      <c r="G306" s="97"/>
      <c r="H306" s="97"/>
      <c r="I306" s="36"/>
      <c r="J306" s="36"/>
      <c r="L306" s="104"/>
      <c r="M306" s="104"/>
      <c r="N306" s="104"/>
      <c r="O306" s="104"/>
      <c r="P306" s="97"/>
    </row>
    <row r="307" spans="3:16" x14ac:dyDescent="0.25">
      <c r="C307" s="17">
        <v>274</v>
      </c>
      <c r="D307" s="104"/>
      <c r="E307" s="312"/>
      <c r="F307" s="97"/>
      <c r="G307" s="97"/>
      <c r="H307" s="97"/>
      <c r="I307" s="36"/>
      <c r="J307" s="36"/>
      <c r="L307" s="104"/>
      <c r="M307" s="104"/>
      <c r="N307" s="104"/>
      <c r="O307" s="104"/>
      <c r="P307" s="97"/>
    </row>
    <row r="308" spans="3:16" x14ac:dyDescent="0.25">
      <c r="C308" s="17">
        <v>275</v>
      </c>
      <c r="D308" s="104"/>
      <c r="E308" s="312"/>
      <c r="F308" s="97"/>
      <c r="G308" s="97"/>
      <c r="H308" s="97"/>
      <c r="I308" s="36"/>
      <c r="J308" s="36"/>
      <c r="L308" s="104"/>
      <c r="M308" s="104"/>
      <c r="N308" s="104"/>
      <c r="O308" s="104"/>
      <c r="P308" s="97"/>
    </row>
    <row r="309" spans="3:16" x14ac:dyDescent="0.25">
      <c r="C309" s="17">
        <v>276</v>
      </c>
      <c r="D309" s="104"/>
      <c r="E309" s="312"/>
      <c r="F309" s="97"/>
      <c r="G309" s="97"/>
      <c r="H309" s="97"/>
      <c r="I309" s="36"/>
      <c r="J309" s="36"/>
      <c r="L309" s="104"/>
      <c r="M309" s="104"/>
      <c r="N309" s="104"/>
      <c r="O309" s="104"/>
      <c r="P309" s="97"/>
    </row>
    <row r="310" spans="3:16" x14ac:dyDescent="0.25">
      <c r="C310" s="17">
        <v>277</v>
      </c>
      <c r="D310" s="104"/>
      <c r="E310" s="312"/>
      <c r="F310" s="97"/>
      <c r="G310" s="97"/>
      <c r="H310" s="97"/>
      <c r="I310" s="36"/>
      <c r="J310" s="36"/>
      <c r="L310" s="104"/>
      <c r="M310" s="104"/>
      <c r="N310" s="104"/>
      <c r="O310" s="104"/>
      <c r="P310" s="97"/>
    </row>
    <row r="311" spans="3:16" x14ac:dyDescent="0.25">
      <c r="C311" s="17">
        <v>278</v>
      </c>
      <c r="D311" s="104"/>
      <c r="E311" s="312"/>
      <c r="F311" s="97"/>
      <c r="G311" s="97"/>
      <c r="H311" s="97"/>
      <c r="I311" s="36"/>
      <c r="J311" s="36"/>
      <c r="L311" s="104"/>
      <c r="M311" s="104"/>
      <c r="N311" s="104"/>
      <c r="O311" s="104"/>
      <c r="P311" s="97"/>
    </row>
    <row r="312" spans="3:16" x14ac:dyDescent="0.25">
      <c r="C312" s="17">
        <v>279</v>
      </c>
      <c r="D312" s="104"/>
      <c r="E312" s="312"/>
      <c r="F312" s="97"/>
      <c r="G312" s="97"/>
      <c r="H312" s="97"/>
      <c r="I312" s="36"/>
      <c r="J312" s="36"/>
      <c r="L312" s="104"/>
      <c r="M312" s="104"/>
      <c r="N312" s="104"/>
      <c r="O312" s="104"/>
      <c r="P312" s="97"/>
    </row>
    <row r="313" spans="3:16" x14ac:dyDescent="0.25">
      <c r="C313" s="17">
        <v>280</v>
      </c>
      <c r="D313" s="104"/>
      <c r="E313" s="312"/>
      <c r="F313" s="97"/>
      <c r="G313" s="97"/>
      <c r="H313" s="97"/>
      <c r="I313" s="36"/>
      <c r="J313" s="36"/>
      <c r="L313" s="104"/>
      <c r="M313" s="104"/>
      <c r="N313" s="104"/>
      <c r="O313" s="104"/>
      <c r="P313" s="97"/>
    </row>
    <row r="314" spans="3:16" x14ac:dyDescent="0.25">
      <c r="C314" s="17">
        <v>281</v>
      </c>
      <c r="D314" s="104"/>
      <c r="E314" s="312"/>
      <c r="F314" s="97"/>
      <c r="G314" s="97"/>
      <c r="H314" s="97"/>
      <c r="I314" s="36"/>
      <c r="J314" s="36"/>
      <c r="L314" s="104"/>
      <c r="M314" s="104"/>
      <c r="N314" s="104"/>
      <c r="O314" s="104"/>
      <c r="P314" s="97"/>
    </row>
    <row r="315" spans="3:16" x14ac:dyDescent="0.25">
      <c r="C315" s="17">
        <v>282</v>
      </c>
      <c r="D315" s="104"/>
      <c r="E315" s="312"/>
      <c r="F315" s="97"/>
      <c r="G315" s="97"/>
      <c r="H315" s="97"/>
      <c r="I315" s="36"/>
      <c r="J315" s="36"/>
      <c r="L315" s="104"/>
      <c r="M315" s="104"/>
      <c r="N315" s="104"/>
      <c r="O315" s="104"/>
      <c r="P315" s="97"/>
    </row>
    <row r="316" spans="3:16" x14ac:dyDescent="0.25">
      <c r="C316" s="17">
        <v>283</v>
      </c>
      <c r="D316" s="104"/>
      <c r="E316" s="312"/>
      <c r="F316" s="97"/>
      <c r="G316" s="97"/>
      <c r="H316" s="97"/>
      <c r="I316" s="36"/>
      <c r="J316" s="36"/>
      <c r="L316" s="104"/>
      <c r="M316" s="104"/>
      <c r="N316" s="104"/>
      <c r="O316" s="104"/>
      <c r="P316" s="97"/>
    </row>
    <row r="317" spans="3:16" x14ac:dyDescent="0.25">
      <c r="C317" s="17">
        <v>284</v>
      </c>
      <c r="D317" s="104"/>
      <c r="E317" s="312"/>
      <c r="F317" s="97"/>
      <c r="G317" s="97"/>
      <c r="H317" s="97"/>
      <c r="I317" s="36"/>
      <c r="J317" s="36"/>
      <c r="L317" s="104"/>
      <c r="M317" s="104"/>
      <c r="N317" s="104"/>
      <c r="O317" s="104"/>
      <c r="P317" s="97"/>
    </row>
    <row r="318" spans="3:16" x14ac:dyDescent="0.25">
      <c r="C318" s="17">
        <v>285</v>
      </c>
      <c r="D318" s="104"/>
      <c r="E318" s="312"/>
      <c r="F318" s="97"/>
      <c r="G318" s="97"/>
      <c r="H318" s="97"/>
      <c r="I318" s="36"/>
      <c r="J318" s="36"/>
      <c r="L318" s="104"/>
      <c r="M318" s="104"/>
      <c r="N318" s="104"/>
      <c r="O318" s="104"/>
      <c r="P318" s="97"/>
    </row>
    <row r="319" spans="3:16" x14ac:dyDescent="0.25">
      <c r="C319" s="17">
        <v>286</v>
      </c>
      <c r="D319" s="104"/>
      <c r="E319" s="312"/>
      <c r="F319" s="97"/>
      <c r="G319" s="97"/>
      <c r="H319" s="97"/>
      <c r="I319" s="36"/>
      <c r="J319" s="36"/>
      <c r="L319" s="104"/>
      <c r="M319" s="104"/>
      <c r="N319" s="104"/>
      <c r="O319" s="104"/>
      <c r="P319" s="97"/>
    </row>
    <row r="320" spans="3:16" x14ac:dyDescent="0.25">
      <c r="C320" s="17">
        <v>287</v>
      </c>
      <c r="D320" s="104"/>
      <c r="E320" s="312"/>
      <c r="F320" s="97"/>
      <c r="G320" s="97"/>
      <c r="H320" s="97"/>
      <c r="I320" s="36"/>
      <c r="J320" s="36"/>
      <c r="L320" s="104"/>
      <c r="M320" s="104"/>
      <c r="N320" s="104"/>
      <c r="O320" s="104"/>
      <c r="P320" s="97"/>
    </row>
    <row r="321" spans="3:16" x14ac:dyDescent="0.25">
      <c r="C321" s="17">
        <v>288</v>
      </c>
      <c r="D321" s="104"/>
      <c r="E321" s="312"/>
      <c r="F321" s="97"/>
      <c r="G321" s="97"/>
      <c r="H321" s="97"/>
      <c r="I321" s="36"/>
      <c r="J321" s="36"/>
      <c r="L321" s="104"/>
      <c r="M321" s="104"/>
      <c r="N321" s="104"/>
      <c r="O321" s="104"/>
      <c r="P321" s="97"/>
    </row>
    <row r="322" spans="3:16" x14ac:dyDescent="0.25">
      <c r="C322" s="17">
        <v>289</v>
      </c>
      <c r="D322" s="104"/>
      <c r="E322" s="312"/>
      <c r="F322" s="97"/>
      <c r="G322" s="97"/>
      <c r="H322" s="97"/>
      <c r="I322" s="36"/>
      <c r="J322" s="36"/>
      <c r="L322" s="104"/>
      <c r="M322" s="104"/>
      <c r="N322" s="104"/>
      <c r="O322" s="104"/>
      <c r="P322" s="97"/>
    </row>
    <row r="323" spans="3:16" x14ac:dyDescent="0.25">
      <c r="C323" s="17">
        <v>290</v>
      </c>
      <c r="D323" s="104"/>
      <c r="E323" s="312"/>
      <c r="F323" s="97"/>
      <c r="G323" s="97"/>
      <c r="H323" s="97"/>
      <c r="I323" s="36"/>
      <c r="J323" s="36"/>
      <c r="L323" s="104"/>
      <c r="M323" s="104"/>
      <c r="N323" s="104"/>
      <c r="O323" s="104"/>
      <c r="P323" s="97"/>
    </row>
    <row r="324" spans="3:16" x14ac:dyDescent="0.25">
      <c r="C324" s="17">
        <v>291</v>
      </c>
      <c r="D324" s="104"/>
      <c r="E324" s="312"/>
      <c r="F324" s="97"/>
      <c r="G324" s="97"/>
      <c r="H324" s="97"/>
      <c r="I324" s="36"/>
      <c r="J324" s="36"/>
      <c r="L324" s="104"/>
      <c r="M324" s="104"/>
      <c r="N324" s="104"/>
      <c r="O324" s="104"/>
      <c r="P324" s="97"/>
    </row>
    <row r="325" spans="3:16" x14ac:dyDescent="0.25">
      <c r="C325" s="17">
        <v>292</v>
      </c>
      <c r="D325" s="104"/>
      <c r="E325" s="312"/>
      <c r="F325" s="97"/>
      <c r="G325" s="97"/>
      <c r="H325" s="97"/>
      <c r="I325" s="36"/>
      <c r="J325" s="36"/>
      <c r="L325" s="104"/>
      <c r="M325" s="104"/>
      <c r="N325" s="104"/>
      <c r="O325" s="104"/>
      <c r="P325" s="97"/>
    </row>
    <row r="326" spans="3:16" x14ac:dyDescent="0.25">
      <c r="C326" s="17">
        <v>293</v>
      </c>
      <c r="D326" s="104"/>
      <c r="E326" s="312"/>
      <c r="F326" s="97"/>
      <c r="G326" s="97"/>
      <c r="H326" s="97"/>
      <c r="I326" s="36"/>
      <c r="J326" s="36"/>
      <c r="L326" s="104"/>
      <c r="M326" s="104"/>
      <c r="N326" s="104"/>
      <c r="O326" s="104"/>
      <c r="P326" s="97"/>
    </row>
    <row r="327" spans="3:16" x14ac:dyDescent="0.25">
      <c r="C327" s="17">
        <v>294</v>
      </c>
      <c r="D327" s="104"/>
      <c r="E327" s="312"/>
      <c r="F327" s="97"/>
      <c r="G327" s="97"/>
      <c r="H327" s="97"/>
      <c r="I327" s="36"/>
      <c r="J327" s="36"/>
      <c r="L327" s="104"/>
      <c r="M327" s="104"/>
      <c r="N327" s="104"/>
      <c r="O327" s="104"/>
      <c r="P327" s="97"/>
    </row>
    <row r="328" spans="3:16" x14ac:dyDescent="0.25">
      <c r="C328" s="17">
        <v>295</v>
      </c>
      <c r="D328" s="104"/>
      <c r="E328" s="312"/>
      <c r="F328" s="97"/>
      <c r="G328" s="97"/>
      <c r="H328" s="97"/>
      <c r="I328" s="36"/>
      <c r="J328" s="36"/>
      <c r="L328" s="104"/>
      <c r="M328" s="104"/>
      <c r="N328" s="104"/>
      <c r="O328" s="104"/>
      <c r="P328" s="97"/>
    </row>
    <row r="329" spans="3:16" x14ac:dyDescent="0.25">
      <c r="C329" s="17">
        <v>296</v>
      </c>
      <c r="D329" s="104"/>
      <c r="E329" s="312"/>
      <c r="F329" s="97"/>
      <c r="G329" s="97"/>
      <c r="H329" s="97"/>
      <c r="I329" s="36"/>
      <c r="J329" s="36"/>
      <c r="L329" s="104"/>
      <c r="M329" s="104"/>
      <c r="N329" s="104"/>
      <c r="O329" s="104"/>
      <c r="P329" s="97"/>
    </row>
    <row r="330" spans="3:16" x14ac:dyDescent="0.25">
      <c r="C330" s="17">
        <v>297</v>
      </c>
      <c r="D330" s="104"/>
      <c r="E330" s="312"/>
      <c r="F330" s="97"/>
      <c r="G330" s="97"/>
      <c r="H330" s="97"/>
      <c r="I330" s="36"/>
      <c r="J330" s="36"/>
      <c r="L330" s="104"/>
      <c r="M330" s="104"/>
      <c r="N330" s="104"/>
      <c r="O330" s="104"/>
      <c r="P330" s="97"/>
    </row>
    <row r="331" spans="3:16" x14ac:dyDescent="0.25">
      <c r="C331" s="17">
        <v>298</v>
      </c>
      <c r="D331" s="104"/>
      <c r="E331" s="312"/>
      <c r="F331" s="97"/>
      <c r="G331" s="97"/>
      <c r="H331" s="97"/>
      <c r="I331" s="36"/>
      <c r="J331" s="36"/>
      <c r="L331" s="104"/>
      <c r="M331" s="104"/>
      <c r="N331" s="104"/>
      <c r="O331" s="104"/>
      <c r="P331" s="97"/>
    </row>
    <row r="332" spans="3:16" x14ac:dyDescent="0.25">
      <c r="C332" s="17">
        <v>299</v>
      </c>
      <c r="D332" s="104"/>
      <c r="E332" s="312"/>
      <c r="F332" s="97"/>
      <c r="G332" s="97"/>
      <c r="H332" s="97"/>
      <c r="I332" s="36"/>
      <c r="J332" s="36"/>
      <c r="L332" s="104"/>
      <c r="M332" s="104"/>
      <c r="N332" s="104"/>
      <c r="O332" s="104"/>
      <c r="P332" s="97"/>
    </row>
    <row r="333" spans="3:16" x14ac:dyDescent="0.25">
      <c r="C333" s="17">
        <v>300</v>
      </c>
      <c r="D333" s="104"/>
      <c r="E333" s="312"/>
      <c r="F333" s="97"/>
      <c r="G333" s="97"/>
      <c r="H333" s="97"/>
      <c r="I333" s="36"/>
      <c r="J333" s="36"/>
      <c r="L333" s="104"/>
      <c r="M333" s="104"/>
      <c r="N333" s="104"/>
      <c r="O333" s="104"/>
      <c r="P333" s="97"/>
    </row>
  </sheetData>
  <mergeCells count="1">
    <mergeCell ref="A2:A3"/>
  </mergeCells>
  <conditionalFormatting sqref="C13:C27 C13:C27 L13:L27">
    <cfRule type="expression" dxfId="1096" priority="9">
      <formula>IF(AND(NOT(ISBLANK($I13)),NOT(ISNUMBER(MATCH($I13,$I$34:$I$333,0)))),TRUE,FALSE)</formula>
    </cfRule>
  </conditionalFormatting>
  <conditionalFormatting sqref="C13:J27">
    <cfRule type="expression" dxfId="1095" priority="10">
      <formula>IF(ISNUMBER(MATCH($I13,$I$34:$I$333,0)),TRUE,FALSE)</formula>
    </cfRule>
  </conditionalFormatting>
  <conditionalFormatting sqref="L34:P333">
    <cfRule type="expression" dxfId="1094" priority="11">
      <formula>IF(AND(COUNTA($L34:$O34)&lt;4,NOT(ISBLANK($D34))),TRUE,FALSE)</formula>
    </cfRule>
  </conditionalFormatting>
  <conditionalFormatting sqref="L13:L27">
    <cfRule type="expression" dxfId="1093" priority="1">
      <formula>IF(ISNUMBER(MATCH($I13,$I$34:$I$333,0)),TRUE,FALSE)</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A6736428-4363-4DA8-AAA6-ADD7EDF696CB}">
            <xm:f>IF(OR($L34='Lookup refs'!$K$9,$L34='Lookup refs'!$K$10),TRUE,FALSE)</xm:f>
            <x14:dxf>
              <font>
                <b/>
                <i val="0"/>
                <color rgb="FFFF0000"/>
              </font>
              <fill>
                <patternFill>
                  <bgColor theme="0"/>
                </patternFill>
              </fill>
              <border>
                <left style="thin">
                  <color rgb="FFFF0000"/>
                </left>
                <right style="thin">
                  <color rgb="FFFF0000"/>
                </right>
                <top style="thin">
                  <color rgb="FFFF0000"/>
                </top>
                <bottom style="thin">
                  <color rgb="FFFF0000"/>
                </bottom>
                <vertical/>
                <horizontal/>
              </border>
            </x14:dxf>
          </x14:cfRule>
          <xm:sqref>L34:L333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BD6EC3E-2BC3-4F10-A275-F14791BA75F5}">
          <x14:formula1>
            <xm:f>'Lookup refs'!$K$8:$K$10</xm:f>
          </x14:formula1>
          <xm:sqref>L34:L333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D a t a M a s h u p   s q m i d = " 3 d 2 8 5 7 5 b - f 6 d c - 4 4 b 1 - 9 d 6 8 - 6 9 d b 9 8 e f a 9 a 8 "   x m l n s = " h t t p : / / s c h e m a s . m i c r o s o f t . c o m / D a t a M a s h u p " > A A A A A F g F A A B Q S w M E F A A C A A g A F 3 f V U s p Z i D O k A A A A 9 Q A A A B I A H A B D b 2 5 m a W c v U G F j a 2 F n Z S 5 4 b W w g o h g A K K A U A A A A A A A A A A A A A A A A A A A A A A A A A A A A h Y / R C o I w G I V f R X b v N h e B y e 8 k u k 0 I o u h 2 z K U j n e F m 8 9 2 6 6 J F 6 h Y y y u u v y f O c c O O d + v U E 2 N H V w U Z 3 V r U l R h C k K l J F t o U 2 Z o t 4 d w x h l H D Z C n k S p g j F s b D J Y n a L K u X N C i P c e + x l u u 5 I w S i N y y N d b W a l G h N p Y J 4 x U 6 N M q / r c Q h / 1 r D G d 4 Q f E 8 Z p g C m R j k 2 n x 9 N s 5 9 u j 8 Q V n 3 t + k 5 x Z c L l D s g k g b w v 8 A d Q S w M E F A A C A A g A F 3 f V 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d 3 1 V L 1 + f s t U g I A A D w I A A A T A B w A R m 9 y b X V s Y X M v U 2 V j d G l v b j E u b S C i G A A o o B Q A A A A A A A A A A A A A A A A A A A A A A A A A A A C N V V F v 2 j A Q f k f i P 1 j Z S y K l D L O u 2 1 T 1 Y Y K h 8 d J K w N g D Q p W b X E f U x E a x 2 a g Q / 7 3 n J J D g 2 C s I C e m 7 u 8 / 3 n T 8 f E i K V C E 5 m 5 S + 9 7 X a 6 H b l m O c R k M X q I I U o k 4 p L c k R R U t 0 P w M x P b P A J E f u w i S H v D b Z 4 D V 7 9 F / v I k x I s f h G X a h G + 2 6 n E s 8 i l T M G R p h B V l 6 X 5 5 z z K 4 8 1 o Z 3 u q w H A q u k G 5 V s X z w h m v G / 2 A 7 8 9 c N e M g x Z 0 8 p 9 O Y 5 4 / J Z 5 N l Q p N u M 6 6 D 0 W 4 T h f u 8 N h V Q E U s i Q 1 Q u J w k y i Y K c O I a m C i Y K s F R k n O 4 g / L l i e 6 P N a 4 V 8 8 s b B t p R I Z 5 A X c Z r y q R o W D f S x a H W G b x z T G X x 1 Z Z s Z i d B G R J a 2 V c l l L l j Q z Z X R 1 j z L / y 2 K k t H W / y z B 2 M x y C k 1 9 G k A m F f v k J L I Z c 1 p Y p A x X s G 8 Y K r H 6 j 7 x i u f V r p O J 1 B L W b T + M C B f 3 L g 1 w 7 8 s w O / M c d W w l / s 8 F c 7 / M 0 O 0 7 4 D p w 7 c J Z a 6 1 F K X X H q u t 3 H h 4 y R V o B f W V P x r X P c M 3 3 y k N O a b l x o S Y N G a + M u K e o V F 5 3 s i q O m L i 9 8 I q a u L V X B u C R 3 x z S b q 6 u 9 x j G C 5 G O p K R M u j f Q t / S N B V 5 d 4 9 d p o 8 k z m q 7 u n l y B I u 6 8 4 x u X w M A V F r 4 I S i B A m k 7 x g P d c z n r M 3 T e I 5 t 6 P n Q w C 6 K 2 l U Z p z Y 0 k c H l q o o t c J m y w Q X K a F s a G W h x / Y a 4 K X D 8 d 8 K S o p e G o c p A B Z s S B 8 b L x / X 7 Q I 5 / n 1 7 T r l P c G H / t / D p Q 8 5 u N h P u m L 5 r z P J h X M + E x 7 M 4 u p k B O t 2 P 2 U M x b l 4 S E F t 8 J V z f X P f 1 a g m 4 n 4 T b 2 2 z d Q S w E C L Q A U A A I A C A A X d 9 V S y l m I M 6 Q A A A D 1 A A A A E g A A A A A A A A A A A A A A A A A A A A A A Q 2 9 u Z m l n L 1 B h Y 2 t h Z 2 U u e G 1 s U E s B A i 0 A F A A C A A g A F 3 f V U g / K 6 a u k A A A A 6 Q A A A B M A A A A A A A A A A A A A A A A A 8 A A A A F t D b 2 5 0 Z W 5 0 X 1 R 5 c G V z X S 5 4 b W x Q S w E C L Q A U A A I A C A A X d 9 V S 9 f n 7 L V I C A A A 8 C A A A E w A A A A A A A A A A A A A A A A D h A Q A A R m 9 y b X V s Y X M v U 2 V j d G l v b j E u b V B L B Q Y A A A A A A w A D A M I A A A C A B A 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0 D w A A A A A A A J I P 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R W 5 0 c n k g V H l w Z T 0 i U X V l c n l H c m 9 1 c H M i I F Z h b H V l P S J z Q U F B Q U F B P T 0 i I C 8 + P C 9 T d G F i b G V F b n R y a W V z P j w v S X R l b T 4 8 S X R l b T 4 8 S X R l b U x v Y 2 F 0 a W 9 u P j x J d G V t V H l w Z T 5 G b 3 J t d W x h P C 9 J d G V t V H l w Z T 4 8 S X R l b V B h d G g + U 2 V j d G l v b j E v V k R P Z G V j a X N p b 2 5 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E i I C 8 + P E V u d H J 5 I F R 5 c G U 9 I k 5 h d m l n Y X R p b 2 5 T d G V w T m F t Z S I g V m F s d W U 9 I n N O Y X Z p Z 2 F 0 a W 9 u I i A v P j x F b n R y e S B U e X B l P S J G a W x s V G F y Z 2 V 0 I i B W Y W x 1 Z T 0 i c 1 Z E T 2 R l Y 2 l z a W 9 u c y I g L z 4 8 R W 5 0 c n k g V H l w Z T 0 i R m l s b G V k Q 2 9 t c G x l d G V S Z X N 1 b H R U b 1 d v c m t z a G V l d C I g V m F s d W U 9 I m w x I i A v P j x F b n R y e S B U e X B l P S J B Z G R l Z F R v R G F 0 Y U 1 v Z G V s I i B W Y W x 1 Z T 0 i b D A i I C 8 + P E V u d H J 5 I F R 5 c G U 9 I k Z p b G x D b 3 V u d C I g V m F s d W U 9 I m w 1 I i A v P j x F b n R y e S B U e X B l P S J G a W x s R X J y b 3 J D b 2 R l I i B W Y W x 1 Z T 0 i c 1 V u a 2 5 v d 2 4 i I C 8 + P E V u d H J 5 I F R 5 c G U 9 I k Z p b G x F c n J v c k N v d W 5 0 I i B W Y W x 1 Z T 0 i b D A i I C 8 + P E V u d H J 5 I F R 5 c G U 9 I k Z p b G x M Y X N 0 V X B k Y X R l Z C I g V m F s d W U 9 I m Q y M D I x L T A 2 L T I x V D A 0 O j Q 0 O j E 0 L j A x O D Y w M j F a I i A v P j x F b n R y e S B U e X B l P S J G a W x s Q 2 9 s d W 1 u V H l w Z X M i I F Z h b H V l P S J z Q U F N P S I g L z 4 8 R W 5 0 c n k g V H l w Z T 0 i R m l s b E N v b H V t b k 5 h b W V z I i B W Y W x 1 Z T 0 i c 1 s m c X V v d D t W R E 8 g Z G V j a X N p b 2 4 m c X V v d D s s J n F 1 b 3 Q 7 S W 5 k Z X g 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R d W V y e T E v Q W R k Z W Q g S W 5 k Z X g u e 1 Z E T y B k Z W N p c 2 l v b i w w f S Z x d W 9 0 O y w m c X V v d D t T Z W N 0 a W 9 u M S 9 R d W V y e T E v Q W R k Z W Q g S W 5 k Z X g u e 0 l u Z G V 4 L D F 9 J n F 1 b 3 Q 7 X S w m c X V v d D t D b 2 x 1 b W 5 D b 3 V u d C Z x d W 9 0 O z o y L C Z x d W 9 0 O 0 t l e U N v b H V t b k 5 h b W V z J n F 1 b 3 Q 7 O l t d L C Z x d W 9 0 O 0 N v b H V t b k l k Z W 5 0 a X R p Z X M m c X V v d D s 6 W y Z x d W 9 0 O 1 N l Y 3 R p b 2 4 x L 1 F 1 Z X J 5 M S 9 B Z G R l Z C B J b m R l e C 5 7 V k R P I G R l Y 2 l z a W 9 u L D B 9 J n F 1 b 3 Q 7 L C Z x d W 9 0 O 1 N l Y 3 R p b 2 4 x L 1 F 1 Z X J 5 M S 9 B Z G R l Z C B J b m R l e C 5 7 S W 5 k Z X g s M X 0 m c X V v d D t d L C Z x d W 9 0 O 1 J l b G F 0 a W 9 u c 2 h p c E l u Z m 8 m c X V v d D s 6 W 1 1 9 I i A v P j w v U 3 R h Y m x l R W 5 0 c m l l c z 4 8 L 0 l 0 Z W 0 + P E l 0 Z W 0 + P E l 0 Z W 1 M b 2 N h d G l v b j 4 8 S X R l b V R 5 c G U + R m 9 y b X V s Y T w v S X R l b V R 5 c G U + P E l 0 Z W 1 Q Y X R o P l N l Y 3 R p b 2 4 x L 1 Z E T 2 R l Y 2 l z a W 9 u c y 9 T b 3 V y Y 2 U 8 L 0 l 0 Z W 1 Q Y X R o P j w v S X R l b U x v Y 2 F 0 a W 9 u P j x T d G F i b G V F b n R y a W V z I C 8 + P C 9 J d G V t P j x J d G V t P j x J d G V t T G 9 j Y X R p b 2 4 + P E l 0 Z W 1 U e X B l P k Z v c m 1 1 b G E 8 L 0 l 0 Z W 1 U e X B l P j x J d G V t U G F 0 a D 5 T Z W N 0 a W 9 u M S 9 W R E 9 k Z W N p c 2 l v b n M v S W 5 w d X R f R m 9 y U m F 0 Z U N h b G M 8 L 0 l 0 Z W 1 Q Y X R o P j w v S X R l b U x v Y 2 F 0 a W 9 u P j x T d G F i b G V F b n R y a W V z I C 8 + P C 9 J d G V t P j x J d G V t P j x J d G V t T G 9 j Y X R p b 2 4 + P E l 0 Z W 1 U e X B l P k Z v c m 1 1 b G E 8 L 0 l 0 Z W 1 U e X B l P j x J d G V t U G F 0 a D 5 T Z W N 0 a W 9 u M S 9 W R E 9 k Z W N p c 2 l v b n M v Q 2 h h b m d l Z C U y M F R 5 c G U 8 L 0 l 0 Z W 1 Q Y X R o P j w v S X R l b U x v Y 2 F 0 a W 9 u P j x T d G F i b G V F b n R y a W V z I C 8 + P C 9 J d G V t P j x J d G V t P j x J d G V t T G 9 j Y X R p b 2 4 + P E l 0 Z W 1 U e X B l P k Z v c m 1 1 b G E 8 L 0 l 0 Z W 1 U e X B l P j x J d G V t U G F 0 a D 5 T Z W N 0 a W 9 u M S 9 W R E 9 k Z W N p c 2 l v b n M v R G V t b 3 R l Z C U y M E h l Y W R l c n M 8 L 0 l 0 Z W 1 Q Y X R o P j w v S X R l b U x v Y 2 F 0 a W 9 u P j x T d G F i b G V F b n R y a W V z I C 8 + P C 9 J d G V t P j x J d G V t P j x J d G V t T G 9 j Y X R p b 2 4 + P E l 0 Z W 1 U e X B l P k Z v c m 1 1 b G E 8 L 0 l 0 Z W 1 U e X B l P j x J d G V t U G F 0 a D 5 T Z W N 0 a W 9 u M S 9 W R E 9 k Z W N p c 2 l v b n M v Q 2 h h b m d l Z C U y M F R 5 c G U x P C 9 J d G V t U G F 0 a D 4 8 L 0 l 0 Z W 1 M b 2 N h d G l v b j 4 8 U 3 R h Y m x l R W 5 0 c m l l c y A v P j w v S X R l b T 4 8 S X R l b T 4 8 S X R l b U x v Y 2 F 0 a W 9 u P j x J d G V t V H l w Z T 5 G b 3 J t d W x h P C 9 J d G V t V H l w Z T 4 8 S X R l b V B h d G g + U 2 V j d G l v b j E v V k R P Z G V j a X N p b 2 5 z L 0 Z p b H R l c m V k J T I w U m 9 3 c z w v S X R l b V B h d G g + P C 9 J d G V t T G 9 j Y X R p b 2 4 + P F N 0 Y W J s Z U V u d H J p Z X M g L z 4 8 L 0 l 0 Z W 0 + P E l 0 Z W 0 + P E l 0 Z W 1 M b 2 N h d G l v b j 4 8 S X R l b V R 5 c G U + R m 9 y b X V s Y T w v S X R l b V R 5 c G U + P E l 0 Z W 1 Q Y X R o P l N l Y 3 R p b 2 4 x L 1 Z E T 2 R l Y 2 l z a W 9 u c y 9 U c m F u c 3 B v c 2 V k J T I w V G F i b G U 8 L 0 l 0 Z W 1 Q Y X R o P j w v S X R l b U x v Y 2 F 0 a W 9 u P j x T d G F i b G V F b n R y a W V z I C 8 + P C 9 J d G V t P j x J d G V t P j x J d G V t T G 9 j Y X R p b 2 4 + P E l 0 Z W 1 U e X B l P k Z v c m 1 1 b G E 8 L 0 l 0 Z W 1 U e X B l P j x J d G V t U G F 0 a D 5 T Z W N 0 a W 9 u M S 9 W R E 9 k Z W N p c 2 l v b n M v Q W R k Z W Q l M j B D d X N 0 b 2 0 8 L 0 l 0 Z W 1 Q Y X R o P j w v S X R l b U x v Y 2 F 0 a W 9 u P j x T d G F i b G V F b n R y a W V z I C 8 + P C 9 J d G V t P j x J d G V t P j x J d G V t T G 9 j Y X R p b 2 4 + P E l 0 Z W 1 U e X B l P k Z v c m 1 1 b G E 8 L 0 l 0 Z W 1 U e X B l P j x J d G V t U G F 0 a D 5 T Z W N 0 a W 9 u M S 9 W R E 9 k Z W N p c 2 l v b n M v R m l s d G V y Z W Q l M j B S b 3 d z M T w v S X R l b V B h d G g + P C 9 J d G V t T G 9 j Y X R p b 2 4 + P F N 0 Y W J s Z U V u d H J p Z X M g L z 4 8 L 0 l 0 Z W 0 + P E l 0 Z W 0 + P E l 0 Z W 1 M b 2 N h d G l v b j 4 8 S X R l b V R 5 c G U + R m 9 y b X V s Y T w v S X R l b V R 5 c G U + P E l 0 Z W 1 Q Y X R o P l N l Y 3 R p b 2 4 x L 1 Z E T 2 R l Y 2 l z a W 9 u c y 9 B Z G R l Z C U y M E N 1 c 3 R v b T E 8 L 0 l 0 Z W 1 Q Y X R o P j w v S X R l b U x v Y 2 F 0 a W 9 u P j x T d G F i b G V F b n R y a W V z I C 8 + P C 9 J d G V t P j x J d G V t P j x J d G V t T G 9 j Y X R p b 2 4 + P E l 0 Z W 1 U e X B l P k Z v c m 1 1 b G E 8 L 0 l 0 Z W 1 U e X B l P j x J d G V t U G F 0 a D 5 T Z W N 0 a W 9 u M S 9 W R E 9 k Z W N p c 2 l v b n M v R m l s d G V y Z W Q l M j B S b 3 d z M j w v S X R l b V B h d G g + P C 9 J d G V t T G 9 j Y X R p b 2 4 + P F N 0 Y W J s Z U V u d H J p Z X M g L z 4 8 L 0 l 0 Z W 0 + P E l 0 Z W 0 + P E l 0 Z W 1 M b 2 N h d G l v b j 4 8 S X R l b V R 5 c G U + R m 9 y b X V s Y T w v S X R l b V R 5 c G U + P E l 0 Z W 1 Q Y X R o P l N l Y 3 R p b 2 4 x L 1 Z E T 2 R l Y 2 l z a W 9 u c y 9 S Z W 5 h b W V k J T I w Q 2 9 s d W 1 u c z w v S X R l b V B h d G g + P C 9 J d G V t T G 9 j Y X R p b 2 4 + P F N 0 Y W J s Z U V u d H J p Z X M g L z 4 8 L 0 l 0 Z W 0 + P E l 0 Z W 0 + P E l 0 Z W 1 M b 2 N h d G l v b j 4 8 S X R l b V R 5 c G U + R m 9 y b X V s Y T w v S X R l b V R 5 c G U + P E l 0 Z W 1 Q Y X R o P l N l Y 3 R p b 2 4 x L 1 Z E T 2 R l Y 2 l z a W 9 u c y 9 S Z W 1 v d m V k J T I w Q 2 9 s d W 1 u c z w v S X R l b V B h d G g + P C 9 J d G V t T G 9 j Y X R p b 2 4 + P F N 0 Y W J s Z U V u d H J p Z X M g L z 4 8 L 0 l 0 Z W 0 + P E l 0 Z W 0 + P E l 0 Z W 1 M b 2 N h d G l v b j 4 8 S X R l b V R 5 c G U + R m 9 y b X V s Y T w v S X R l b V R 5 c G U + P E l 0 Z W 1 Q Y X R o P l N l Y 3 R p b 2 4 x L 1 Z E T 2 R l Y 2 l z a W 9 u c y 9 B Z G R l Z C U y M E l u Z G V 4 P C 9 J d G V t U G F 0 a D 4 8 L 0 l 0 Z W 1 M b 2 N h d G l v b j 4 8 U 3 R h Y m x l R W 5 0 c m l l c y A v P j w v S X R l b T 4 8 L 0 l 0 Z W 1 z P j w v T G 9 j Y W x Q Y W N r Y W d l T W V 0 Y W R h d G F G a W x l P h Y A A A B Q S w U G A A A A A A A A A A A A A A A A A A A A A A A A J g E A A A E A A A D Q j J 3 f A R X R E Y x 6 A M B P w p f r A Q A A A J E T q E n n m P p D o E L z c e l D U h A A A A A A A g A A A A A A E G Y A A A A B A A A g A A A A S K + j 1 A b a f j v u R 2 u s A u g 9 g p Q V L U Z A M s D 6 W k n Q s s A T m v 0 A A A A A D o A A A A A C A A A g A A A A n W n Q u Q i 4 f H Y t h V 0 E B X i 3 m 8 H Q R a T j X q o B c 7 R C y 0 E p J 7 t Q A A A A 0 g q v b f z P S I m t N p s 5 o Y V d P I / v 4 F z + p 2 m z M M G j i m X q G b K + 0 1 Q g J C q 8 9 y m k L O q H 3 n r f Y p 2 a 1 h O 8 i G J Y X 2 G v u u R q h P F D B 9 x 5 K i D T Q d r H N k / J U w F A A A A A B e N f o l P t h 9 V / z V l J l a y E b p 7 d S R D w V F 1 U P P v F k x a 1 G g u F F m a + s 1 R p q N + q g e 3 c s m s 3 e G d 4 e U d M F H E g 1 t Q 7 Y k P 8 p A = = < / D a t a M a s h u p > 
</file>

<file path=customXml/item3.xml><?xml version="1.0" encoding="utf-8"?>
<ct:contentTypeSchema xmlns:ct="http://schemas.microsoft.com/office/2006/metadata/contentType" xmlns:ma="http://schemas.microsoft.com/office/2006/metadata/properties/metaAttributes" ct:_="" ma:_="" ma:contentTypeName="Document" ma:contentTypeID="0x01010060545575D9E03F4492DD3C4DA6FC0DC0" ma:contentTypeVersion="5" ma:contentTypeDescription="Create a new document." ma:contentTypeScope="" ma:versionID="7d95e092565c731f4ad071a2de3b31ba">
  <xsd:schema xmlns:xsd="http://www.w3.org/2001/XMLSchema" xmlns:xs="http://www.w3.org/2001/XMLSchema" xmlns:p="http://schemas.microsoft.com/office/2006/metadata/properties" xmlns:ns3="7e14ee29-ff38-48b8-9fe1-bb9ec2179f19" xmlns:ns4="e8cbbe4c-1ec4-4b8c-a95b-d171fe90b0f4" targetNamespace="http://schemas.microsoft.com/office/2006/metadata/properties" ma:root="true" ma:fieldsID="bbf50bbe4bdd64e324b0554ec052d2f7" ns3:_="" ns4:_="">
    <xsd:import namespace="7e14ee29-ff38-48b8-9fe1-bb9ec2179f19"/>
    <xsd:import namespace="e8cbbe4c-1ec4-4b8c-a95b-d171fe90b0f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14ee29-ff38-48b8-9fe1-bb9ec2179f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cbbe4c-1ec4-4b8c-a95b-d171fe90b0f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F5AD19-D35C-4D0A-B8E2-C3C781D0CC4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e14ee29-ff38-48b8-9fe1-bb9ec2179f19"/>
    <ds:schemaRef ds:uri="e8cbbe4c-1ec4-4b8c-a95b-d171fe90b0f4"/>
    <ds:schemaRef ds:uri="http://www.w3.org/XML/1998/namespace"/>
    <ds:schemaRef ds:uri="http://purl.org/dc/dcmitype/"/>
  </ds:schemaRefs>
</ds:datastoreItem>
</file>

<file path=customXml/itemProps2.xml><?xml version="1.0" encoding="utf-8"?>
<ds:datastoreItem xmlns:ds="http://schemas.openxmlformats.org/officeDocument/2006/customXml" ds:itemID="{B139258F-1C21-4DD8-9213-AB97CD8302AB}">
  <ds:schemaRefs>
    <ds:schemaRef ds:uri="http://schemas.microsoft.com/DataMashup"/>
  </ds:schemaRefs>
</ds:datastoreItem>
</file>

<file path=customXml/itemProps3.xml><?xml version="1.0" encoding="utf-8"?>
<ds:datastoreItem xmlns:ds="http://schemas.openxmlformats.org/officeDocument/2006/customXml" ds:itemID="{EC50ABAC-58D2-4E79-80F1-117C47AA00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14ee29-ff38-48b8-9fe1-bb9ec2179f19"/>
    <ds:schemaRef ds:uri="e8cbbe4c-1ec4-4b8c-a95b-d171fe90b0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B774C02-8D8E-4FC3-9D41-C33DCB6683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20</vt:i4>
      </vt:variant>
    </vt:vector>
  </HeadingPairs>
  <TitlesOfParts>
    <vt:vector size="53" baseType="lpstr">
      <vt:lpstr>Disclaimer</vt:lpstr>
      <vt:lpstr>Contents</vt:lpstr>
      <vt:lpstr>User Guide</vt:lpstr>
      <vt:lpstr>Information</vt:lpstr>
      <vt:lpstr>Sources</vt:lpstr>
      <vt:lpstr>Version control</vt:lpstr>
      <vt:lpstr>Checks</vt:lpstr>
      <vt:lpstr>Progress tracker</vt:lpstr>
      <vt:lpstr>Change Log</vt:lpstr>
      <vt:lpstr>OP_Rates</vt:lpstr>
      <vt:lpstr>OP_CMAB</vt:lpstr>
      <vt:lpstr>Calc_Rates</vt:lpstr>
      <vt:lpstr>Calc_TU_values</vt:lpstr>
      <vt:lpstr>Calc_TU_rates</vt:lpstr>
      <vt:lpstr>Inputs</vt:lpstr>
      <vt:lpstr>General Assumptions</vt:lpstr>
      <vt:lpstr>CPI</vt:lpstr>
      <vt:lpstr>CH_CostStack_RES</vt:lpstr>
      <vt:lpstr>CH_Bill impacts full year 2</vt:lpstr>
      <vt:lpstr>CH_Bill impacts half year</vt:lpstr>
      <vt:lpstr>CH_Bill impacts 4 monthly</vt:lpstr>
      <vt:lpstr>CH_Bill impacts monthly</vt:lpstr>
      <vt:lpstr>CH_Revised proposal impact</vt:lpstr>
      <vt:lpstr>CH_CY bills 2020 vs 2021</vt:lpstr>
      <vt:lpstr>CH_CostStack_SME</vt:lpstr>
      <vt:lpstr>CH_CostItems_Anytime</vt:lpstr>
      <vt:lpstr>TBL_Comparison</vt:lpstr>
      <vt:lpstr>CH_Bill impact full year</vt:lpstr>
      <vt:lpstr>CH_Bill impact annual</vt:lpstr>
      <vt:lpstr>CH_Bill impact monthly</vt:lpstr>
      <vt:lpstr>CH_CostElements_Anytime</vt:lpstr>
      <vt:lpstr>Lookup refs</vt:lpstr>
      <vt:lpstr>Blank_WkSheet</vt:lpstr>
      <vt:lpstr>AUD</vt:lpstr>
      <vt:lpstr>DiY</vt:lpstr>
      <vt:lpstr>FM_Prop</vt:lpstr>
      <vt:lpstr>GST</vt:lpstr>
      <vt:lpstr>'CH_Bill impacts 4 monthly'!H1_Prop</vt:lpstr>
      <vt:lpstr>H1_Prop</vt:lpstr>
      <vt:lpstr>H2_Prop</vt:lpstr>
      <vt:lpstr>M4_Prop</vt:lpstr>
      <vt:lpstr>M8_Prop</vt:lpstr>
      <vt:lpstr>MiQ</vt:lpstr>
      <vt:lpstr>MiY</vt:lpstr>
      <vt:lpstr>TU_Prop</vt:lpstr>
      <vt:lpstr>TUProp_CLLoad_1</vt:lpstr>
      <vt:lpstr>TUProp_CLLoad_2</vt:lpstr>
      <vt:lpstr>TUProp_Days_1</vt:lpstr>
      <vt:lpstr>TUProp_Days_2</vt:lpstr>
      <vt:lpstr>WACC</vt:lpstr>
      <vt:lpstr>WACC_adj_1</vt:lpstr>
      <vt:lpstr>WACC_adj_2</vt:lpstr>
      <vt:lpstr>WiY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Murry Greasley (ESC)</dc:creator>
  <cp:keywords/>
  <dc:description/>
  <cp:lastModifiedBy>Sonia Madamba (ESC)</cp:lastModifiedBy>
  <cp:revision/>
  <cp:lastPrinted>2021-07-14T00:19:01Z</cp:lastPrinted>
  <dcterms:created xsi:type="dcterms:W3CDTF">2020-01-15T04:05:27Z</dcterms:created>
  <dcterms:modified xsi:type="dcterms:W3CDTF">2022-03-16T01:45:44Z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0x01010060545575D9E03F4492DD3C4DA6FC0DC0</vt:lpwstr>
  </property>
</Properties>
</file>